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F1\Nya Webben\Uppdateringar\2023\Robert Lönnqvist\"/>
    </mc:Choice>
  </mc:AlternateContent>
  <xr:revisionPtr revIDLastSave="0" documentId="8_{903E7603-728F-44BC-8C88-31060A8B2665}" xr6:coauthVersionLast="47" xr6:coauthVersionMax="47" xr10:uidLastSave="{00000000-0000-0000-0000-000000000000}"/>
  <bookViews>
    <workbookView xWindow="-110" yWindow="-110" windowWidth="19420" windowHeight="10420" tabRatio="907" firstSheet="1" activeTab="1" xr2:uid="{00000000-000D-0000-FFFF-FFFF00000000}"/>
  </bookViews>
  <sheets>
    <sheet name="Versioner" sheetId="24" state="hidden" r:id="rId1"/>
    <sheet name="Överföringar totalt" sheetId="30" r:id="rId2"/>
    <sheet name="Lsandelar totalt" sheetId="12" r:id="rId3"/>
    <sheet name="Kompensationer år 2023" sheetId="35" r:id="rId4"/>
    <sheet name="Statistik" sheetId="23" r:id="rId5"/>
    <sheet name="Olika tabeller" sheetId="25" r:id="rId6"/>
    <sheet name="Lsandelar jmf" sheetId="22" state="hidden" r:id="rId7"/>
    <sheet name="Övergång" sheetId="20" state="hidden" r:id="rId8"/>
    <sheet name="Skattekomplettering" sheetId="3" state="hidden" r:id="rId9"/>
    <sheet name="Skattekompl data" sheetId="29" r:id="rId10"/>
    <sheet name="Basbelopp" sheetId="15" r:id="rId11"/>
    <sheet name="Skola, STR &amp; Spcfr" sheetId="5" r:id="rId12"/>
    <sheet name="Skola data" sheetId="6" r:id="rId13"/>
    <sheet name="STR" sheetId="11" r:id="rId14"/>
    <sheet name="Förb" sheetId="32" r:id="rId15"/>
    <sheet name="Grvux" sheetId="31" r:id="rId16"/>
    <sheet name="Specialfritids" sheetId="28" r:id="rId17"/>
    <sheet name="Barnomsorg" sheetId="27" r:id="rId18"/>
    <sheet name="Sociala" sheetId="7" r:id="rId19"/>
    <sheet name="Socvård+barnomsorg data" sheetId="8" r:id="rId20"/>
    <sheet name="Soctjänst data" sheetId="14" r:id="rId21"/>
    <sheet name="Kultur&amp;Medis" sheetId="9" state="hidden" r:id="rId22"/>
    <sheet name="K&amp;M data" sheetId="10" r:id="rId23"/>
    <sheet name="Invånare" sheetId="21" r:id="rId24"/>
    <sheet name="Basbeloppsberäkning " sheetId="33" r:id="rId25"/>
    <sheet name="Index-beskrivning" sheetId="34" r:id="rId26"/>
  </sheets>
  <externalReferences>
    <externalReference r:id="rId27"/>
  </externalReferences>
  <definedNames>
    <definedName name="fasta">'[1]Av Dreyer'!$D$139</definedName>
    <definedName name="inter1">'[1]Av Dreyer'!$D$31</definedName>
    <definedName name="inter11">'[1]Av Dreyer'!$D$68</definedName>
    <definedName name="inter12">'[1]Av Dreyer'!$D$69</definedName>
    <definedName name="inter13">'[1]Av Dreyer'!$D$70</definedName>
    <definedName name="inter14">'[1]Av Dreyer'!$D$71</definedName>
    <definedName name="inter15">'[1]Av Dreyer'!$D$72</definedName>
    <definedName name="inter16">'[1]Av Dreyer'!$D$73</definedName>
    <definedName name="inter181">'[1]Av Dreyer'!$D$106</definedName>
    <definedName name="inter182">'[1]Av Dreyer'!$D$107</definedName>
    <definedName name="inter183">'[1]Av Dreyer'!$D$108</definedName>
    <definedName name="inter184">'[1]Av Dreyer'!$D$109</definedName>
    <definedName name="inter185">'[1]Av Dreyer'!$D$110</definedName>
    <definedName name="inter186">'[1]Av Dreyer'!$D$111</definedName>
    <definedName name="inter2">'[1]Av Dreyer'!$D$32</definedName>
    <definedName name="inter3">'[1]Av Dreyer'!$D$33</definedName>
    <definedName name="inter4">'[1]Av Dreyer'!$D$34</definedName>
    <definedName name="inter5">'[1]Av Dreyer'!$D$35</definedName>
    <definedName name="inter6">'[1]Av Dreyer'!$D$36</definedName>
    <definedName name="Minskning">#REF!</definedName>
    <definedName name="skär">'[1]Av Dreyer'!$D$140</definedName>
    <definedName name="_xlnm.Print_Area" localSheetId="17">Barnomsorg!$A$1:$I$23</definedName>
    <definedName name="_xlnm.Print_Area" localSheetId="10">Basbelopp!$A$1:$L$40</definedName>
    <definedName name="_xlnm.Print_Area" localSheetId="14">Förb!$A$1:$E$29</definedName>
    <definedName name="_xlnm.Print_Area" localSheetId="15">Grvux!$A$1:$E$29</definedName>
    <definedName name="_xlnm.Print_Area" localSheetId="23">Invånare!$A$1:$J$44</definedName>
    <definedName name="_xlnm.Print_Area" localSheetId="22">'K&amp;M data'!$A$1:$H$33</definedName>
    <definedName name="_xlnm.Print_Area" localSheetId="21">'Kultur&amp;Medis'!$A$1:$I$27</definedName>
    <definedName name="_xlnm.Print_Area" localSheetId="6">'Lsandelar jmf'!$A$1:$AC$26</definedName>
    <definedName name="_xlnm.Print_Area" localSheetId="2">'Lsandelar totalt'!$A$1:$K$48</definedName>
    <definedName name="_xlnm.Print_Area" localSheetId="9">'Skattekompl data'!$A$1:$J$206</definedName>
    <definedName name="_xlnm.Print_Area" localSheetId="8">Skattekomplettering!$A$1:$H$29</definedName>
    <definedName name="_xlnm.Print_Area" localSheetId="12">'Skola data'!$A$1:$M$135</definedName>
    <definedName name="_xlnm.Print_Area" localSheetId="11">'Skola, STR &amp; Spcfr'!$A$1:$I$27</definedName>
    <definedName name="_xlnm.Print_Area" localSheetId="18">Sociala!$A$1:$I$23</definedName>
    <definedName name="_xlnm.Print_Area" localSheetId="20">'Soctjänst data'!#REF!</definedName>
    <definedName name="_xlnm.Print_Area" localSheetId="19">'Socvård+barnomsorg data'!$A$1:$G$80</definedName>
    <definedName name="_xlnm.Print_Area" localSheetId="16">Specialfritids!$A$1:$E$29</definedName>
    <definedName name="_xlnm.Print_Area" localSheetId="13">STR!$A$1:$E$29</definedName>
    <definedName name="_xlnm.Print_Area" localSheetId="1">'Överföringar totalt'!$A$1:$J$25</definedName>
    <definedName name="_xlnm.Print_Area" localSheetId="7">Övergång!$A$1:$Q$58</definedName>
    <definedName name="ytt">'[1]Av Dreyer'!$D$141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6" i="30" l="1"/>
  <c r="M25" i="30"/>
  <c r="L25" i="30"/>
  <c r="K25" i="30"/>
  <c r="L8" i="30"/>
  <c r="L9" i="30"/>
  <c r="L10" i="30"/>
  <c r="L11" i="30"/>
  <c r="L12" i="30"/>
  <c r="L13" i="30"/>
  <c r="L14" i="30"/>
  <c r="L15" i="30"/>
  <c r="L16" i="30"/>
  <c r="L17" i="30"/>
  <c r="L18" i="30"/>
  <c r="L19" i="30"/>
  <c r="L20" i="30"/>
  <c r="L21" i="30"/>
  <c r="L22" i="30"/>
  <c r="L7" i="30"/>
  <c r="E25" i="35"/>
  <c r="D25" i="35"/>
  <c r="H25" i="30"/>
  <c r="G25" i="30"/>
  <c r="K25" i="35" l="1"/>
  <c r="C130" i="29"/>
  <c r="H46" i="29"/>
  <c r="C126" i="29" s="1"/>
  <c r="R46" i="29"/>
  <c r="S46" i="29"/>
  <c r="S31" i="29"/>
  <c r="S32" i="29"/>
  <c r="S33" i="29"/>
  <c r="S34" i="29"/>
  <c r="S35" i="29"/>
  <c r="S36" i="29"/>
  <c r="S37" i="29"/>
  <c r="S38" i="29"/>
  <c r="S39" i="29"/>
  <c r="S40" i="29"/>
  <c r="S41" i="29"/>
  <c r="S42" i="29"/>
  <c r="S43" i="29"/>
  <c r="S44" i="29"/>
  <c r="S45" i="29"/>
  <c r="S30" i="29"/>
  <c r="C136" i="29" l="1"/>
  <c r="C128" i="29"/>
  <c r="C133" i="29"/>
  <c r="C125" i="29"/>
  <c r="C124" i="29"/>
  <c r="C132" i="29"/>
  <c r="C139" i="29"/>
  <c r="C131" i="29"/>
  <c r="C138" i="29"/>
  <c r="C137" i="29"/>
  <c r="C129" i="29"/>
  <c r="C135" i="29"/>
  <c r="C127" i="29"/>
  <c r="C134" i="29"/>
  <c r="F67" i="29" l="1"/>
  <c r="F25" i="29"/>
  <c r="D93" i="29" l="1"/>
  <c r="F110" i="8"/>
  <c r="F95" i="8"/>
  <c r="F96" i="8"/>
  <c r="F97" i="8"/>
  <c r="F98" i="8"/>
  <c r="F99" i="8"/>
  <c r="F100" i="8"/>
  <c r="F101" i="8"/>
  <c r="F102" i="8"/>
  <c r="F103" i="8"/>
  <c r="F104" i="8"/>
  <c r="F105" i="8"/>
  <c r="F106" i="8"/>
  <c r="F107" i="8"/>
  <c r="F108" i="8"/>
  <c r="F109" i="8"/>
  <c r="F94" i="8"/>
  <c r="T78" i="15" l="1"/>
  <c r="T77" i="15"/>
  <c r="AW88" i="15" l="1"/>
  <c r="AG37" i="15"/>
  <c r="AH37" i="15"/>
  <c r="AI37" i="15"/>
  <c r="AI73" i="15" l="1"/>
  <c r="AH73" i="15"/>
  <c r="AG73" i="15"/>
  <c r="AK73" i="15" l="1"/>
  <c r="AK69" i="15"/>
  <c r="AE73" i="15"/>
  <c r="AE69" i="15"/>
  <c r="AE102" i="15"/>
  <c r="AO67" i="15"/>
  <c r="Y72" i="15"/>
  <c r="Y68" i="15"/>
  <c r="AO68" i="15"/>
  <c r="AO69" i="15"/>
  <c r="AU83" i="15"/>
  <c r="AU87" i="15"/>
  <c r="L56" i="12" l="1"/>
  <c r="K8" i="35"/>
  <c r="K9" i="35"/>
  <c r="K10" i="35"/>
  <c r="K11" i="35"/>
  <c r="K12" i="35"/>
  <c r="K13" i="35"/>
  <c r="K14" i="35"/>
  <c r="K15" i="35"/>
  <c r="K16" i="35"/>
  <c r="K17" i="35"/>
  <c r="K18" i="35"/>
  <c r="K19" i="35"/>
  <c r="K20" i="35"/>
  <c r="K21" i="35"/>
  <c r="K22" i="35"/>
  <c r="K7" i="35"/>
  <c r="N30" i="12"/>
  <c r="L70" i="15" l="1"/>
  <c r="N60" i="12"/>
  <c r="T52" i="12"/>
  <c r="T34" i="12"/>
  <c r="T35" i="12"/>
  <c r="T36" i="12"/>
  <c r="T37" i="12"/>
  <c r="T38" i="12"/>
  <c r="T39" i="12"/>
  <c r="T40" i="12"/>
  <c r="T41" i="12"/>
  <c r="T42" i="12"/>
  <c r="T43" i="12"/>
  <c r="T44" i="12"/>
  <c r="T45" i="12"/>
  <c r="T46" i="12"/>
  <c r="T47" i="12"/>
  <c r="T48" i="12"/>
  <c r="T33" i="12"/>
  <c r="O52" i="12"/>
  <c r="Y28" i="12"/>
  <c r="Z86" i="15" l="1"/>
  <c r="W89" i="15"/>
  <c r="W86" i="15"/>
  <c r="Y76" i="15" s="1"/>
  <c r="B6" i="28" s="1"/>
  <c r="L72" i="15"/>
  <c r="AO78" i="15"/>
  <c r="AK77" i="15" s="1"/>
  <c r="B7" i="14" s="1"/>
  <c r="AO77" i="15"/>
  <c r="AE77" i="15" s="1"/>
  <c r="B9" i="8" s="1"/>
  <c r="AI77" i="15"/>
  <c r="F9" i="8" s="1"/>
  <c r="AH77" i="15"/>
  <c r="E9" i="8" s="1"/>
  <c r="AG77" i="15"/>
  <c r="D9" i="8" s="1"/>
  <c r="AD72" i="15"/>
  <c r="AD76" i="15"/>
  <c r="V78" i="15"/>
  <c r="O76" i="15"/>
  <c r="O72" i="15"/>
  <c r="J76" i="15"/>
  <c r="B72" i="15"/>
  <c r="P72" i="15" s="1"/>
  <c r="B76" i="15"/>
  <c r="P76" i="15" s="1"/>
  <c r="O56" i="15"/>
  <c r="B56" i="15"/>
  <c r="T59" i="8"/>
  <c r="T44" i="8"/>
  <c r="T45" i="8"/>
  <c r="T46" i="8"/>
  <c r="T47" i="8"/>
  <c r="T48" i="8"/>
  <c r="T49" i="8"/>
  <c r="T50" i="8"/>
  <c r="T51" i="8"/>
  <c r="T52" i="8"/>
  <c r="T53" i="8"/>
  <c r="T54" i="8"/>
  <c r="T55" i="8"/>
  <c r="T56" i="8"/>
  <c r="T57" i="8"/>
  <c r="T58" i="8"/>
  <c r="T43" i="8"/>
  <c r="Y70" i="15" l="1"/>
  <c r="Y74" i="15" s="1"/>
  <c r="Y78" i="15" s="1"/>
  <c r="B6" i="31" s="1"/>
  <c r="Y69" i="15"/>
  <c r="Y73" i="15" s="1"/>
  <c r="Y77" i="15" s="1"/>
  <c r="B6" i="32" s="1"/>
  <c r="E68" i="15"/>
  <c r="T72" i="15"/>
  <c r="Q69" i="15" s="1"/>
  <c r="V74" i="15"/>
  <c r="AD56" i="15"/>
  <c r="P56" i="15"/>
  <c r="Q73" i="15" l="1"/>
  <c r="Q77" i="15" s="1"/>
  <c r="B6" i="11" s="1"/>
  <c r="C68" i="15"/>
  <c r="E73" i="15"/>
  <c r="E77" i="15" s="1"/>
  <c r="E6" i="6" s="1"/>
  <c r="G68" i="15"/>
  <c r="H68" i="15"/>
  <c r="D68" i="15"/>
  <c r="F68" i="15"/>
  <c r="B8" i="23"/>
  <c r="C21" i="23"/>
  <c r="B21" i="23"/>
  <c r="B11" i="23"/>
  <c r="C73" i="15" l="1"/>
  <c r="C77" i="15" s="1"/>
  <c r="C6" i="6" s="1"/>
  <c r="H73" i="15"/>
  <c r="H77" i="15" s="1"/>
  <c r="H6" i="6" s="1"/>
  <c r="D73" i="15"/>
  <c r="D77" i="15" s="1"/>
  <c r="D6" i="6" s="1"/>
  <c r="G73" i="15"/>
  <c r="G77" i="15" s="1"/>
  <c r="G6" i="6" s="1"/>
  <c r="F73" i="15"/>
  <c r="F77" i="15" s="1"/>
  <c r="F6" i="6" s="1"/>
  <c r="H43" i="5" l="1"/>
  <c r="H28" i="5"/>
  <c r="H29" i="5"/>
  <c r="H30" i="5"/>
  <c r="H31" i="5"/>
  <c r="H32" i="5"/>
  <c r="H33" i="5"/>
  <c r="H34" i="5"/>
  <c r="H35" i="5"/>
  <c r="H36" i="5"/>
  <c r="H37" i="5"/>
  <c r="H38" i="5"/>
  <c r="H39" i="5"/>
  <c r="H40" i="5"/>
  <c r="H41" i="5"/>
  <c r="H42" i="5"/>
  <c r="H27" i="5"/>
  <c r="D43" i="5"/>
  <c r="L22" i="25" l="1"/>
  <c r="I12" i="25"/>
  <c r="I14" i="25"/>
  <c r="L7" i="25"/>
  <c r="L8" i="25"/>
  <c r="L9" i="25"/>
  <c r="L10" i="25"/>
  <c r="L11" i="25"/>
  <c r="L12" i="25"/>
  <c r="L13" i="25"/>
  <c r="L14" i="25"/>
  <c r="L15" i="25"/>
  <c r="L16" i="25"/>
  <c r="L17" i="25"/>
  <c r="L18" i="25"/>
  <c r="L19" i="25"/>
  <c r="L20" i="25"/>
  <c r="L21" i="25"/>
  <c r="L6" i="25"/>
  <c r="G7" i="25"/>
  <c r="H7" i="25" s="1"/>
  <c r="G8" i="25"/>
  <c r="I8" i="25" s="1"/>
  <c r="G9" i="25"/>
  <c r="I9" i="25" s="1"/>
  <c r="G10" i="25"/>
  <c r="I10" i="25" s="1"/>
  <c r="G11" i="25"/>
  <c r="I11" i="25" s="1"/>
  <c r="G12" i="25"/>
  <c r="H12" i="25" s="1"/>
  <c r="G13" i="25"/>
  <c r="H13" i="25" s="1"/>
  <c r="G14" i="25"/>
  <c r="H14" i="25" s="1"/>
  <c r="G15" i="25"/>
  <c r="H15" i="25" s="1"/>
  <c r="G16" i="25"/>
  <c r="H16" i="25" s="1"/>
  <c r="G17" i="25"/>
  <c r="I17" i="25" s="1"/>
  <c r="G18" i="25"/>
  <c r="I18" i="25" s="1"/>
  <c r="G19" i="25"/>
  <c r="I19" i="25" s="1"/>
  <c r="G20" i="25"/>
  <c r="I20" i="25" s="1"/>
  <c r="G21" i="25"/>
  <c r="H21" i="25" s="1"/>
  <c r="G6" i="25"/>
  <c r="I6" i="25" s="1"/>
  <c r="M18" i="25"/>
  <c r="M19" i="25"/>
  <c r="M20" i="25"/>
  <c r="M7" i="25"/>
  <c r="M8" i="25"/>
  <c r="M9" i="25"/>
  <c r="M10" i="25"/>
  <c r="M11" i="25"/>
  <c r="M12" i="25"/>
  <c r="M13" i="25"/>
  <c r="M14" i="25"/>
  <c r="M15" i="25"/>
  <c r="M16" i="25"/>
  <c r="M17" i="25"/>
  <c r="M21" i="25"/>
  <c r="M6" i="25"/>
  <c r="H10" i="25" l="1"/>
  <c r="H8" i="25"/>
  <c r="H20" i="25"/>
  <c r="I16" i="25"/>
  <c r="H19" i="25"/>
  <c r="H11" i="25"/>
  <c r="I15" i="25"/>
  <c r="I7" i="25"/>
  <c r="I21" i="25"/>
  <c r="H17" i="25"/>
  <c r="H9" i="25"/>
  <c r="I13" i="25"/>
  <c r="H18" i="25"/>
  <c r="H6" i="25"/>
  <c r="M22" i="25"/>
  <c r="O52" i="15" l="1"/>
  <c r="B48" i="15"/>
  <c r="B52" i="15"/>
  <c r="P52" i="15" l="1"/>
  <c r="AD52" i="15"/>
  <c r="B13" i="14"/>
  <c r="B14" i="14"/>
  <c r="B15" i="14"/>
  <c r="B16" i="14"/>
  <c r="B17" i="14"/>
  <c r="B18" i="14"/>
  <c r="B19" i="14"/>
  <c r="B20" i="14"/>
  <c r="B21" i="14"/>
  <c r="B22" i="14"/>
  <c r="B23" i="14"/>
  <c r="B24" i="14"/>
  <c r="B25" i="14"/>
  <c r="B26" i="14"/>
  <c r="B27" i="14"/>
  <c r="B12" i="14"/>
  <c r="S26" i="12" l="1"/>
  <c r="R26" i="12"/>
  <c r="AD48" i="15" l="1"/>
  <c r="T65" i="8" l="1"/>
  <c r="T66" i="8"/>
  <c r="T67" i="8"/>
  <c r="T68" i="8"/>
  <c r="T69" i="8"/>
  <c r="T70" i="8"/>
  <c r="T71" i="8"/>
  <c r="T72" i="8"/>
  <c r="T73" i="8"/>
  <c r="T74" i="8"/>
  <c r="T75" i="8"/>
  <c r="T76" i="8"/>
  <c r="T77" i="8"/>
  <c r="T78" i="8"/>
  <c r="T79" i="8"/>
  <c r="T64" i="8"/>
  <c r="R59" i="8"/>
  <c r="S59" i="8"/>
  <c r="Q59" i="8"/>
  <c r="R80" i="8"/>
  <c r="S80" i="8"/>
  <c r="Q80" i="8"/>
  <c r="T80" i="8" l="1"/>
  <c r="AE37" i="15"/>
  <c r="AR44" i="15"/>
  <c r="AK37" i="15"/>
  <c r="AR43" i="15" l="1"/>
  <c r="L34" i="15"/>
  <c r="L36" i="15" s="1"/>
  <c r="D196" i="29" l="1"/>
  <c r="C196" i="29"/>
  <c r="D195" i="29"/>
  <c r="C195" i="29"/>
  <c r="D194" i="29"/>
  <c r="C194" i="29"/>
  <c r="D193" i="29"/>
  <c r="C193" i="29"/>
  <c r="D192" i="29"/>
  <c r="C192" i="29"/>
  <c r="D191" i="29"/>
  <c r="C191" i="29"/>
  <c r="D190" i="29"/>
  <c r="C190" i="29"/>
  <c r="D189" i="29"/>
  <c r="C189" i="29"/>
  <c r="D188" i="29"/>
  <c r="C188" i="29"/>
  <c r="D187" i="29"/>
  <c r="C187" i="29"/>
  <c r="D186" i="29"/>
  <c r="C186" i="29"/>
  <c r="D185" i="29"/>
  <c r="C185" i="29"/>
  <c r="D184" i="29"/>
  <c r="C184" i="29"/>
  <c r="D183" i="29"/>
  <c r="C183" i="29"/>
  <c r="D182" i="29"/>
  <c r="C182" i="29"/>
  <c r="D181" i="29"/>
  <c r="C181" i="29"/>
  <c r="A177" i="29"/>
  <c r="D172" i="29"/>
  <c r="C172" i="29"/>
  <c r="D171" i="29"/>
  <c r="C171" i="29"/>
  <c r="D170" i="29"/>
  <c r="C170" i="29"/>
  <c r="D169" i="29"/>
  <c r="C169" i="29"/>
  <c r="D168" i="29"/>
  <c r="C168" i="29"/>
  <c r="D167" i="29"/>
  <c r="C167" i="29"/>
  <c r="D166" i="29"/>
  <c r="C166" i="29"/>
  <c r="D165" i="29"/>
  <c r="C165" i="29"/>
  <c r="D164" i="29"/>
  <c r="C164" i="29"/>
  <c r="D163" i="29"/>
  <c r="C163" i="29"/>
  <c r="D162" i="29"/>
  <c r="C162" i="29"/>
  <c r="D161" i="29"/>
  <c r="C161" i="29"/>
  <c r="D160" i="29"/>
  <c r="C160" i="29"/>
  <c r="D159" i="29"/>
  <c r="C159" i="29"/>
  <c r="D158" i="29"/>
  <c r="C158" i="29"/>
  <c r="D157" i="29"/>
  <c r="C157" i="29"/>
  <c r="A153" i="29"/>
  <c r="F109" i="29"/>
  <c r="E109" i="29"/>
  <c r="D109" i="29"/>
  <c r="C109" i="29"/>
  <c r="B109" i="29"/>
  <c r="F108" i="29"/>
  <c r="E108" i="29"/>
  <c r="D108" i="29"/>
  <c r="C108" i="29"/>
  <c r="B108" i="29"/>
  <c r="E107" i="29"/>
  <c r="D107" i="29"/>
  <c r="C107" i="29"/>
  <c r="B107" i="29"/>
  <c r="E106" i="29"/>
  <c r="D106" i="29"/>
  <c r="C106" i="29"/>
  <c r="B106" i="29"/>
  <c r="F105" i="29"/>
  <c r="E105" i="29"/>
  <c r="D105" i="29"/>
  <c r="C105" i="29"/>
  <c r="B105" i="29"/>
  <c r="F104" i="29"/>
  <c r="E104" i="29"/>
  <c r="D104" i="29"/>
  <c r="C104" i="29"/>
  <c r="B104" i="29"/>
  <c r="E103" i="29"/>
  <c r="D103" i="29"/>
  <c r="C103" i="29"/>
  <c r="B103" i="29"/>
  <c r="E102" i="29"/>
  <c r="D102" i="29"/>
  <c r="C102" i="29"/>
  <c r="B102" i="29"/>
  <c r="F101" i="29"/>
  <c r="E101" i="29"/>
  <c r="D101" i="29"/>
  <c r="C101" i="29"/>
  <c r="B101" i="29"/>
  <c r="E100" i="29"/>
  <c r="D100" i="29"/>
  <c r="C100" i="29"/>
  <c r="B100" i="29"/>
  <c r="E99" i="29"/>
  <c r="D99" i="29"/>
  <c r="C99" i="29"/>
  <c r="B99" i="29"/>
  <c r="E98" i="29"/>
  <c r="D98" i="29"/>
  <c r="C98" i="29"/>
  <c r="B98" i="29"/>
  <c r="F97" i="29"/>
  <c r="E97" i="29"/>
  <c r="D97" i="29"/>
  <c r="C97" i="29"/>
  <c r="B97" i="29"/>
  <c r="F96" i="29"/>
  <c r="E96" i="29"/>
  <c r="D96" i="29"/>
  <c r="C96" i="29"/>
  <c r="B96" i="29"/>
  <c r="E95" i="29"/>
  <c r="D95" i="29"/>
  <c r="C95" i="29"/>
  <c r="B95" i="29"/>
  <c r="E94" i="29"/>
  <c r="D94" i="29"/>
  <c r="C94" i="29"/>
  <c r="B94" i="29"/>
  <c r="F93" i="29"/>
  <c r="E93" i="29"/>
  <c r="C93" i="29"/>
  <c r="B93" i="29"/>
  <c r="F107" i="29"/>
  <c r="F106" i="29"/>
  <c r="F103" i="29"/>
  <c r="F102" i="29"/>
  <c r="F100" i="29"/>
  <c r="F99" i="29"/>
  <c r="F98" i="29"/>
  <c r="F95" i="29"/>
  <c r="F94" i="29"/>
  <c r="C177" i="29" l="1"/>
  <c r="C118" i="29"/>
  <c r="C153" i="29"/>
  <c r="G97" i="29"/>
  <c r="G94" i="29"/>
  <c r="G93" i="29"/>
  <c r="G101" i="29"/>
  <c r="G96" i="29"/>
  <c r="G104" i="29"/>
  <c r="G105" i="29"/>
  <c r="G106" i="29"/>
  <c r="G108" i="29"/>
  <c r="G103" i="29"/>
  <c r="G107" i="29"/>
  <c r="G98" i="29"/>
  <c r="G100" i="29"/>
  <c r="G102" i="29"/>
  <c r="G95" i="29"/>
  <c r="G99" i="29"/>
  <c r="B124" i="29" l="1"/>
  <c r="F124" i="29" s="1"/>
  <c r="B186" i="29"/>
  <c r="F186" i="29" s="1"/>
  <c r="G186" i="29" s="1"/>
  <c r="B189" i="29"/>
  <c r="F189" i="29" s="1"/>
  <c r="G189" i="29" s="1"/>
  <c r="B185" i="29"/>
  <c r="F185" i="29" s="1"/>
  <c r="G185" i="29" s="1"/>
  <c r="B190" i="29"/>
  <c r="F190" i="29" s="1"/>
  <c r="G190" i="29" s="1"/>
  <c r="B181" i="29"/>
  <c r="F181" i="29" s="1"/>
  <c r="G181" i="29" s="1"/>
  <c r="B192" i="29"/>
  <c r="F192" i="29" s="1"/>
  <c r="G192" i="29" s="1"/>
  <c r="B191" i="29"/>
  <c r="F191" i="29" s="1"/>
  <c r="G191" i="29" s="1"/>
  <c r="B135" i="29"/>
  <c r="F135" i="29" s="1"/>
  <c r="B161" i="29"/>
  <c r="F161" i="29" s="1"/>
  <c r="G161" i="29" s="1"/>
  <c r="B159" i="29"/>
  <c r="F159" i="29" s="1"/>
  <c r="G159" i="29" s="1"/>
  <c r="B164" i="29"/>
  <c r="F164" i="29" s="1"/>
  <c r="G164" i="29" s="1"/>
  <c r="B170" i="29"/>
  <c r="F170" i="29" s="1"/>
  <c r="G170" i="29" s="1"/>
  <c r="B157" i="29"/>
  <c r="F157" i="29" s="1"/>
  <c r="G157" i="29" s="1"/>
  <c r="B136" i="29"/>
  <c r="F136" i="29" s="1"/>
  <c r="B132" i="29"/>
  <c r="F132" i="29" s="1"/>
  <c r="B139" i="29"/>
  <c r="F139" i="29" s="1"/>
  <c r="G139" i="29" s="1"/>
  <c r="B165" i="29"/>
  <c r="F165" i="29" s="1"/>
  <c r="G165" i="29" s="1"/>
  <c r="B127" i="29"/>
  <c r="F127" i="29" s="1"/>
  <c r="B128" i="29"/>
  <c r="F128" i="29" s="1"/>
  <c r="B171" i="29"/>
  <c r="F171" i="29" s="1"/>
  <c r="G171" i="29" s="1"/>
  <c r="B138" i="29"/>
  <c r="F138" i="29" s="1"/>
  <c r="G138" i="29" s="1"/>
  <c r="B167" i="29"/>
  <c r="F167" i="29" s="1"/>
  <c r="G167" i="29" s="1"/>
  <c r="B158" i="29"/>
  <c r="F158" i="29" s="1"/>
  <c r="G158" i="29" s="1"/>
  <c r="B130" i="29"/>
  <c r="F130" i="29" s="1"/>
  <c r="B172" i="29"/>
  <c r="F172" i="29" s="1"/>
  <c r="G172" i="29" s="1"/>
  <c r="B131" i="29"/>
  <c r="F131" i="29" s="1"/>
  <c r="B188" i="29"/>
  <c r="F188" i="29" s="1"/>
  <c r="G188" i="29" s="1"/>
  <c r="B194" i="29"/>
  <c r="F194" i="29" s="1"/>
  <c r="G194" i="29" s="1"/>
  <c r="B137" i="29"/>
  <c r="F137" i="29" s="1"/>
  <c r="B193" i="29"/>
  <c r="F193" i="29" s="1"/>
  <c r="G193" i="29" s="1"/>
  <c r="B169" i="29"/>
  <c r="F169" i="29" s="1"/>
  <c r="G169" i="29" s="1"/>
  <c r="B168" i="29"/>
  <c r="F168" i="29" s="1"/>
  <c r="G168" i="29" s="1"/>
  <c r="B196" i="29"/>
  <c r="F196" i="29" s="1"/>
  <c r="G196" i="29" s="1"/>
  <c r="B134" i="29"/>
  <c r="F134" i="29" s="1"/>
  <c r="B160" i="29"/>
  <c r="F160" i="29" s="1"/>
  <c r="G160" i="29" s="1"/>
  <c r="B184" i="29"/>
  <c r="F184" i="29" s="1"/>
  <c r="G184" i="29" s="1"/>
  <c r="B125" i="29"/>
  <c r="F125" i="29" s="1"/>
  <c r="B182" i="29"/>
  <c r="F182" i="29" s="1"/>
  <c r="G182" i="29" s="1"/>
  <c r="B187" i="29"/>
  <c r="F187" i="29" s="1"/>
  <c r="G187" i="29" s="1"/>
  <c r="B183" i="29"/>
  <c r="F183" i="29" s="1"/>
  <c r="G183" i="29" s="1"/>
  <c r="B195" i="29"/>
  <c r="F195" i="29" s="1"/>
  <c r="G195" i="29" s="1"/>
  <c r="B129" i="29"/>
  <c r="F129" i="29" s="1"/>
  <c r="B166" i="29"/>
  <c r="F166" i="29" s="1"/>
  <c r="G166" i="29" s="1"/>
  <c r="B126" i="29"/>
  <c r="F126" i="29" s="1"/>
  <c r="G126" i="29" s="1"/>
  <c r="J126" i="29" s="1"/>
  <c r="B133" i="29"/>
  <c r="F133" i="29" s="1"/>
  <c r="B163" i="29"/>
  <c r="F163" i="29" s="1"/>
  <c r="G163" i="29" s="1"/>
  <c r="B162" i="29"/>
  <c r="F162" i="29" s="1"/>
  <c r="G162" i="29" s="1"/>
  <c r="B22" i="3" l="1"/>
  <c r="J139" i="29"/>
  <c r="B21" i="3"/>
  <c r="J138" i="29"/>
  <c r="G136" i="29"/>
  <c r="G133" i="29"/>
  <c r="G137" i="29"/>
  <c r="G131" i="29"/>
  <c r="G128" i="29"/>
  <c r="G129" i="29"/>
  <c r="G127" i="29"/>
  <c r="G132" i="29"/>
  <c r="G124" i="29"/>
  <c r="G134" i="29"/>
  <c r="G130" i="29"/>
  <c r="G125" i="29"/>
  <c r="G135" i="29"/>
  <c r="G173" i="29"/>
  <c r="G197" i="29"/>
  <c r="B9" i="3"/>
  <c r="W44" i="15"/>
  <c r="X50" i="15" s="1"/>
  <c r="X55" i="15" s="1"/>
  <c r="X60" i="15" s="1"/>
  <c r="W41" i="15"/>
  <c r="X49" i="15" s="1"/>
  <c r="X54" i="15" s="1"/>
  <c r="X59" i="15" s="1"/>
  <c r="W38" i="15"/>
  <c r="AR41" i="15"/>
  <c r="B8" i="3" l="1"/>
  <c r="J125" i="29"/>
  <c r="B14" i="3"/>
  <c r="J131" i="29"/>
  <c r="B13" i="3"/>
  <c r="J130" i="29"/>
  <c r="B20" i="3"/>
  <c r="J137" i="29"/>
  <c r="B12" i="3"/>
  <c r="J129" i="29"/>
  <c r="B17" i="3"/>
  <c r="J134" i="29"/>
  <c r="B16" i="3"/>
  <c r="J133" i="29"/>
  <c r="B11" i="3"/>
  <c r="J128" i="29"/>
  <c r="B15" i="3"/>
  <c r="J132" i="29"/>
  <c r="B18" i="3"/>
  <c r="J135" i="29"/>
  <c r="B19" i="3"/>
  <c r="J136" i="29"/>
  <c r="B10" i="3"/>
  <c r="J127" i="29"/>
  <c r="B7" i="3"/>
  <c r="J124" i="29"/>
  <c r="C19" i="32"/>
  <c r="D19" i="32" s="1"/>
  <c r="F16" i="5" s="1"/>
  <c r="C13" i="32"/>
  <c r="D13" i="32" s="1"/>
  <c r="F10" i="5" s="1"/>
  <c r="C23" i="32"/>
  <c r="D23" i="32" s="1"/>
  <c r="F20" i="5" s="1"/>
  <c r="C25" i="32"/>
  <c r="D25" i="32" s="1"/>
  <c r="F22" i="5" s="1"/>
  <c r="C15" i="32"/>
  <c r="D15" i="32" s="1"/>
  <c r="F12" i="5" s="1"/>
  <c r="C10" i="32"/>
  <c r="C11" i="32"/>
  <c r="D11" i="32" s="1"/>
  <c r="F8" i="5" s="1"/>
  <c r="C17" i="32"/>
  <c r="D17" i="32" s="1"/>
  <c r="F14" i="5" s="1"/>
  <c r="C21" i="32"/>
  <c r="D21" i="32" s="1"/>
  <c r="F18" i="5" s="1"/>
  <c r="C12" i="32"/>
  <c r="D12" i="32" s="1"/>
  <c r="F9" i="5" s="1"/>
  <c r="C16" i="32"/>
  <c r="D16" i="32" s="1"/>
  <c r="F13" i="5" s="1"/>
  <c r="C14" i="32"/>
  <c r="D14" i="32" s="1"/>
  <c r="F11" i="5" s="1"/>
  <c r="C20" i="32"/>
  <c r="D20" i="32" s="1"/>
  <c r="F17" i="5" s="1"/>
  <c r="C18" i="32"/>
  <c r="D18" i="32" s="1"/>
  <c r="F15" i="5" s="1"/>
  <c r="C24" i="32"/>
  <c r="D24" i="32" s="1"/>
  <c r="F21" i="5" s="1"/>
  <c r="C22" i="32"/>
  <c r="D22" i="32" s="1"/>
  <c r="F19" i="5" s="1"/>
  <c r="C25" i="31"/>
  <c r="D25" i="31" s="1"/>
  <c r="E22" i="5" s="1"/>
  <c r="C11" i="31"/>
  <c r="D11" i="31" s="1"/>
  <c r="E8" i="5" s="1"/>
  <c r="C23" i="31"/>
  <c r="D23" i="31" s="1"/>
  <c r="E20" i="5" s="1"/>
  <c r="C10" i="31"/>
  <c r="C12" i="31"/>
  <c r="D12" i="31" s="1"/>
  <c r="E9" i="5" s="1"/>
  <c r="C14" i="31"/>
  <c r="D14" i="31" s="1"/>
  <c r="E11" i="5" s="1"/>
  <c r="C22" i="31"/>
  <c r="D22" i="31" s="1"/>
  <c r="E19" i="5" s="1"/>
  <c r="C24" i="31"/>
  <c r="D24" i="31" s="1"/>
  <c r="E21" i="5" s="1"/>
  <c r="C15" i="31"/>
  <c r="D15" i="31" s="1"/>
  <c r="E12" i="5" s="1"/>
  <c r="C21" i="31"/>
  <c r="D21" i="31" s="1"/>
  <c r="E18" i="5" s="1"/>
  <c r="C16" i="31"/>
  <c r="D16" i="31" s="1"/>
  <c r="E13" i="5" s="1"/>
  <c r="C18" i="31"/>
  <c r="D18" i="31" s="1"/>
  <c r="E15" i="5" s="1"/>
  <c r="C20" i="31"/>
  <c r="D20" i="31" s="1"/>
  <c r="E17" i="5" s="1"/>
  <c r="C19" i="31"/>
  <c r="D19" i="31" s="1"/>
  <c r="E16" i="5" s="1"/>
  <c r="C17" i="31"/>
  <c r="D17" i="31" s="1"/>
  <c r="E14" i="5" s="1"/>
  <c r="C13" i="31"/>
  <c r="D13" i="31" s="1"/>
  <c r="E10" i="5" s="1"/>
  <c r="X48" i="15"/>
  <c r="X53" i="15" s="1"/>
  <c r="X58" i="15" s="1"/>
  <c r="G140" i="29"/>
  <c r="J140" i="29" s="1"/>
  <c r="AR42" i="15"/>
  <c r="F13" i="12" l="1"/>
  <c r="F12" i="12"/>
  <c r="F22" i="12"/>
  <c r="F20" i="12"/>
  <c r="F17" i="12"/>
  <c r="F10" i="12"/>
  <c r="F16" i="12"/>
  <c r="F11" i="12"/>
  <c r="F9" i="12"/>
  <c r="F21" i="12"/>
  <c r="F18" i="12"/>
  <c r="F15" i="12"/>
  <c r="F8" i="12"/>
  <c r="F19" i="12"/>
  <c r="F14" i="12"/>
  <c r="C26" i="32"/>
  <c r="D10" i="32"/>
  <c r="D10" i="31"/>
  <c r="C26" i="31"/>
  <c r="C19" i="28"/>
  <c r="D19" i="28" s="1"/>
  <c r="C12" i="28"/>
  <c r="D12" i="28" s="1"/>
  <c r="D9" i="5" s="1"/>
  <c r="C10" i="28"/>
  <c r="D10" i="28" s="1"/>
  <c r="C16" i="28"/>
  <c r="D16" i="28" s="1"/>
  <c r="G13" i="12" s="1"/>
  <c r="C14" i="28"/>
  <c r="D14" i="28" s="1"/>
  <c r="G11" i="12" s="1"/>
  <c r="C18" i="28"/>
  <c r="D18" i="28" s="1"/>
  <c r="G15" i="12" s="1"/>
  <c r="C24" i="28"/>
  <c r="D24" i="28" s="1"/>
  <c r="G21" i="12" s="1"/>
  <c r="C23" i="28"/>
  <c r="D23" i="28" s="1"/>
  <c r="G20" i="12" s="1"/>
  <c r="C13" i="28"/>
  <c r="D13" i="28" s="1"/>
  <c r="G10" i="12" s="1"/>
  <c r="C17" i="28"/>
  <c r="D17" i="28" s="1"/>
  <c r="G14" i="12" s="1"/>
  <c r="C25" i="28"/>
  <c r="D25" i="28" s="1"/>
  <c r="D22" i="5" s="1"/>
  <c r="C20" i="28"/>
  <c r="D20" i="28" s="1"/>
  <c r="G17" i="12" s="1"/>
  <c r="C22" i="28"/>
  <c r="D22" i="28" s="1"/>
  <c r="G19" i="12" s="1"/>
  <c r="C15" i="28"/>
  <c r="D15" i="28" s="1"/>
  <c r="G12" i="12" s="1"/>
  <c r="C21" i="28"/>
  <c r="D21" i="28" s="1"/>
  <c r="G18" i="12" s="1"/>
  <c r="C11" i="28"/>
  <c r="D11" i="28" s="1"/>
  <c r="D8" i="5" s="1"/>
  <c r="G9" i="12" l="1"/>
  <c r="D26" i="31"/>
  <c r="E23" i="5" s="1"/>
  <c r="J26" i="31" s="1"/>
  <c r="E7" i="5"/>
  <c r="D26" i="32"/>
  <c r="F7" i="5"/>
  <c r="D13" i="5"/>
  <c r="D14" i="5"/>
  <c r="D10" i="5"/>
  <c r="G22" i="12"/>
  <c r="D11" i="5"/>
  <c r="D20" i="5"/>
  <c r="D17" i="5"/>
  <c r="D18" i="5"/>
  <c r="D21" i="5"/>
  <c r="D19" i="5"/>
  <c r="D12" i="5"/>
  <c r="C26" i="28"/>
  <c r="D15" i="5"/>
  <c r="G8" i="12"/>
  <c r="D16" i="5"/>
  <c r="G16" i="12"/>
  <c r="D26" i="28"/>
  <c r="G7" i="12"/>
  <c r="D7" i="5"/>
  <c r="O48" i="15"/>
  <c r="P44" i="15"/>
  <c r="O44" i="15"/>
  <c r="P40" i="15"/>
  <c r="AD40" i="15" s="1"/>
  <c r="L50" i="15"/>
  <c r="T36" i="15"/>
  <c r="Q37" i="15" s="1"/>
  <c r="Q41" i="15" s="1"/>
  <c r="Q45" i="15" l="1"/>
  <c r="F23" i="5"/>
  <c r="O26" i="32" s="1"/>
  <c r="F7" i="12"/>
  <c r="F26" i="12" s="1"/>
  <c r="F60" i="12" s="1"/>
  <c r="F30" i="12" s="1"/>
  <c r="G26" i="12"/>
  <c r="G60" i="12" s="1"/>
  <c r="G30" i="12" s="1"/>
  <c r="D23" i="5"/>
  <c r="J26" i="28" s="1"/>
  <c r="AE41" i="15"/>
  <c r="AE45" i="15" s="1"/>
  <c r="AE49" i="15" s="1"/>
  <c r="AE53" i="15" s="1"/>
  <c r="AE57" i="15" s="1"/>
  <c r="AI41" i="15"/>
  <c r="AI45" i="15" s="1"/>
  <c r="AI49" i="15" s="1"/>
  <c r="AI53" i="15" s="1"/>
  <c r="AI57" i="15" s="1"/>
  <c r="AK41" i="15"/>
  <c r="AK45" i="15" s="1"/>
  <c r="AK49" i="15" s="1"/>
  <c r="AK53" i="15" s="1"/>
  <c r="AK57" i="15" s="1"/>
  <c r="AH41" i="15"/>
  <c r="AH45" i="15" s="1"/>
  <c r="AH49" i="15" s="1"/>
  <c r="AH53" i="15" s="1"/>
  <c r="AH57" i="15" s="1"/>
  <c r="AG41" i="15"/>
  <c r="AG45" i="15" s="1"/>
  <c r="AG49" i="15" s="1"/>
  <c r="AG53" i="15" s="1"/>
  <c r="AG57" i="15" s="1"/>
  <c r="E36" i="15"/>
  <c r="H36" i="15" s="1"/>
  <c r="H41" i="15" s="1"/>
  <c r="H45" i="15" s="1"/>
  <c r="H49" i="15" s="1"/>
  <c r="H53" i="15" s="1"/>
  <c r="H57" i="15" s="1"/>
  <c r="E41" i="15" l="1"/>
  <c r="E45" i="15" s="1"/>
  <c r="E49" i="15" s="1"/>
  <c r="E53" i="15" s="1"/>
  <c r="E57" i="15" s="1"/>
  <c r="G36" i="15"/>
  <c r="G41" i="15" s="1"/>
  <c r="G45" i="15" s="1"/>
  <c r="G49" i="15" s="1"/>
  <c r="G53" i="15" s="1"/>
  <c r="G57" i="15" s="1"/>
  <c r="F36" i="15"/>
  <c r="F41" i="15" s="1"/>
  <c r="F45" i="15" s="1"/>
  <c r="F49" i="15" s="1"/>
  <c r="F53" i="15" s="1"/>
  <c r="F57" i="15" s="1"/>
  <c r="AU79" i="15" l="1"/>
  <c r="P48" i="15"/>
  <c r="Q49" i="15" s="1"/>
  <c r="Q53" i="15" s="1"/>
  <c r="Q57" i="15" s="1"/>
  <c r="T11" i="15"/>
  <c r="O20" i="15"/>
  <c r="P20" i="15"/>
  <c r="Q21" i="15" s="1"/>
  <c r="O24" i="15"/>
  <c r="B22" i="21" l="1"/>
  <c r="K12" i="25" l="1"/>
  <c r="K20" i="25"/>
  <c r="K15" i="25"/>
  <c r="G22" i="25"/>
  <c r="K13" i="25"/>
  <c r="K21" i="25"/>
  <c r="K9" i="25"/>
  <c r="K14" i="25"/>
  <c r="K6" i="25"/>
  <c r="K8" i="25"/>
  <c r="K16" i="25"/>
  <c r="K10" i="25"/>
  <c r="K18" i="25"/>
  <c r="K7" i="25"/>
  <c r="K11" i="25"/>
  <c r="K19" i="25"/>
  <c r="K17" i="25"/>
  <c r="D11" i="6"/>
  <c r="E11" i="6"/>
  <c r="F11" i="6"/>
  <c r="G11" i="6"/>
  <c r="H11" i="6"/>
  <c r="C11" i="6"/>
  <c r="D10" i="6"/>
  <c r="E10" i="6"/>
  <c r="F10" i="6"/>
  <c r="G10" i="6"/>
  <c r="H10" i="6"/>
  <c r="C10" i="6"/>
  <c r="I22" i="25" l="1"/>
  <c r="H22" i="25"/>
  <c r="K22" i="25"/>
  <c r="L22" i="22"/>
  <c r="U22" i="22" s="1"/>
  <c r="L8" i="22"/>
  <c r="U8" i="22" s="1"/>
  <c r="L9" i="22"/>
  <c r="U9" i="22" s="1"/>
  <c r="L10" i="22"/>
  <c r="U10" i="22" s="1"/>
  <c r="L11" i="22"/>
  <c r="U11" i="22" s="1"/>
  <c r="L12" i="22"/>
  <c r="U12" i="22" s="1"/>
  <c r="L13" i="22"/>
  <c r="U13" i="22" s="1"/>
  <c r="L14" i="22"/>
  <c r="U14" i="22" s="1"/>
  <c r="L15" i="22"/>
  <c r="U15" i="22" s="1"/>
  <c r="L16" i="22"/>
  <c r="U16" i="22" s="1"/>
  <c r="L17" i="22"/>
  <c r="U17" i="22" s="1"/>
  <c r="L18" i="22"/>
  <c r="U18" i="22" s="1"/>
  <c r="L19" i="22"/>
  <c r="U19" i="22" s="1"/>
  <c r="L20" i="22"/>
  <c r="U20" i="22" s="1"/>
  <c r="L21" i="22"/>
  <c r="U21" i="22" s="1"/>
  <c r="L7" i="22"/>
  <c r="U7" i="22" s="1"/>
  <c r="AA23" i="22" l="1"/>
  <c r="Z23" i="22"/>
  <c r="V23" i="22"/>
  <c r="AB23" i="22" l="1"/>
  <c r="B24" i="15" l="1"/>
  <c r="C25" i="15" l="1"/>
  <c r="P24" i="15"/>
  <c r="Q25" i="15" s="1"/>
  <c r="AA22" i="22" l="1"/>
  <c r="AA21" i="22"/>
  <c r="AA20" i="22"/>
  <c r="AA19" i="22"/>
  <c r="AA18" i="22"/>
  <c r="AA17" i="22"/>
  <c r="AA16" i="22"/>
  <c r="AA15" i="22"/>
  <c r="AA14" i="22"/>
  <c r="AA13" i="22"/>
  <c r="AA12" i="22"/>
  <c r="AA11" i="22"/>
  <c r="AA10" i="22"/>
  <c r="AA9" i="22"/>
  <c r="AA8" i="22"/>
  <c r="AA7" i="22"/>
  <c r="L24" i="22"/>
  <c r="F24" i="22"/>
  <c r="I24" i="22"/>
  <c r="AA24" i="22" l="1"/>
  <c r="AT75" i="15"/>
  <c r="AU71" i="15"/>
  <c r="AW72" i="15" s="1"/>
  <c r="AT71" i="15"/>
  <c r="AC24" i="15"/>
  <c r="AV72" i="15" l="1"/>
  <c r="H25" i="15" l="1"/>
  <c r="E25" i="15"/>
  <c r="D25" i="15"/>
  <c r="F25" i="15"/>
  <c r="G25" i="15"/>
  <c r="AU75" i="15"/>
  <c r="AD24" i="15"/>
  <c r="U24" i="22"/>
  <c r="O24" i="22"/>
  <c r="C24" i="22"/>
  <c r="AW76" i="15" l="1"/>
  <c r="AW80" i="15" s="1"/>
  <c r="AW84" i="15" s="1"/>
  <c r="C8" i="10" s="1"/>
  <c r="AV76" i="15"/>
  <c r="AV80" i="15" s="1"/>
  <c r="AV84" i="15" s="1"/>
  <c r="AV88" i="15" s="1"/>
  <c r="C7" i="10" s="1"/>
  <c r="A3" i="22" l="1"/>
  <c r="A4" i="3" l="1"/>
  <c r="A14" i="6"/>
  <c r="B43" i="21" l="1"/>
  <c r="C43" i="21"/>
  <c r="D43" i="21"/>
  <c r="E43" i="21"/>
  <c r="F43" i="21"/>
  <c r="F22" i="21"/>
  <c r="B26" i="23" l="1"/>
  <c r="K21" i="12"/>
  <c r="Q21" i="22" s="1"/>
  <c r="K20" i="12"/>
  <c r="Q20" i="22" s="1"/>
  <c r="K19" i="12"/>
  <c r="Q19" i="22" s="1"/>
  <c r="K18" i="12"/>
  <c r="Q18" i="22" s="1"/>
  <c r="K17" i="12"/>
  <c r="Q17" i="22" s="1"/>
  <c r="K16" i="12"/>
  <c r="Q16" i="22" s="1"/>
  <c r="K15" i="12"/>
  <c r="Q15" i="22" s="1"/>
  <c r="K14" i="12"/>
  <c r="Q14" i="22" s="1"/>
  <c r="K13" i="12"/>
  <c r="Q13" i="22" s="1"/>
  <c r="K12" i="12"/>
  <c r="Q12" i="22" s="1"/>
  <c r="K11" i="12"/>
  <c r="Q11" i="22" s="1"/>
  <c r="K10" i="12"/>
  <c r="Q10" i="22" s="1"/>
  <c r="K9" i="12"/>
  <c r="Q9" i="22" s="1"/>
  <c r="K8" i="12"/>
  <c r="Q8" i="22" s="1"/>
  <c r="K7" i="12"/>
  <c r="Q7" i="22" s="1"/>
  <c r="A3" i="9" l="1"/>
  <c r="B9" i="20" l="1"/>
  <c r="L8" i="15" l="1"/>
  <c r="L10" i="15" l="1"/>
  <c r="T12" i="15" s="1"/>
  <c r="Q8" i="15" s="1"/>
  <c r="L42" i="21"/>
  <c r="L41" i="21"/>
  <c r="L40" i="21"/>
  <c r="L39" i="21"/>
  <c r="L38" i="21"/>
  <c r="L37" i="21"/>
  <c r="L36" i="21"/>
  <c r="L35" i="21"/>
  <c r="L34" i="21"/>
  <c r="L33" i="21"/>
  <c r="L32" i="21"/>
  <c r="L31" i="21"/>
  <c r="L30" i="21"/>
  <c r="L29" i="21"/>
  <c r="L28" i="21"/>
  <c r="L27" i="21"/>
  <c r="B24" i="20" l="1"/>
  <c r="B23" i="20"/>
  <c r="B22" i="20"/>
  <c r="B21" i="20"/>
  <c r="B20" i="20"/>
  <c r="B19" i="20"/>
  <c r="B18" i="20"/>
  <c r="B17" i="20"/>
  <c r="B16" i="20"/>
  <c r="B15" i="20"/>
  <c r="B14" i="20"/>
  <c r="B13" i="20"/>
  <c r="B12" i="20"/>
  <c r="B11" i="20"/>
  <c r="B10" i="20"/>
  <c r="A13" i="10"/>
  <c r="B29" i="10"/>
  <c r="B28" i="10"/>
  <c r="B27" i="10"/>
  <c r="B26" i="10"/>
  <c r="B25" i="10"/>
  <c r="B24" i="10"/>
  <c r="B23" i="10"/>
  <c r="B22" i="10"/>
  <c r="B21" i="10"/>
  <c r="B20" i="10"/>
  <c r="B19" i="10"/>
  <c r="B18" i="10"/>
  <c r="B17" i="10"/>
  <c r="B16" i="10"/>
  <c r="B15" i="10"/>
  <c r="B14" i="10"/>
  <c r="A11" i="14"/>
  <c r="A21" i="8"/>
  <c r="L43" i="21"/>
  <c r="F37" i="8"/>
  <c r="F36" i="8"/>
  <c r="F35" i="8"/>
  <c r="F34" i="8"/>
  <c r="F33" i="8"/>
  <c r="F32" i="8"/>
  <c r="F31" i="8"/>
  <c r="F30" i="8"/>
  <c r="F29" i="8"/>
  <c r="F28" i="8"/>
  <c r="F27" i="8"/>
  <c r="F26" i="8"/>
  <c r="F25" i="8"/>
  <c r="F24" i="8"/>
  <c r="F23" i="8"/>
  <c r="F22" i="8"/>
  <c r="E37" i="8"/>
  <c r="E36" i="8"/>
  <c r="E35" i="8"/>
  <c r="E34" i="8"/>
  <c r="E33" i="8"/>
  <c r="E32" i="8"/>
  <c r="E31" i="8"/>
  <c r="E30" i="8"/>
  <c r="E29" i="8"/>
  <c r="E28" i="8"/>
  <c r="E27" i="8"/>
  <c r="E26" i="8"/>
  <c r="E25" i="8"/>
  <c r="E24" i="8"/>
  <c r="E23" i="8"/>
  <c r="E22" i="8"/>
  <c r="D37" i="8"/>
  <c r="D36" i="8"/>
  <c r="D35" i="8"/>
  <c r="D34" i="8"/>
  <c r="D33" i="8"/>
  <c r="D32" i="8"/>
  <c r="D31" i="8"/>
  <c r="D30" i="8"/>
  <c r="D29" i="8"/>
  <c r="D28" i="8"/>
  <c r="D27" i="8"/>
  <c r="D26" i="8"/>
  <c r="D25" i="8"/>
  <c r="D24" i="8"/>
  <c r="D23" i="8"/>
  <c r="D22" i="8"/>
  <c r="C37" i="8"/>
  <c r="C36" i="8"/>
  <c r="C35" i="8"/>
  <c r="C34" i="8"/>
  <c r="C33" i="8"/>
  <c r="C32" i="8"/>
  <c r="C31" i="8"/>
  <c r="C30" i="8"/>
  <c r="C29" i="8"/>
  <c r="C28" i="8"/>
  <c r="C27" i="8"/>
  <c r="C26" i="8"/>
  <c r="C25" i="8"/>
  <c r="C24" i="8"/>
  <c r="C23" i="8"/>
  <c r="C22" i="8"/>
  <c r="B37" i="8"/>
  <c r="B36" i="8"/>
  <c r="B35" i="8"/>
  <c r="B34" i="8"/>
  <c r="B33" i="8"/>
  <c r="B32" i="8"/>
  <c r="B31" i="8"/>
  <c r="B30" i="8"/>
  <c r="B29" i="8"/>
  <c r="B28" i="8"/>
  <c r="B27" i="8"/>
  <c r="B26" i="8"/>
  <c r="B25" i="8"/>
  <c r="B24" i="8"/>
  <c r="B23" i="8"/>
  <c r="B22" i="8"/>
  <c r="M43" i="21"/>
  <c r="B30" i="6"/>
  <c r="B29" i="6"/>
  <c r="B28" i="6"/>
  <c r="B27" i="6"/>
  <c r="B26" i="6"/>
  <c r="B25" i="6"/>
  <c r="B24" i="6"/>
  <c r="B23" i="6"/>
  <c r="B22" i="6"/>
  <c r="B21" i="6"/>
  <c r="B20" i="6"/>
  <c r="B19" i="6"/>
  <c r="B18" i="6"/>
  <c r="B17" i="6"/>
  <c r="B16" i="6"/>
  <c r="B15" i="6"/>
  <c r="F37" i="6" s="1"/>
  <c r="L33" i="8" l="1"/>
  <c r="B54" i="8"/>
  <c r="I54" i="8" s="1"/>
  <c r="B17" i="27" s="1"/>
  <c r="D18" i="12" s="1"/>
  <c r="L27" i="8"/>
  <c r="B48" i="8"/>
  <c r="I48" i="8" s="1"/>
  <c r="B11" i="27" s="1"/>
  <c r="D12" i="12" s="1"/>
  <c r="L25" i="8"/>
  <c r="B46" i="8"/>
  <c r="I46" i="8" s="1"/>
  <c r="B9" i="27" s="1"/>
  <c r="D10" i="12" s="1"/>
  <c r="L26" i="8"/>
  <c r="B47" i="8"/>
  <c r="I47" i="8" s="1"/>
  <c r="B10" i="27" s="1"/>
  <c r="D11" i="12" s="1"/>
  <c r="L34" i="8"/>
  <c r="B55" i="8"/>
  <c r="I55" i="8" s="1"/>
  <c r="B18" i="27" s="1"/>
  <c r="D19" i="12" s="1"/>
  <c r="L29" i="8"/>
  <c r="B50" i="8"/>
  <c r="I50" i="8" s="1"/>
  <c r="B13" i="27" s="1"/>
  <c r="D14" i="12" s="1"/>
  <c r="L37" i="8"/>
  <c r="B58" i="8"/>
  <c r="I58" i="8" s="1"/>
  <c r="B21" i="27" s="1"/>
  <c r="D22" i="12" s="1"/>
  <c r="L22" i="8"/>
  <c r="B43" i="8"/>
  <c r="L30" i="8"/>
  <c r="B51" i="8"/>
  <c r="I51" i="8" s="1"/>
  <c r="B14" i="27" s="1"/>
  <c r="D15" i="12" s="1"/>
  <c r="L35" i="8"/>
  <c r="B56" i="8"/>
  <c r="I56" i="8" s="1"/>
  <c r="B19" i="27" s="1"/>
  <c r="D20" i="12" s="1"/>
  <c r="L36" i="8"/>
  <c r="B57" i="8"/>
  <c r="I57" i="8" s="1"/>
  <c r="B20" i="27" s="1"/>
  <c r="D21" i="12" s="1"/>
  <c r="L23" i="8"/>
  <c r="B44" i="8"/>
  <c r="I44" i="8" s="1"/>
  <c r="B7" i="27" s="1"/>
  <c r="D8" i="12" s="1"/>
  <c r="L31" i="8"/>
  <c r="B52" i="8"/>
  <c r="I52" i="8" s="1"/>
  <c r="B15" i="27" s="1"/>
  <c r="D16" i="12" s="1"/>
  <c r="L28" i="8"/>
  <c r="B49" i="8"/>
  <c r="I49" i="8" s="1"/>
  <c r="B12" i="27" s="1"/>
  <c r="D13" i="12" s="1"/>
  <c r="L24" i="8"/>
  <c r="B45" i="8"/>
  <c r="I45" i="8" s="1"/>
  <c r="B8" i="27" s="1"/>
  <c r="D9" i="12" s="1"/>
  <c r="L32" i="8"/>
  <c r="B53" i="8"/>
  <c r="I53" i="8" s="1"/>
  <c r="B16" i="27" s="1"/>
  <c r="D17" i="12" s="1"/>
  <c r="E14" i="10"/>
  <c r="D14" i="10"/>
  <c r="E18" i="10"/>
  <c r="D18" i="10"/>
  <c r="E22" i="10"/>
  <c r="D22" i="10"/>
  <c r="D26" i="10"/>
  <c r="E26" i="10"/>
  <c r="D15" i="10"/>
  <c r="E15" i="10"/>
  <c r="D19" i="10"/>
  <c r="E19" i="10"/>
  <c r="D23" i="10"/>
  <c r="E23" i="10"/>
  <c r="E27" i="10"/>
  <c r="D27" i="10"/>
  <c r="D16" i="10"/>
  <c r="E16" i="10"/>
  <c r="D20" i="10"/>
  <c r="E20" i="10"/>
  <c r="E24" i="10"/>
  <c r="D24" i="10"/>
  <c r="D28" i="10"/>
  <c r="E28" i="10"/>
  <c r="D17" i="10"/>
  <c r="E17" i="10"/>
  <c r="D21" i="10"/>
  <c r="E21" i="10"/>
  <c r="E25" i="10"/>
  <c r="D25" i="10"/>
  <c r="D29" i="10"/>
  <c r="E29" i="10"/>
  <c r="B25" i="20"/>
  <c r="I43" i="8" l="1"/>
  <c r="B6" i="27" s="1"/>
  <c r="D7" i="12" s="1"/>
  <c r="B59" i="8"/>
  <c r="I59" i="8" s="1"/>
  <c r="B22" i="27" s="1"/>
  <c r="D26" i="12" s="1"/>
  <c r="D60" i="12" s="1"/>
  <c r="D30" i="12" s="1"/>
  <c r="B12" i="15"/>
  <c r="P12" i="15" s="1"/>
  <c r="Q13" i="15" s="1"/>
  <c r="D8" i="15"/>
  <c r="C8" i="15"/>
  <c r="F8" i="15"/>
  <c r="G8" i="15"/>
  <c r="G13" i="15" s="1"/>
  <c r="H8" i="15"/>
  <c r="B28" i="14"/>
  <c r="E13" i="15" l="1"/>
  <c r="AD12" i="15"/>
  <c r="F13" i="15"/>
  <c r="C13" i="15"/>
  <c r="H13" i="15"/>
  <c r="D13" i="15"/>
  <c r="AI13" i="15" l="1"/>
  <c r="AI17" i="15" s="1"/>
  <c r="AI21" i="15" s="1"/>
  <c r="AE13" i="15"/>
  <c r="AE17" i="15" s="1"/>
  <c r="AE21" i="15" s="1"/>
  <c r="AK13" i="15"/>
  <c r="AK17" i="15" s="1"/>
  <c r="AK21" i="15" s="1"/>
  <c r="AK25" i="15" s="1"/>
  <c r="AH13" i="15"/>
  <c r="AH17" i="15" s="1"/>
  <c r="AH21" i="15" s="1"/>
  <c r="AG13" i="15"/>
  <c r="AG17" i="15" s="1"/>
  <c r="AG21" i="15" s="1"/>
  <c r="AH25" i="15" l="1"/>
  <c r="AE25" i="15"/>
  <c r="AG25" i="15"/>
  <c r="AI25" i="15"/>
  <c r="B31" i="6"/>
  <c r="E69" i="8" l="1"/>
  <c r="B30" i="10"/>
  <c r="D76" i="8" l="1"/>
  <c r="D72" i="8"/>
  <c r="D68" i="8"/>
  <c r="D64" i="8"/>
  <c r="D73" i="8"/>
  <c r="D65" i="8"/>
  <c r="D79" i="8"/>
  <c r="D75" i="8"/>
  <c r="D71" i="8"/>
  <c r="D67" i="8"/>
  <c r="D78" i="8"/>
  <c r="D74" i="8"/>
  <c r="D70" i="8"/>
  <c r="D66" i="8"/>
  <c r="D77" i="8"/>
  <c r="D69" i="8"/>
  <c r="B76" i="8"/>
  <c r="B72" i="8"/>
  <c r="B68" i="8"/>
  <c r="B64" i="8"/>
  <c r="B77" i="8"/>
  <c r="B69" i="8"/>
  <c r="B79" i="8"/>
  <c r="B75" i="8"/>
  <c r="B71" i="8"/>
  <c r="B67" i="8"/>
  <c r="B78" i="8"/>
  <c r="B74" i="8"/>
  <c r="B70" i="8"/>
  <c r="B66" i="8"/>
  <c r="B73" i="8"/>
  <c r="B65" i="8"/>
  <c r="E12" i="14"/>
  <c r="C12" i="14"/>
  <c r="C13" i="14"/>
  <c r="C14" i="14"/>
  <c r="C15" i="14"/>
  <c r="C16" i="14"/>
  <c r="C17" i="14"/>
  <c r="C18" i="14"/>
  <c r="C19" i="14"/>
  <c r="C20" i="14"/>
  <c r="C21" i="14"/>
  <c r="C22" i="14"/>
  <c r="C23" i="14"/>
  <c r="C24" i="14"/>
  <c r="C25" i="14"/>
  <c r="C26" i="14"/>
  <c r="C27" i="14"/>
  <c r="F76" i="8"/>
  <c r="F72" i="8"/>
  <c r="F68" i="8"/>
  <c r="F64" i="8"/>
  <c r="F73" i="8"/>
  <c r="F65" i="8"/>
  <c r="F79" i="8"/>
  <c r="F75" i="8"/>
  <c r="F71" i="8"/>
  <c r="F67" i="8"/>
  <c r="F78" i="8"/>
  <c r="F74" i="8"/>
  <c r="F70" i="8"/>
  <c r="F66" i="8"/>
  <c r="F77" i="8"/>
  <c r="F69" i="8"/>
  <c r="E76" i="8"/>
  <c r="E72" i="8"/>
  <c r="E68" i="8"/>
  <c r="E64" i="8"/>
  <c r="E73" i="8"/>
  <c r="E65" i="8"/>
  <c r="E79" i="8"/>
  <c r="E75" i="8"/>
  <c r="E71" i="8"/>
  <c r="E67" i="8"/>
  <c r="E78" i="8"/>
  <c r="E74" i="8"/>
  <c r="E70" i="8"/>
  <c r="E66" i="8"/>
  <c r="E77" i="8"/>
  <c r="E25" i="14"/>
  <c r="E21" i="14"/>
  <c r="E17" i="14"/>
  <c r="E13" i="14"/>
  <c r="E24" i="14"/>
  <c r="E20" i="14"/>
  <c r="E16" i="14"/>
  <c r="E27" i="14"/>
  <c r="E23" i="14"/>
  <c r="E19" i="14"/>
  <c r="E15" i="14"/>
  <c r="E26" i="14"/>
  <c r="E22" i="14"/>
  <c r="E18" i="14"/>
  <c r="E14" i="14"/>
  <c r="G74" i="8" l="1"/>
  <c r="G75" i="8"/>
  <c r="G64" i="8"/>
  <c r="G73" i="8"/>
  <c r="G65" i="8"/>
  <c r="G78" i="8"/>
  <c r="G79" i="8"/>
  <c r="G68" i="8"/>
  <c r="G66" i="8"/>
  <c r="G67" i="8"/>
  <c r="G69" i="8"/>
  <c r="G72" i="8"/>
  <c r="G70" i="8"/>
  <c r="G71" i="8"/>
  <c r="G77" i="8"/>
  <c r="G76" i="8"/>
  <c r="C28" i="14"/>
  <c r="C11" i="11"/>
  <c r="D11" i="11" s="1"/>
  <c r="C12" i="11"/>
  <c r="D12" i="11" s="1"/>
  <c r="B22" i="12"/>
  <c r="B21" i="9"/>
  <c r="B17" i="9"/>
  <c r="B13" i="9"/>
  <c r="B9" i="9"/>
  <c r="B20" i="9"/>
  <c r="B16" i="9"/>
  <c r="B12" i="9"/>
  <c r="B8" i="9"/>
  <c r="B19" i="9"/>
  <c r="B15" i="9"/>
  <c r="B11" i="9"/>
  <c r="B7" i="9"/>
  <c r="B18" i="9"/>
  <c r="B14" i="9"/>
  <c r="B10" i="9"/>
  <c r="M73" i="6"/>
  <c r="C25" i="11"/>
  <c r="D25" i="11" s="1"/>
  <c r="C24" i="11"/>
  <c r="D24" i="11" s="1"/>
  <c r="C23" i="11"/>
  <c r="D23" i="11" s="1"/>
  <c r="C22" i="11"/>
  <c r="D22" i="11" s="1"/>
  <c r="C21" i="11"/>
  <c r="D21" i="11" s="1"/>
  <c r="C20" i="11"/>
  <c r="D20" i="11" s="1"/>
  <c r="C19" i="11"/>
  <c r="D19" i="11" s="1"/>
  <c r="C18" i="11"/>
  <c r="D18" i="11" s="1"/>
  <c r="C17" i="11"/>
  <c r="D17" i="11" s="1"/>
  <c r="C16" i="11"/>
  <c r="D16" i="11" s="1"/>
  <c r="C15" i="11"/>
  <c r="D15" i="11" s="1"/>
  <c r="C14" i="11"/>
  <c r="D14" i="11" s="1"/>
  <c r="C13" i="11"/>
  <c r="D13" i="11" s="1"/>
  <c r="C10" i="11"/>
  <c r="D10" i="11" s="1"/>
  <c r="K129" i="6"/>
  <c r="J129" i="6"/>
  <c r="I129" i="6"/>
  <c r="H129" i="6"/>
  <c r="G129" i="6"/>
  <c r="F129" i="6"/>
  <c r="K117" i="6"/>
  <c r="J117" i="6"/>
  <c r="I117" i="6"/>
  <c r="H117" i="6"/>
  <c r="G117" i="6"/>
  <c r="F117" i="6"/>
  <c r="K105" i="6"/>
  <c r="J105" i="6"/>
  <c r="I105" i="6"/>
  <c r="H105" i="6"/>
  <c r="G105" i="6"/>
  <c r="F105" i="6"/>
  <c r="K99" i="6"/>
  <c r="J99" i="6"/>
  <c r="I99" i="6"/>
  <c r="H99" i="6"/>
  <c r="G99" i="6"/>
  <c r="F99" i="6"/>
  <c r="K93" i="6"/>
  <c r="J93" i="6"/>
  <c r="I93" i="6"/>
  <c r="H93" i="6"/>
  <c r="G93" i="6"/>
  <c r="F93" i="6"/>
  <c r="K75" i="6"/>
  <c r="J75" i="6"/>
  <c r="I75" i="6"/>
  <c r="H75" i="6"/>
  <c r="G75" i="6"/>
  <c r="F75" i="6"/>
  <c r="K69" i="6"/>
  <c r="J69" i="6"/>
  <c r="I69" i="6"/>
  <c r="H69" i="6"/>
  <c r="G69" i="6"/>
  <c r="F69" i="6"/>
  <c r="K63" i="6"/>
  <c r="J63" i="6"/>
  <c r="I63" i="6"/>
  <c r="H63" i="6"/>
  <c r="G63" i="6"/>
  <c r="F63" i="6"/>
  <c r="K51" i="6"/>
  <c r="J51" i="6"/>
  <c r="I51" i="6"/>
  <c r="H51" i="6"/>
  <c r="G51" i="6"/>
  <c r="F51" i="6"/>
  <c r="K45" i="6"/>
  <c r="J45" i="6"/>
  <c r="I45" i="6"/>
  <c r="H45" i="6"/>
  <c r="G45" i="6"/>
  <c r="F45" i="6"/>
  <c r="M127" i="6"/>
  <c r="K128" i="6"/>
  <c r="J128" i="6"/>
  <c r="I128" i="6"/>
  <c r="H128" i="6"/>
  <c r="M121" i="6"/>
  <c r="K122" i="6"/>
  <c r="J122" i="6"/>
  <c r="I122" i="6"/>
  <c r="H122" i="6"/>
  <c r="M115" i="6"/>
  <c r="K116" i="6"/>
  <c r="J116" i="6"/>
  <c r="I116" i="6"/>
  <c r="H116" i="6"/>
  <c r="M109" i="6"/>
  <c r="K110" i="6"/>
  <c r="J110" i="6"/>
  <c r="I110" i="6"/>
  <c r="H110" i="6"/>
  <c r="M103" i="6"/>
  <c r="K104" i="6"/>
  <c r="J104" i="6"/>
  <c r="I104" i="6"/>
  <c r="H104" i="6"/>
  <c r="M97" i="6"/>
  <c r="K98" i="6"/>
  <c r="J98" i="6"/>
  <c r="I98" i="6"/>
  <c r="H98" i="6"/>
  <c r="M91" i="6"/>
  <c r="K92" i="6"/>
  <c r="K94" i="6" s="1"/>
  <c r="J92" i="6"/>
  <c r="J94" i="6" s="1"/>
  <c r="I92" i="6"/>
  <c r="I94" i="6" s="1"/>
  <c r="H92" i="6"/>
  <c r="H94" i="6" s="1"/>
  <c r="M85" i="6"/>
  <c r="K86" i="6"/>
  <c r="J86" i="6"/>
  <c r="I86" i="6"/>
  <c r="H86" i="6"/>
  <c r="M79" i="6"/>
  <c r="K80" i="6"/>
  <c r="J80" i="6"/>
  <c r="I80" i="6"/>
  <c r="H80" i="6"/>
  <c r="K74" i="6"/>
  <c r="J74" i="6"/>
  <c r="I74" i="6"/>
  <c r="H74" i="6"/>
  <c r="M67" i="6"/>
  <c r="K68" i="6"/>
  <c r="J68" i="6"/>
  <c r="I68" i="6"/>
  <c r="H68" i="6"/>
  <c r="M61" i="6"/>
  <c r="K62" i="6"/>
  <c r="J62" i="6"/>
  <c r="J64" i="6" s="1"/>
  <c r="I62" i="6"/>
  <c r="I64" i="6" s="1"/>
  <c r="H62" i="6"/>
  <c r="H64" i="6" s="1"/>
  <c r="M55" i="6"/>
  <c r="M49" i="6"/>
  <c r="M37" i="6"/>
  <c r="M43" i="6"/>
  <c r="K56" i="6"/>
  <c r="J56" i="6"/>
  <c r="I56" i="6"/>
  <c r="H56" i="6"/>
  <c r="K50" i="6"/>
  <c r="J50" i="6"/>
  <c r="I50" i="6"/>
  <c r="H50" i="6"/>
  <c r="K44" i="6"/>
  <c r="J44" i="6"/>
  <c r="I44" i="6"/>
  <c r="H44" i="6"/>
  <c r="K38" i="6"/>
  <c r="J38" i="6"/>
  <c r="I38" i="6"/>
  <c r="H38" i="6"/>
  <c r="K111" i="6"/>
  <c r="J111" i="6"/>
  <c r="I87" i="6"/>
  <c r="H81" i="6"/>
  <c r="G111" i="6"/>
  <c r="K123" i="6"/>
  <c r="J123" i="6"/>
  <c r="I123" i="6"/>
  <c r="H57" i="6"/>
  <c r="G123" i="6"/>
  <c r="F123" i="6"/>
  <c r="B19" i="12" l="1"/>
  <c r="B20" i="12"/>
  <c r="B21" i="12"/>
  <c r="B8" i="12"/>
  <c r="B9" i="12"/>
  <c r="B10" i="12"/>
  <c r="B11" i="12"/>
  <c r="B12" i="12"/>
  <c r="B13" i="12"/>
  <c r="B14" i="12"/>
  <c r="B15" i="12"/>
  <c r="B16" i="12"/>
  <c r="B17" i="12"/>
  <c r="B18" i="12"/>
  <c r="J8" i="12"/>
  <c r="N8" i="22" s="1"/>
  <c r="P8" i="22" s="1"/>
  <c r="D7" i="9"/>
  <c r="J9" i="12"/>
  <c r="N9" i="22" s="1"/>
  <c r="P9" i="22" s="1"/>
  <c r="D8" i="9"/>
  <c r="J10" i="12"/>
  <c r="N10" i="22" s="1"/>
  <c r="P10" i="22" s="1"/>
  <c r="D9" i="9"/>
  <c r="J11" i="12"/>
  <c r="N11" i="22" s="1"/>
  <c r="P11" i="22" s="1"/>
  <c r="D10" i="9"/>
  <c r="J12" i="12"/>
  <c r="N12" i="22" s="1"/>
  <c r="P12" i="22" s="1"/>
  <c r="D11" i="9"/>
  <c r="J13" i="12"/>
  <c r="N13" i="22" s="1"/>
  <c r="P13" i="22" s="1"/>
  <c r="D12" i="9"/>
  <c r="J14" i="12"/>
  <c r="N14" i="22" s="1"/>
  <c r="P14" i="22" s="1"/>
  <c r="D13" i="9"/>
  <c r="J15" i="12"/>
  <c r="N15" i="22" s="1"/>
  <c r="P15" i="22" s="1"/>
  <c r="D14" i="9"/>
  <c r="J16" i="12"/>
  <c r="N16" i="22" s="1"/>
  <c r="P16" i="22" s="1"/>
  <c r="D15" i="9"/>
  <c r="J17" i="12"/>
  <c r="N17" i="22" s="1"/>
  <c r="P17" i="22" s="1"/>
  <c r="D16" i="9"/>
  <c r="J18" i="12"/>
  <c r="N18" i="22" s="1"/>
  <c r="P18" i="22" s="1"/>
  <c r="D17" i="9"/>
  <c r="J19" i="12"/>
  <c r="N19" i="22" s="1"/>
  <c r="P19" i="22" s="1"/>
  <c r="D18" i="9"/>
  <c r="J20" i="12"/>
  <c r="N20" i="22" s="1"/>
  <c r="P20" i="22" s="1"/>
  <c r="D19" i="9"/>
  <c r="J21" i="12"/>
  <c r="N21" i="22" s="1"/>
  <c r="P21" i="22" s="1"/>
  <c r="D20" i="9"/>
  <c r="J22" i="12"/>
  <c r="N22" i="22" s="1"/>
  <c r="P22" i="22" s="1"/>
  <c r="F111" i="6"/>
  <c r="B22" i="22"/>
  <c r="G80" i="8"/>
  <c r="B7" i="12"/>
  <c r="C22" i="5"/>
  <c r="E22" i="12" s="1"/>
  <c r="H22" i="22" s="1"/>
  <c r="C18" i="5"/>
  <c r="E18" i="12" s="1"/>
  <c r="H18" i="22" s="1"/>
  <c r="C9" i="5"/>
  <c r="E9" i="12" s="1"/>
  <c r="H9" i="22" s="1"/>
  <c r="C17" i="5"/>
  <c r="E17" i="12" s="1"/>
  <c r="H17" i="22" s="1"/>
  <c r="C14" i="5"/>
  <c r="E14" i="12" s="1"/>
  <c r="H14" i="22" s="1"/>
  <c r="C15" i="5"/>
  <c r="E15" i="12" s="1"/>
  <c r="H15" i="22" s="1"/>
  <c r="C8" i="5"/>
  <c r="E8" i="12" s="1"/>
  <c r="H8" i="22" s="1"/>
  <c r="C12" i="5"/>
  <c r="E12" i="12" s="1"/>
  <c r="H12" i="22" s="1"/>
  <c r="C16" i="5"/>
  <c r="E16" i="12" s="1"/>
  <c r="H16" i="22" s="1"/>
  <c r="C20" i="5"/>
  <c r="E20" i="12" s="1"/>
  <c r="H20" i="22" s="1"/>
  <c r="E30" i="10"/>
  <c r="C21" i="9" s="1"/>
  <c r="D21" i="9" s="1"/>
  <c r="B6" i="9"/>
  <c r="D30" i="10"/>
  <c r="C13" i="5"/>
  <c r="E13" i="12" s="1"/>
  <c r="H13" i="22" s="1"/>
  <c r="C21" i="5"/>
  <c r="E21" i="12" s="1"/>
  <c r="H21" i="22" s="1"/>
  <c r="C10" i="5"/>
  <c r="E10" i="12" s="1"/>
  <c r="H10" i="22" s="1"/>
  <c r="C11" i="5"/>
  <c r="E11" i="12" s="1"/>
  <c r="H11" i="22" s="1"/>
  <c r="C19" i="5"/>
  <c r="E19" i="12" s="1"/>
  <c r="H19" i="22" s="1"/>
  <c r="C26" i="11"/>
  <c r="K130" i="6"/>
  <c r="J52" i="6"/>
  <c r="K70" i="6"/>
  <c r="H76" i="6"/>
  <c r="G57" i="6"/>
  <c r="J57" i="6"/>
  <c r="J58" i="6" s="1"/>
  <c r="J70" i="6"/>
  <c r="H100" i="6"/>
  <c r="K57" i="6"/>
  <c r="K58" i="6" s="1"/>
  <c r="J106" i="6"/>
  <c r="H118" i="6"/>
  <c r="J130" i="6"/>
  <c r="F57" i="6"/>
  <c r="H123" i="6"/>
  <c r="H124" i="6" s="1"/>
  <c r="H70" i="6"/>
  <c r="I106" i="6"/>
  <c r="K118" i="6"/>
  <c r="I57" i="6"/>
  <c r="I58" i="6" s="1"/>
  <c r="I70" i="6"/>
  <c r="H130" i="6"/>
  <c r="I130" i="6"/>
  <c r="I118" i="6"/>
  <c r="J118" i="6"/>
  <c r="K106" i="6"/>
  <c r="H106" i="6"/>
  <c r="I100" i="6"/>
  <c r="J100" i="6"/>
  <c r="K100" i="6"/>
  <c r="I76" i="6"/>
  <c r="J76" i="6"/>
  <c r="K76" i="6"/>
  <c r="K64" i="6"/>
  <c r="K52" i="6"/>
  <c r="I52" i="6"/>
  <c r="F87" i="6"/>
  <c r="J46" i="6"/>
  <c r="F81" i="6"/>
  <c r="I81" i="6"/>
  <c r="I82" i="6" s="1"/>
  <c r="K124" i="6"/>
  <c r="K46" i="6"/>
  <c r="K81" i="6"/>
  <c r="K82" i="6" s="1"/>
  <c r="J87" i="6"/>
  <c r="J88" i="6" s="1"/>
  <c r="G81" i="6"/>
  <c r="K87" i="6"/>
  <c r="K88" i="6" s="1"/>
  <c r="J81" i="6"/>
  <c r="J82" i="6" s="1"/>
  <c r="G87" i="6"/>
  <c r="H39" i="6"/>
  <c r="H40" i="6" s="1"/>
  <c r="H111" i="6"/>
  <c r="H112" i="6" s="1"/>
  <c r="I46" i="6"/>
  <c r="H82" i="6"/>
  <c r="I39" i="6"/>
  <c r="I40" i="6" s="1"/>
  <c r="I111" i="6"/>
  <c r="I112" i="6" s="1"/>
  <c r="I88" i="6"/>
  <c r="I124" i="6"/>
  <c r="F39" i="6"/>
  <c r="J39" i="6"/>
  <c r="J40" i="6" s="1"/>
  <c r="H87" i="6"/>
  <c r="H88" i="6" s="1"/>
  <c r="G39" i="6"/>
  <c r="K39" i="6"/>
  <c r="K40" i="6" s="1"/>
  <c r="H46" i="6"/>
  <c r="J124" i="6"/>
  <c r="J112" i="6"/>
  <c r="K112" i="6"/>
  <c r="H58" i="6"/>
  <c r="H52" i="6"/>
  <c r="B49" i="14"/>
  <c r="B48" i="14"/>
  <c r="B47" i="14"/>
  <c r="B46" i="14"/>
  <c r="B45" i="14"/>
  <c r="B44" i="14"/>
  <c r="B43" i="14"/>
  <c r="B42" i="14"/>
  <c r="B41" i="14"/>
  <c r="B40" i="14"/>
  <c r="B39" i="14"/>
  <c r="B38" i="14"/>
  <c r="B37" i="14"/>
  <c r="B36" i="14"/>
  <c r="B35" i="14"/>
  <c r="B34" i="14"/>
  <c r="D26" i="14"/>
  <c r="F58" i="8"/>
  <c r="E58" i="8"/>
  <c r="D58" i="8"/>
  <c r="F56" i="8"/>
  <c r="E56" i="8"/>
  <c r="D56" i="8"/>
  <c r="F54" i="8"/>
  <c r="E54" i="8"/>
  <c r="D54" i="8"/>
  <c r="F53" i="8"/>
  <c r="E53" i="8"/>
  <c r="D53" i="8"/>
  <c r="F52" i="8"/>
  <c r="E52" i="8"/>
  <c r="D52" i="8"/>
  <c r="F49" i="8"/>
  <c r="E49" i="8"/>
  <c r="D49" i="8"/>
  <c r="F48" i="8"/>
  <c r="E48" i="8"/>
  <c r="D48" i="8"/>
  <c r="F47" i="8"/>
  <c r="E47" i="8"/>
  <c r="D47" i="8"/>
  <c r="F45" i="8"/>
  <c r="E45" i="8"/>
  <c r="D45" i="8"/>
  <c r="F44" i="8"/>
  <c r="E44" i="8"/>
  <c r="D44" i="8"/>
  <c r="B12" i="22" l="1"/>
  <c r="D12" i="22" s="1"/>
  <c r="B11" i="22"/>
  <c r="D11" i="22" s="1"/>
  <c r="B17" i="22"/>
  <c r="D17" i="22" s="1"/>
  <c r="B9" i="22"/>
  <c r="D9" i="22" s="1"/>
  <c r="B10" i="22"/>
  <c r="D10" i="22" s="1"/>
  <c r="B16" i="22"/>
  <c r="D16" i="22" s="1"/>
  <c r="B8" i="22"/>
  <c r="D8" i="22" s="1"/>
  <c r="B15" i="22"/>
  <c r="D15" i="22" s="1"/>
  <c r="B21" i="22"/>
  <c r="D21" i="22" s="1"/>
  <c r="B18" i="22"/>
  <c r="D18" i="22" s="1"/>
  <c r="B14" i="22"/>
  <c r="D14" i="22" s="1"/>
  <c r="B20" i="22"/>
  <c r="D20" i="22" s="1"/>
  <c r="B13" i="22"/>
  <c r="D13" i="22" s="1"/>
  <c r="B19" i="22"/>
  <c r="D19" i="22" s="1"/>
  <c r="G48" i="8"/>
  <c r="B11" i="7" s="1"/>
  <c r="G49" i="8"/>
  <c r="B12" i="7" s="1"/>
  <c r="G45" i="8"/>
  <c r="B8" i="7" s="1"/>
  <c r="G58" i="8"/>
  <c r="B21" i="7" s="1"/>
  <c r="G53" i="8"/>
  <c r="B16" i="7" s="1"/>
  <c r="G54" i="8"/>
  <c r="B17" i="7" s="1"/>
  <c r="G47" i="8"/>
  <c r="B10" i="7" s="1"/>
  <c r="G52" i="8"/>
  <c r="B15" i="7" s="1"/>
  <c r="G44" i="8"/>
  <c r="B7" i="7" s="1"/>
  <c r="G56" i="8"/>
  <c r="B19" i="7" s="1"/>
  <c r="J22" i="22"/>
  <c r="J10" i="22"/>
  <c r="J12" i="22"/>
  <c r="J17" i="22"/>
  <c r="J16" i="22"/>
  <c r="J21" i="22"/>
  <c r="J8" i="22"/>
  <c r="J9" i="22"/>
  <c r="J11" i="22"/>
  <c r="J14" i="22"/>
  <c r="J19" i="22"/>
  <c r="J13" i="22"/>
  <c r="J20" i="22"/>
  <c r="J15" i="22"/>
  <c r="J18" i="22"/>
  <c r="J7" i="12"/>
  <c r="N7" i="22" s="1"/>
  <c r="P7" i="22" s="1"/>
  <c r="D6" i="9"/>
  <c r="B7" i="22"/>
  <c r="B26" i="12"/>
  <c r="B60" i="12" s="1"/>
  <c r="B30" i="12" s="1"/>
  <c r="B23" i="3"/>
  <c r="B22" i="9"/>
  <c r="E32" i="10" s="1"/>
  <c r="C22" i="9"/>
  <c r="D26" i="11"/>
  <c r="C7" i="5"/>
  <c r="B50" i="14"/>
  <c r="E28" i="14"/>
  <c r="D27" i="14"/>
  <c r="D15" i="14"/>
  <c r="D19" i="14"/>
  <c r="D23" i="14"/>
  <c r="D12" i="14"/>
  <c r="D16" i="14"/>
  <c r="D20" i="14"/>
  <c r="D24" i="14"/>
  <c r="D13" i="14"/>
  <c r="D17" i="14"/>
  <c r="D21" i="14"/>
  <c r="D25" i="14"/>
  <c r="D14" i="14"/>
  <c r="D18" i="14"/>
  <c r="D22" i="14"/>
  <c r="C5" i="23" l="1"/>
  <c r="H18" i="12"/>
  <c r="H22" i="12"/>
  <c r="H20" i="12"/>
  <c r="H17" i="12"/>
  <c r="H8" i="12"/>
  <c r="H16" i="12"/>
  <c r="H12" i="12"/>
  <c r="H11" i="12"/>
  <c r="H13" i="12"/>
  <c r="H9" i="12"/>
  <c r="D7" i="22"/>
  <c r="B24" i="22"/>
  <c r="D24" i="22" s="1"/>
  <c r="C23" i="5"/>
  <c r="J26" i="11" s="1"/>
  <c r="E7" i="12"/>
  <c r="K26" i="12"/>
  <c r="Q22" i="22"/>
  <c r="D22" i="9"/>
  <c r="J26" i="12"/>
  <c r="J60" i="12" s="1"/>
  <c r="J30" i="12" s="1"/>
  <c r="D28" i="14"/>
  <c r="D32" i="10"/>
  <c r="Q24" i="22" l="1"/>
  <c r="K60" i="12"/>
  <c r="C8" i="23"/>
  <c r="N24" i="22"/>
  <c r="P24" i="22" s="1"/>
  <c r="B26" i="22"/>
  <c r="E26" i="12"/>
  <c r="E60" i="12" s="1"/>
  <c r="E30" i="12" s="1"/>
  <c r="H7" i="22"/>
  <c r="Q26" i="22"/>
  <c r="S24" i="22"/>
  <c r="D34" i="14"/>
  <c r="D35" i="14"/>
  <c r="D37" i="14"/>
  <c r="D39" i="14"/>
  <c r="D36" i="14"/>
  <c r="D46" i="14"/>
  <c r="D44" i="14"/>
  <c r="D42" i="14"/>
  <c r="D49" i="14"/>
  <c r="D45" i="14"/>
  <c r="D47" i="14"/>
  <c r="D38" i="14"/>
  <c r="D41" i="14"/>
  <c r="D43" i="14"/>
  <c r="D48" i="14"/>
  <c r="D40" i="14"/>
  <c r="N26" i="22" l="1"/>
  <c r="H24" i="22"/>
  <c r="H26" i="22" s="1"/>
  <c r="J7" i="22"/>
  <c r="D50" i="14"/>
  <c r="C6" i="7"/>
  <c r="I7" i="12" s="1"/>
  <c r="J24" i="22" l="1"/>
  <c r="C17" i="7"/>
  <c r="C13" i="7"/>
  <c r="I14" i="12" s="1"/>
  <c r="C9" i="7"/>
  <c r="I10" i="12" s="1"/>
  <c r="C11" i="7"/>
  <c r="C15" i="7"/>
  <c r="C14" i="7"/>
  <c r="I15" i="12" s="1"/>
  <c r="C8" i="7"/>
  <c r="C7" i="7"/>
  <c r="C10" i="7"/>
  <c r="C19" i="7"/>
  <c r="C21" i="7"/>
  <c r="C16" i="7"/>
  <c r="C18" i="7"/>
  <c r="I19" i="12" s="1"/>
  <c r="C20" i="7"/>
  <c r="I21" i="12" s="1"/>
  <c r="C12" i="7"/>
  <c r="I18" i="12" l="1"/>
  <c r="D17" i="7"/>
  <c r="E17" i="7" s="1"/>
  <c r="K18" i="22" s="1"/>
  <c r="I16" i="12"/>
  <c r="D15" i="7"/>
  <c r="E15" i="7" s="1"/>
  <c r="K16" i="22" s="1"/>
  <c r="I17" i="12"/>
  <c r="D16" i="7"/>
  <c r="E16" i="7" s="1"/>
  <c r="K17" i="22" s="1"/>
  <c r="I20" i="12"/>
  <c r="D19" i="7"/>
  <c r="E19" i="7" s="1"/>
  <c r="K20" i="22" s="1"/>
  <c r="I8" i="12"/>
  <c r="D7" i="7"/>
  <c r="E7" i="7" s="1"/>
  <c r="K8" i="22" s="1"/>
  <c r="I12" i="12"/>
  <c r="D11" i="7"/>
  <c r="E11" i="7" s="1"/>
  <c r="K12" i="22" s="1"/>
  <c r="I22" i="12"/>
  <c r="D21" i="7"/>
  <c r="E21" i="7" s="1"/>
  <c r="K22" i="22" s="1"/>
  <c r="I11" i="12"/>
  <c r="D10" i="7"/>
  <c r="E10" i="7" s="1"/>
  <c r="K11" i="22" s="1"/>
  <c r="I13" i="12"/>
  <c r="D12" i="7"/>
  <c r="E12" i="7" s="1"/>
  <c r="K13" i="22" s="1"/>
  <c r="I9" i="12"/>
  <c r="D8" i="7"/>
  <c r="E8" i="7" s="1"/>
  <c r="K9" i="22" s="1"/>
  <c r="C22" i="7"/>
  <c r="M9" i="22" l="1"/>
  <c r="D52" i="14"/>
  <c r="I26" i="12"/>
  <c r="I60" i="12" s="1"/>
  <c r="I30" i="12" s="1"/>
  <c r="M8" i="22"/>
  <c r="M16" i="22"/>
  <c r="M11" i="22"/>
  <c r="M17" i="22"/>
  <c r="M13" i="22"/>
  <c r="M18" i="22"/>
  <c r="M20" i="22"/>
  <c r="M12" i="22"/>
  <c r="M22" i="22"/>
  <c r="B38" i="8"/>
  <c r="C38" i="8"/>
  <c r="D38" i="8"/>
  <c r="E38" i="8"/>
  <c r="F38" i="8"/>
  <c r="C17" i="8"/>
  <c r="C16" i="8"/>
  <c r="C25" i="30" l="1"/>
  <c r="C24" i="30"/>
  <c r="M24" i="30" s="1"/>
  <c r="D43" i="8"/>
  <c r="L38" i="8"/>
  <c r="E46" i="8"/>
  <c r="D57" i="8"/>
  <c r="F57" i="8"/>
  <c r="F46" i="8"/>
  <c r="E57" i="8"/>
  <c r="D46" i="8"/>
  <c r="D50" i="8"/>
  <c r="E55" i="8"/>
  <c r="D55" i="8"/>
  <c r="E51" i="8"/>
  <c r="F50" i="8"/>
  <c r="D51" i="8"/>
  <c r="E50" i="8"/>
  <c r="F43" i="8"/>
  <c r="F55" i="8"/>
  <c r="E43" i="8"/>
  <c r="F51" i="8"/>
  <c r="G51" i="8" l="1"/>
  <c r="B14" i="7" s="1"/>
  <c r="F59" i="8"/>
  <c r="E59" i="8"/>
  <c r="D59" i="8"/>
  <c r="G46" i="8"/>
  <c r="B9" i="7" s="1"/>
  <c r="G57" i="8"/>
  <c r="B20" i="7" s="1"/>
  <c r="G55" i="8"/>
  <c r="B18" i="7" s="1"/>
  <c r="G50" i="8"/>
  <c r="B13" i="7" s="1"/>
  <c r="G43" i="8"/>
  <c r="B6" i="7" s="1"/>
  <c r="D18" i="7" l="1"/>
  <c r="E18" i="7" s="1"/>
  <c r="H19" i="12"/>
  <c r="D14" i="7"/>
  <c r="E14" i="7" s="1"/>
  <c r="H15" i="12"/>
  <c r="D13" i="7"/>
  <c r="E13" i="7" s="1"/>
  <c r="H14" i="12"/>
  <c r="D20" i="7"/>
  <c r="E20" i="7" s="1"/>
  <c r="H21" i="12"/>
  <c r="D6" i="7"/>
  <c r="E6" i="7" s="1"/>
  <c r="H7" i="12"/>
  <c r="D9" i="7"/>
  <c r="E9" i="7" s="1"/>
  <c r="H10" i="12"/>
  <c r="G59" i="8"/>
  <c r="B22" i="7" s="1"/>
  <c r="K7" i="22" l="1"/>
  <c r="M7" i="22" s="1"/>
  <c r="K15" i="22"/>
  <c r="K10" i="22"/>
  <c r="K14" i="22"/>
  <c r="K19" i="22"/>
  <c r="K21" i="22"/>
  <c r="L59" i="8"/>
  <c r="H26" i="12"/>
  <c r="D22" i="7"/>
  <c r="E22" i="7"/>
  <c r="C7" i="23" l="1"/>
  <c r="H60" i="12"/>
  <c r="H30" i="12" s="1"/>
  <c r="M14" i="22"/>
  <c r="M15" i="22"/>
  <c r="M10" i="22"/>
  <c r="K24" i="22"/>
  <c r="M24" i="22" s="1"/>
  <c r="M21" i="22"/>
  <c r="M19" i="22"/>
  <c r="K26" i="22" l="1"/>
  <c r="B27" i="20"/>
  <c r="D5" i="20" l="1"/>
  <c r="D24" i="20" s="1"/>
  <c r="G24" i="20" l="1"/>
  <c r="W22" i="22" s="1"/>
  <c r="F24" i="20"/>
  <c r="D16" i="20"/>
  <c r="D18" i="20"/>
  <c r="D9" i="20"/>
  <c r="D12" i="20"/>
  <c r="D21" i="20"/>
  <c r="D19" i="20"/>
  <c r="D17" i="20"/>
  <c r="D22" i="20"/>
  <c r="D15" i="20"/>
  <c r="D23" i="20"/>
  <c r="D13" i="20"/>
  <c r="D14" i="20"/>
  <c r="D20" i="20"/>
  <c r="D11" i="20"/>
  <c r="D10" i="20"/>
  <c r="E12" i="20"/>
  <c r="E24" i="20"/>
  <c r="G20" i="20" l="1"/>
  <c r="W18" i="22" s="1"/>
  <c r="F20" i="20"/>
  <c r="E21" i="20"/>
  <c r="G21" i="20"/>
  <c r="W19" i="22" s="1"/>
  <c r="F21" i="20"/>
  <c r="E11" i="20"/>
  <c r="G11" i="20"/>
  <c r="W9" i="22" s="1"/>
  <c r="F11" i="20"/>
  <c r="E23" i="20"/>
  <c r="G23" i="20"/>
  <c r="W21" i="22" s="1"/>
  <c r="F23" i="20"/>
  <c r="G19" i="20"/>
  <c r="W17" i="22" s="1"/>
  <c r="F19" i="20"/>
  <c r="G18" i="20"/>
  <c r="W16" i="22" s="1"/>
  <c r="F18" i="20"/>
  <c r="E16" i="20"/>
  <c r="G16" i="20"/>
  <c r="W14" i="22" s="1"/>
  <c r="F16" i="20"/>
  <c r="G12" i="20"/>
  <c r="W10" i="22" s="1"/>
  <c r="F12" i="20"/>
  <c r="G15" i="20"/>
  <c r="W13" i="22" s="1"/>
  <c r="F15" i="20"/>
  <c r="G14" i="20"/>
  <c r="W12" i="22" s="1"/>
  <c r="F14" i="20"/>
  <c r="G22" i="20"/>
  <c r="W20" i="22" s="1"/>
  <c r="F22" i="20"/>
  <c r="G10" i="20"/>
  <c r="W8" i="22" s="1"/>
  <c r="F10" i="20"/>
  <c r="G13" i="20"/>
  <c r="W11" i="22" s="1"/>
  <c r="F13" i="20"/>
  <c r="G17" i="20"/>
  <c r="W15" i="22" s="1"/>
  <c r="F17" i="20"/>
  <c r="E9" i="20"/>
  <c r="G9" i="20"/>
  <c r="F9" i="20"/>
  <c r="Y22" i="22"/>
  <c r="E18" i="20"/>
  <c r="E19" i="20"/>
  <c r="E22" i="20"/>
  <c r="E20" i="20"/>
  <c r="E17" i="20"/>
  <c r="E15" i="20"/>
  <c r="E13" i="20"/>
  <c r="E14" i="20"/>
  <c r="D25" i="20"/>
  <c r="E10" i="20"/>
  <c r="X24" i="22" s="1"/>
  <c r="Y10" i="22" l="1"/>
  <c r="W7" i="22"/>
  <c r="Y11" i="22"/>
  <c r="Y8" i="22"/>
  <c r="Y18" i="22"/>
  <c r="Y21" i="22"/>
  <c r="Y16" i="22"/>
  <c r="Y14" i="22"/>
  <c r="Y12" i="22"/>
  <c r="Y17" i="22"/>
  <c r="Y20" i="22"/>
  <c r="Y15" i="22"/>
  <c r="Y9" i="22"/>
  <c r="Y13" i="22"/>
  <c r="Y19" i="22"/>
  <c r="G25" i="20"/>
  <c r="E25" i="20"/>
  <c r="F25" i="20"/>
  <c r="Y7" i="22" l="1"/>
  <c r="W24" i="22"/>
  <c r="D36" i="15" l="1"/>
  <c r="D41" i="15" s="1"/>
  <c r="D45" i="15" s="1"/>
  <c r="D49" i="15" s="1"/>
  <c r="D53" i="15" s="1"/>
  <c r="D57" i="15" s="1"/>
  <c r="C36" i="15"/>
  <c r="C41" i="15" s="1"/>
  <c r="C45" i="15" s="1"/>
  <c r="C49" i="15" s="1"/>
  <c r="C53" i="15" s="1"/>
  <c r="C57" i="15" s="1"/>
  <c r="F38" i="6" l="1"/>
  <c r="F98" i="6"/>
  <c r="F104" i="6"/>
  <c r="F62" i="6"/>
  <c r="F50" i="6"/>
  <c r="F110" i="6"/>
  <c r="F68" i="6"/>
  <c r="F116" i="6"/>
  <c r="F74" i="6"/>
  <c r="F56" i="6"/>
  <c r="F122" i="6"/>
  <c r="F128" i="6"/>
  <c r="F80" i="6"/>
  <c r="F86" i="6"/>
  <c r="F92" i="6"/>
  <c r="F44" i="6"/>
  <c r="G104" i="6"/>
  <c r="G106" i="6" s="1"/>
  <c r="G62" i="6"/>
  <c r="G64" i="6" s="1"/>
  <c r="G50" i="6"/>
  <c r="G52" i="6" s="1"/>
  <c r="G110" i="6"/>
  <c r="G112" i="6" s="1"/>
  <c r="G68" i="6"/>
  <c r="G70" i="6" s="1"/>
  <c r="G116" i="6"/>
  <c r="G118" i="6" s="1"/>
  <c r="G74" i="6"/>
  <c r="G76" i="6" s="1"/>
  <c r="G56" i="6"/>
  <c r="G58" i="6" s="1"/>
  <c r="G122" i="6"/>
  <c r="G124" i="6" s="1"/>
  <c r="G128" i="6"/>
  <c r="G130" i="6" s="1"/>
  <c r="G80" i="6"/>
  <c r="G82" i="6" s="1"/>
  <c r="G38" i="6"/>
  <c r="G40" i="6" s="1"/>
  <c r="G86" i="6"/>
  <c r="G88" i="6" s="1"/>
  <c r="G92" i="6"/>
  <c r="G94" i="6" s="1"/>
  <c r="G44" i="6"/>
  <c r="G46" i="6" s="1"/>
  <c r="G98" i="6"/>
  <c r="G100" i="6" s="1"/>
  <c r="B116" i="6" l="1"/>
  <c r="F118" i="6"/>
  <c r="B118" i="6" s="1"/>
  <c r="B20" i="5" s="1"/>
  <c r="H20" i="5" s="1"/>
  <c r="B110" i="6"/>
  <c r="F112" i="6"/>
  <c r="B112" i="6" s="1"/>
  <c r="B19" i="5" s="1"/>
  <c r="H19" i="5" s="1"/>
  <c r="F46" i="6"/>
  <c r="B46" i="6" s="1"/>
  <c r="B8" i="5" s="1"/>
  <c r="H8" i="5" s="1"/>
  <c r="B44" i="6"/>
  <c r="B80" i="6"/>
  <c r="F82" i="6"/>
  <c r="B82" i="6" s="1"/>
  <c r="B14" i="5" s="1"/>
  <c r="H14" i="5" s="1"/>
  <c r="F52" i="6"/>
  <c r="B52" i="6" s="1"/>
  <c r="B9" i="5" s="1"/>
  <c r="H9" i="5" s="1"/>
  <c r="B50" i="6"/>
  <c r="F130" i="6"/>
  <c r="B130" i="6" s="1"/>
  <c r="B22" i="5" s="1"/>
  <c r="H22" i="5" s="1"/>
  <c r="B128" i="6"/>
  <c r="B62" i="6"/>
  <c r="F64" i="6"/>
  <c r="B64" i="6" s="1"/>
  <c r="B11" i="5" s="1"/>
  <c r="H11" i="5" s="1"/>
  <c r="F70" i="6"/>
  <c r="B70" i="6" s="1"/>
  <c r="B12" i="5" s="1"/>
  <c r="H12" i="5" s="1"/>
  <c r="B68" i="6"/>
  <c r="B122" i="6"/>
  <c r="F124" i="6"/>
  <c r="B124" i="6" s="1"/>
  <c r="B21" i="5" s="1"/>
  <c r="H21" i="5" s="1"/>
  <c r="F106" i="6"/>
  <c r="B106" i="6" s="1"/>
  <c r="B18" i="5" s="1"/>
  <c r="H18" i="5" s="1"/>
  <c r="B104" i="6"/>
  <c r="F94" i="6"/>
  <c r="B94" i="6" s="1"/>
  <c r="B16" i="5" s="1"/>
  <c r="H16" i="5" s="1"/>
  <c r="B92" i="6"/>
  <c r="B56" i="6"/>
  <c r="F58" i="6"/>
  <c r="B58" i="6" s="1"/>
  <c r="B10" i="5" s="1"/>
  <c r="H10" i="5" s="1"/>
  <c r="F100" i="6"/>
  <c r="B100" i="6" s="1"/>
  <c r="B17" i="5" s="1"/>
  <c r="H17" i="5" s="1"/>
  <c r="B98" i="6"/>
  <c r="B86" i="6"/>
  <c r="F88" i="6"/>
  <c r="B88" i="6" s="1"/>
  <c r="B15" i="5" s="1"/>
  <c r="H15" i="5" s="1"/>
  <c r="B74" i="6"/>
  <c r="F76" i="6"/>
  <c r="B76" i="6" s="1"/>
  <c r="B13" i="5" s="1"/>
  <c r="H13" i="5" s="1"/>
  <c r="B38" i="6"/>
  <c r="F40" i="6"/>
  <c r="B40" i="6" s="1"/>
  <c r="D133" i="6" l="1"/>
  <c r="B7" i="5"/>
  <c r="H7" i="5" s="1"/>
  <c r="C14" i="12"/>
  <c r="C12" i="12"/>
  <c r="C13" i="12"/>
  <c r="C11" i="12"/>
  <c r="C8" i="12"/>
  <c r="C15" i="12"/>
  <c r="C19" i="12"/>
  <c r="C16" i="12"/>
  <c r="C22" i="12"/>
  <c r="C10" i="12"/>
  <c r="C21" i="12"/>
  <c r="C20" i="12"/>
  <c r="C18" i="12"/>
  <c r="C17" i="12"/>
  <c r="C9" i="12"/>
  <c r="E22" i="22" l="1"/>
  <c r="T22" i="22" s="1"/>
  <c r="E9" i="22"/>
  <c r="G9" i="22" s="1"/>
  <c r="E14" i="22"/>
  <c r="G14" i="22" s="1"/>
  <c r="L9" i="12"/>
  <c r="M9" i="12" s="1"/>
  <c r="L12" i="12"/>
  <c r="L21" i="12"/>
  <c r="L10" i="12"/>
  <c r="L22" i="12"/>
  <c r="L14" i="12"/>
  <c r="L19" i="12"/>
  <c r="L8" i="12"/>
  <c r="L13" i="12"/>
  <c r="M13" i="12" s="1"/>
  <c r="L17" i="12"/>
  <c r="L15" i="12"/>
  <c r="M15" i="12" s="1"/>
  <c r="L20" i="12"/>
  <c r="L16" i="12"/>
  <c r="L11" i="12"/>
  <c r="E21" i="22"/>
  <c r="G21" i="22" s="1"/>
  <c r="E17" i="22"/>
  <c r="T17" i="22" s="1"/>
  <c r="E10" i="22"/>
  <c r="T10" i="22" s="1"/>
  <c r="E8" i="22"/>
  <c r="G8" i="22" s="1"/>
  <c r="E11" i="22"/>
  <c r="G11" i="22" s="1"/>
  <c r="E19" i="22"/>
  <c r="G19" i="22" s="1"/>
  <c r="E15" i="22"/>
  <c r="T15" i="22" s="1"/>
  <c r="E12" i="22"/>
  <c r="G12" i="22" s="1"/>
  <c r="E13" i="22"/>
  <c r="E18" i="22"/>
  <c r="T18" i="22" s="1"/>
  <c r="L18" i="12"/>
  <c r="E20" i="22"/>
  <c r="E16" i="22"/>
  <c r="C7" i="12"/>
  <c r="B23" i="5"/>
  <c r="T9" i="22" l="1"/>
  <c r="V9" i="22" s="1"/>
  <c r="E133" i="6"/>
  <c r="H23" i="5"/>
  <c r="G22" i="22"/>
  <c r="T14" i="22"/>
  <c r="V14" i="22" s="1"/>
  <c r="G17" i="22"/>
  <c r="O21" i="12"/>
  <c r="Y21" i="12" s="1"/>
  <c r="M21" i="12"/>
  <c r="O8" i="12"/>
  <c r="Y8" i="12" s="1"/>
  <c r="O19" i="12"/>
  <c r="Y19" i="12" s="1"/>
  <c r="O11" i="12"/>
  <c r="Y11" i="12" s="1"/>
  <c r="M14" i="12"/>
  <c r="O16" i="12"/>
  <c r="Y16" i="12" s="1"/>
  <c r="O22" i="12"/>
  <c r="Y22" i="12" s="1"/>
  <c r="O20" i="12"/>
  <c r="M10" i="12"/>
  <c r="O15" i="12"/>
  <c r="Y15" i="12" s="1"/>
  <c r="O17" i="12"/>
  <c r="Y17" i="12" s="1"/>
  <c r="O12" i="12"/>
  <c r="Y12" i="12" s="1"/>
  <c r="O13" i="12"/>
  <c r="O9" i="12"/>
  <c r="Y9" i="12" s="1"/>
  <c r="M16" i="12"/>
  <c r="M19" i="12"/>
  <c r="O14" i="12"/>
  <c r="Y14" i="12" s="1"/>
  <c r="M22" i="12"/>
  <c r="M11" i="12"/>
  <c r="M20" i="12"/>
  <c r="O10" i="12"/>
  <c r="Y10" i="12" s="1"/>
  <c r="M8" i="12"/>
  <c r="G15" i="22"/>
  <c r="M17" i="12"/>
  <c r="M12" i="12"/>
  <c r="G10" i="22"/>
  <c r="T8" i="22"/>
  <c r="V8" i="22" s="1"/>
  <c r="T21" i="22"/>
  <c r="V21" i="22" s="1"/>
  <c r="T11" i="22"/>
  <c r="V11" i="22" s="1"/>
  <c r="T12" i="22"/>
  <c r="V12" i="22" s="1"/>
  <c r="T19" i="22"/>
  <c r="V19" i="22" s="1"/>
  <c r="G18" i="22"/>
  <c r="V22" i="22"/>
  <c r="Z22" i="22"/>
  <c r="AB22" i="22" s="1"/>
  <c r="G16" i="22"/>
  <c r="T16" i="22"/>
  <c r="G20" i="22"/>
  <c r="T20" i="22"/>
  <c r="O18" i="12"/>
  <c r="M18" i="12"/>
  <c r="V18" i="22"/>
  <c r="Z18" i="22"/>
  <c r="AB18" i="22" s="1"/>
  <c r="V15" i="22"/>
  <c r="Z15" i="22"/>
  <c r="AB15" i="22" s="1"/>
  <c r="G13" i="22"/>
  <c r="T13" i="22"/>
  <c r="V17" i="22"/>
  <c r="Z17" i="22"/>
  <c r="AB17" i="22" s="1"/>
  <c r="E7" i="22"/>
  <c r="C26" i="12"/>
  <c r="L7" i="12"/>
  <c r="V10" i="22"/>
  <c r="Z10" i="22"/>
  <c r="AB10" i="22" s="1"/>
  <c r="C6" i="23" l="1"/>
  <c r="C11" i="23" s="1"/>
  <c r="C26" i="23" s="1"/>
  <c r="C60" i="12"/>
  <c r="C30" i="12" s="1"/>
  <c r="B20" i="30"/>
  <c r="K20" i="30" s="1"/>
  <c r="Y20" i="12"/>
  <c r="B18" i="30"/>
  <c r="K18" i="30" s="1"/>
  <c r="Y18" i="12"/>
  <c r="B13" i="30"/>
  <c r="K13" i="30" s="1"/>
  <c r="Y13" i="12"/>
  <c r="Z9" i="22"/>
  <c r="AB9" i="22" s="1"/>
  <c r="P10" i="12"/>
  <c r="B10" i="30"/>
  <c r="K10" i="30" s="1"/>
  <c r="P9" i="12"/>
  <c r="B9" i="30"/>
  <c r="K9" i="30" s="1"/>
  <c r="P16" i="12"/>
  <c r="B16" i="30"/>
  <c r="K16" i="30" s="1"/>
  <c r="P14" i="12"/>
  <c r="B14" i="30"/>
  <c r="K14" i="30" s="1"/>
  <c r="B11" i="25"/>
  <c r="B12" i="30"/>
  <c r="K12" i="30" s="1"/>
  <c r="P11" i="12"/>
  <c r="B11" i="30"/>
  <c r="K11" i="30" s="1"/>
  <c r="P15" i="12"/>
  <c r="B15" i="30"/>
  <c r="K15" i="30" s="1"/>
  <c r="B7" i="25"/>
  <c r="B8" i="30"/>
  <c r="K8" i="30" s="1"/>
  <c r="B16" i="25"/>
  <c r="B17" i="30"/>
  <c r="K17" i="30" s="1"/>
  <c r="P22" i="12"/>
  <c r="B22" i="30"/>
  <c r="K22" i="30" s="1"/>
  <c r="P19" i="12"/>
  <c r="B19" i="30"/>
  <c r="K19" i="30" s="1"/>
  <c r="B21" i="30"/>
  <c r="K21" i="30" s="1"/>
  <c r="P21" i="12"/>
  <c r="Z14" i="22"/>
  <c r="AB14" i="22" s="1"/>
  <c r="P20" i="12"/>
  <c r="B12" i="25"/>
  <c r="C20" i="25"/>
  <c r="B20" i="25"/>
  <c r="P8" i="12"/>
  <c r="L27" i="12"/>
  <c r="Z19" i="22"/>
  <c r="AB19" i="22" s="1"/>
  <c r="C10" i="25"/>
  <c r="B10" i="25"/>
  <c r="C18" i="25"/>
  <c r="P17" i="12"/>
  <c r="B21" i="25"/>
  <c r="C21" i="25"/>
  <c r="B15" i="25"/>
  <c r="C15" i="25"/>
  <c r="C8" i="25"/>
  <c r="C7" i="25"/>
  <c r="B8" i="25"/>
  <c r="B14" i="25"/>
  <c r="C14" i="25"/>
  <c r="B18" i="25"/>
  <c r="C16" i="25"/>
  <c r="C11" i="25"/>
  <c r="P12" i="12"/>
  <c r="C19" i="25"/>
  <c r="B19" i="25"/>
  <c r="B13" i="25"/>
  <c r="C13" i="25"/>
  <c r="P13" i="12"/>
  <c r="C12" i="25"/>
  <c r="B9" i="25"/>
  <c r="Z21" i="22"/>
  <c r="AB21" i="22" s="1"/>
  <c r="C9" i="25"/>
  <c r="Z8" i="22"/>
  <c r="AB8" i="22" s="1"/>
  <c r="Z11" i="22"/>
  <c r="AB11" i="22" s="1"/>
  <c r="Z12" i="22"/>
  <c r="AB12" i="22" s="1"/>
  <c r="P18" i="12"/>
  <c r="B17" i="25"/>
  <c r="C17" i="25"/>
  <c r="E24" i="22"/>
  <c r="G7" i="22"/>
  <c r="T7" i="22"/>
  <c r="O7" i="12"/>
  <c r="Y7" i="12" s="1"/>
  <c r="L26" i="12"/>
  <c r="M7" i="12"/>
  <c r="V13" i="22"/>
  <c r="Z13" i="22"/>
  <c r="AB13" i="22" s="1"/>
  <c r="V20" i="22"/>
  <c r="Z20" i="22"/>
  <c r="AB20" i="22" s="1"/>
  <c r="V16" i="22"/>
  <c r="Z16" i="22"/>
  <c r="AB16" i="22" s="1"/>
  <c r="L60" i="12" l="1"/>
  <c r="L30" i="12" s="1"/>
  <c r="C147" i="29"/>
  <c r="B7" i="30"/>
  <c r="O26" i="12"/>
  <c r="O60" i="12" s="1"/>
  <c r="O30" i="12" s="1"/>
  <c r="V7" i="22"/>
  <c r="T24" i="22"/>
  <c r="Z7" i="22"/>
  <c r="G24" i="22"/>
  <c r="E26" i="22"/>
  <c r="M26" i="12"/>
  <c r="M60" i="12" s="1"/>
  <c r="P7" i="12"/>
  <c r="B6" i="25"/>
  <c r="B22" i="25" s="1"/>
  <c r="C22" i="25" s="1"/>
  <c r="C6" i="25"/>
  <c r="O28" i="12" l="1"/>
  <c r="D6" i="25"/>
  <c r="E6" i="25" s="1"/>
  <c r="Y26" i="12"/>
  <c r="D22" i="25"/>
  <c r="D14" i="25"/>
  <c r="D17" i="25"/>
  <c r="D10" i="25"/>
  <c r="D18" i="25"/>
  <c r="D9" i="25"/>
  <c r="D15" i="25"/>
  <c r="D19" i="25"/>
  <c r="D12" i="25"/>
  <c r="D8" i="25"/>
  <c r="D7" i="25"/>
  <c r="D16" i="25"/>
  <c r="D20" i="25"/>
  <c r="D11" i="25"/>
  <c r="D13" i="25"/>
  <c r="D21" i="25"/>
  <c r="K7" i="30"/>
  <c r="B25" i="30"/>
  <c r="Z24" i="22"/>
  <c r="AB7" i="22"/>
  <c r="V24" i="22"/>
  <c r="T26" i="22"/>
  <c r="E7" i="25" l="1"/>
  <c r="E8" i="25" s="1"/>
  <c r="E9" i="25" s="1"/>
  <c r="E10" i="25" s="1"/>
  <c r="E11" i="25" s="1"/>
  <c r="E12" i="25" s="1"/>
  <c r="E13" i="25" s="1"/>
  <c r="E14" i="25" s="1"/>
  <c r="E15" i="25" s="1"/>
  <c r="E16" i="25" s="1"/>
  <c r="E17" i="25" s="1"/>
  <c r="E18" i="25" s="1"/>
  <c r="E19" i="25" s="1"/>
  <c r="E20" i="25" s="1"/>
  <c r="E21" i="25" s="1"/>
  <c r="P25" i="30"/>
  <c r="Z26" i="22"/>
  <c r="AB2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Lindblom</author>
  </authors>
  <commentList>
    <comment ref="H98" authorId="0" shapeId="0" xr:uid="{AE29DF47-43C7-45A3-A9BD-0BB76BF41CAF}">
      <text>
        <r>
          <rPr>
            <b/>
            <sz val="9"/>
            <color indexed="81"/>
            <rFont val="Tahoma"/>
            <family val="2"/>
          </rPr>
          <t>Robert Lindblom:</t>
        </r>
        <r>
          <rPr>
            <sz val="9"/>
            <color indexed="81"/>
            <rFont val="Tahoma"/>
            <family val="2"/>
          </rPr>
          <t xml:space="preserve">
Kalkylerat belopp, se nedan</t>
        </r>
      </text>
    </comment>
    <comment ref="H110" authorId="0" shapeId="0" xr:uid="{271532AC-2287-4FA6-AF89-9F0C3079F727}">
      <text>
        <r>
          <rPr>
            <b/>
            <sz val="9"/>
            <color indexed="81"/>
            <rFont val="Tahoma"/>
            <family val="2"/>
          </rPr>
          <t>Robert Lindblom:</t>
        </r>
        <r>
          <rPr>
            <sz val="9"/>
            <color indexed="81"/>
            <rFont val="Tahoma"/>
            <family val="2"/>
          </rPr>
          <t xml:space="preserve">
Kalkylerat belopp, se nedan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Windows-användare</author>
  </authors>
  <commentList>
    <comment ref="G29" authorId="0" shapeId="0" xr:uid="{3072E842-21DE-4688-AAFB-03576C13560B}">
      <text>
        <r>
          <rPr>
            <b/>
            <sz val="9"/>
            <color indexed="81"/>
            <rFont val="Tahoma"/>
            <family val="2"/>
          </rPr>
          <t>Windows-användare:</t>
        </r>
        <r>
          <rPr>
            <sz val="9"/>
            <color indexed="81"/>
            <rFont val="Tahoma"/>
            <family val="2"/>
          </rPr>
          <t xml:space="preserve">
Skattesatsen för innevarande år behövs inte i kalkylen, men sparas för kommande år i kalkylen</t>
        </r>
      </text>
    </comment>
  </commentList>
</comments>
</file>

<file path=xl/sharedStrings.xml><?xml version="1.0" encoding="utf-8"?>
<sst xmlns="http://schemas.openxmlformats.org/spreadsheetml/2006/main" count="2100" uniqueCount="558">
  <si>
    <t>Samfundsskatter, totalt</t>
  </si>
  <si>
    <t>Brändö</t>
  </si>
  <si>
    <t>Eckerö</t>
  </si>
  <si>
    <t>Finström</t>
  </si>
  <si>
    <t>Föglö</t>
  </si>
  <si>
    <t>Geta</t>
  </si>
  <si>
    <t>Hammarland</t>
  </si>
  <si>
    <t>Jomala</t>
  </si>
  <si>
    <t>Kumlinge</t>
  </si>
  <si>
    <t>Kökar</t>
  </si>
  <si>
    <t>Lemland</t>
  </si>
  <si>
    <t>Lumparland</t>
  </si>
  <si>
    <t>Saltvik</t>
  </si>
  <si>
    <t>Sottunga</t>
  </si>
  <si>
    <t>Sund</t>
  </si>
  <si>
    <t>Vårdö</t>
  </si>
  <si>
    <t>Mariehamn</t>
  </si>
  <si>
    <t>Totalt</t>
  </si>
  <si>
    <t>Åland</t>
  </si>
  <si>
    <t>Skatte%</t>
  </si>
  <si>
    <t>Ersättningsgrad</t>
  </si>
  <si>
    <t>Kommun</t>
  </si>
  <si>
    <t>Basbelopp</t>
  </si>
  <si>
    <t>Intervall</t>
  </si>
  <si>
    <t>0-6</t>
  </si>
  <si>
    <t>7-64</t>
  </si>
  <si>
    <t>65-74</t>
  </si>
  <si>
    <t>75-84</t>
  </si>
  <si>
    <t>85+</t>
  </si>
  <si>
    <t>Socialvård</t>
  </si>
  <si>
    <t>0-40</t>
  </si>
  <si>
    <t>Åldersgrupper</t>
  </si>
  <si>
    <t>Grundskola</t>
  </si>
  <si>
    <t>Medis</t>
  </si>
  <si>
    <t>STR</t>
  </si>
  <si>
    <t>Antal elever</t>
  </si>
  <si>
    <t>Summa</t>
  </si>
  <si>
    <t>Landskapsandel för träningsundervisningen</t>
  </si>
  <si>
    <t>§ 11</t>
  </si>
  <si>
    <t>Normkostnad</t>
  </si>
  <si>
    <t>5 §</t>
  </si>
  <si>
    <t>Åldersgrupp</t>
  </si>
  <si>
    <t>Befolkning</t>
  </si>
  <si>
    <t>Lsandel</t>
  </si>
  <si>
    <t>Lsandel för socialvården (barn- och äldreomsorg)</t>
  </si>
  <si>
    <t>Fasta Åland</t>
  </si>
  <si>
    <t>Skärgård</t>
  </si>
  <si>
    <t xml:space="preserve">Ytterskärgård </t>
  </si>
  <si>
    <t>Formel: Basbelopp * invånarantal i åldersgruppen * ersättningsgrad</t>
  </si>
  <si>
    <t>Uppdaterad:</t>
  </si>
  <si>
    <t>Andel</t>
  </si>
  <si>
    <t>Skillnad</t>
  </si>
  <si>
    <t>Lsandel för socialtjänsten</t>
  </si>
  <si>
    <t>Sociala lsandelar</t>
  </si>
  <si>
    <t xml:space="preserve">Skärgård </t>
  </si>
  <si>
    <t>Ytterskärgård</t>
  </si>
  <si>
    <t>Landskapsandelar för grundskola</t>
  </si>
  <si>
    <t>41-60</t>
  </si>
  <si>
    <t>61-80</t>
  </si>
  <si>
    <t>81-100</t>
  </si>
  <si>
    <t>101-150</t>
  </si>
  <si>
    <t>151-</t>
  </si>
  <si>
    <t>Grundskola lsandelar, totalt</t>
  </si>
  <si>
    <t>9-10 §</t>
  </si>
  <si>
    <t>Basbelopp:</t>
  </si>
  <si>
    <t>Lsandel STR</t>
  </si>
  <si>
    <t>Landskapsandel för den samordnade socialtjänsten (KST)</t>
  </si>
  <si>
    <t>Lsandel slutlig</t>
  </si>
  <si>
    <t>Basbelopp Medis</t>
  </si>
  <si>
    <t>Basbelopp Kultur</t>
  </si>
  <si>
    <t>12-13 §</t>
  </si>
  <si>
    <t>Formel: Basbelopp*invånarantal*ersättningsgrad</t>
  </si>
  <si>
    <t>Lsandel Medis</t>
  </si>
  <si>
    <t>Lsandel Kultur</t>
  </si>
  <si>
    <t>Kultur</t>
  </si>
  <si>
    <t>Komplettering av skatteinkomsterna</t>
  </si>
  <si>
    <t>Kompletteringstal=kommunens skattekraft i medeltal under perioden</t>
  </si>
  <si>
    <t>Kompletteringsgräns=kommunernas sammanlagda skattekraft i medeltal</t>
  </si>
  <si>
    <t>61-80*</t>
  </si>
  <si>
    <t>Fördelning</t>
  </si>
  <si>
    <t>Landskapsandelar för socialvården och socialtjänsten</t>
  </si>
  <si>
    <t>20-25 §</t>
  </si>
  <si>
    <t>Kompletteringsgräns</t>
  </si>
  <si>
    <t>D - Samfundsskatter</t>
  </si>
  <si>
    <t>J - Uppräkningsfaktor</t>
  </si>
  <si>
    <t>H - Kompletteringsgräns</t>
  </si>
  <si>
    <t>Sammanställning av landskapsandelarna</t>
  </si>
  <si>
    <t>Kultur&amp;Medis</t>
  </si>
  <si>
    <t>Invånare</t>
  </si>
  <si>
    <t>Landskapsandel för socialvården (barn- och äldreomsorg) samt samordnad socialtjänst</t>
  </si>
  <si>
    <t>Landskapsandelar för Kultur och Medis</t>
  </si>
  <si>
    <t>Åsub. Uppdaterad:</t>
  </si>
  <si>
    <t>M - Kompletteringsandel</t>
  </si>
  <si>
    <t>Kompletteringsandel</t>
  </si>
  <si>
    <t>Uppräkningsfaktor</t>
  </si>
  <si>
    <t>§ 50</t>
  </si>
  <si>
    <t>§ 18,19,50</t>
  </si>
  <si>
    <t>B - Skatteinkomster från förvärvsinkomstbeskattningen</t>
  </si>
  <si>
    <t>C - Skattesats, E - skattesats i medeltal</t>
  </si>
  <si>
    <t>G&amp;F - Kompletteringstal</t>
  </si>
  <si>
    <t>§ 18, 19, 50</t>
  </si>
  <si>
    <t>K&amp;N - Kommunens kompletteringsbelopp</t>
  </si>
  <si>
    <t>Övergång</t>
  </si>
  <si>
    <t>6-15 år</t>
  </si>
  <si>
    <t>Invånare - grunduppgifter</t>
  </si>
  <si>
    <t>Socialvård &amp; Socialtjänst</t>
  </si>
  <si>
    <t>Hela befolkningen</t>
  </si>
  <si>
    <t>Medborgar-</t>
  </si>
  <si>
    <t>Bibliotek</t>
  </si>
  <si>
    <t>Idr.-, ungd.-</t>
  </si>
  <si>
    <t>SAMMAN-</t>
  </si>
  <si>
    <t>Allm.ls-andel</t>
  </si>
  <si>
    <t>Komplett-</t>
  </si>
  <si>
    <t>Särskilt o</t>
  </si>
  <si>
    <t xml:space="preserve">Komp. för </t>
  </si>
  <si>
    <t>Kompensa-</t>
  </si>
  <si>
    <t>Justering</t>
  </si>
  <si>
    <t>institut</t>
  </si>
  <si>
    <t>o. kulturv.</t>
  </si>
  <si>
    <t>LAGT</t>
  </si>
  <si>
    <t>(inkl.bef.min).</t>
  </si>
  <si>
    <t>ering</t>
  </si>
  <si>
    <t>sammanslagn.</t>
  </si>
  <si>
    <t>utebliven</t>
  </si>
  <si>
    <t xml:space="preserve">tion för </t>
  </si>
  <si>
    <t>av över-</t>
  </si>
  <si>
    <t>uppgiftsbas.</t>
  </si>
  <si>
    <t>av skatte-</t>
  </si>
  <si>
    <t>stöd</t>
  </si>
  <si>
    <t>övr. ls-</t>
  </si>
  <si>
    <t>kap.ink.skatt</t>
  </si>
  <si>
    <t>sjukkostn.avdr.</t>
  </si>
  <si>
    <t>kompensa-</t>
  </si>
  <si>
    <t>överföringar</t>
  </si>
  <si>
    <t>föringarna</t>
  </si>
  <si>
    <t>ls-andelar</t>
  </si>
  <si>
    <t>inkomster</t>
  </si>
  <si>
    <t>(tidigare enl</t>
  </si>
  <si>
    <t>andelar</t>
  </si>
  <si>
    <t>tioner</t>
  </si>
  <si>
    <t>Netto efter</t>
  </si>
  <si>
    <t>prövning)</t>
  </si>
  <si>
    <t>justering</t>
  </si>
  <si>
    <t>skatteår 2016</t>
  </si>
  <si>
    <t>Ofördelat kommuner</t>
  </si>
  <si>
    <t>SUMMA</t>
  </si>
  <si>
    <t>0</t>
  </si>
  <si>
    <t>Ålands skattekraft</t>
  </si>
  <si>
    <t>Koefficient</t>
  </si>
  <si>
    <t>Kontroll - Jämförelse med annan uppräkningsfaktor</t>
  </si>
  <si>
    <t>Koefficienten gör att övergångssystemet utjämnar skillnaden mellan landskapsandelssystemen utan att ta hänsyn tillbesparingen</t>
  </si>
  <si>
    <t>Förändring</t>
  </si>
  <si>
    <t>Kompl.gräns-Kompl.tal</t>
  </si>
  <si>
    <t>Skattesats</t>
  </si>
  <si>
    <t>Lsandel 2017</t>
  </si>
  <si>
    <t>6-7, 51 §</t>
  </si>
  <si>
    <t>Kalkyl basbelopp 2015</t>
  </si>
  <si>
    <t>Grundskola ndk 2015</t>
  </si>
  <si>
    <t>STR kostnader enligt bokslut 2015</t>
  </si>
  <si>
    <t>Basbelopp grundskola 2015</t>
  </si>
  <si>
    <t>Basbelopp STR 2015</t>
  </si>
  <si>
    <t>Formel: Grundskolans ndk - STR bokslut</t>
  </si>
  <si>
    <t>LANDSKAPSANDELAR, KOMPENSATIONER OCH JUSTERING 2017</t>
  </si>
  <si>
    <t>Enligt mejl från Åsub 13.9.2017 15:23:09</t>
  </si>
  <si>
    <t>Formel prel. lsandel: Basbelopp * invånarantal i åldersgruppen * ersättningsgrad</t>
  </si>
  <si>
    <t>Basbelop, euro/invånare</t>
  </si>
  <si>
    <t>Basbelopp, euro/invånare</t>
  </si>
  <si>
    <t>Formel: (kommunens normkostnad=basbelopp*antal STR-elever)*ersättningsgrad</t>
  </si>
  <si>
    <t>Skattekomp-lettering</t>
  </si>
  <si>
    <t>Kompensation av kapitalskatt</t>
  </si>
  <si>
    <t>Kompletterings-belopp</t>
  </si>
  <si>
    <t>Lsandelen för Medis ska utbetalas till huvudmannen</t>
  </si>
  <si>
    <t>50§</t>
  </si>
  <si>
    <t>Antal elever STR medeltal 2015</t>
  </si>
  <si>
    <t>Antal invånare 6-15, 1.1 2015</t>
  </si>
  <si>
    <t>Kompensation för övriga skatteförändringar</t>
  </si>
  <si>
    <t>Kalkylerade nettodriftskostnader för socialvården (barn- och äldreomsorg) till socialvårdsplanen</t>
  </si>
  <si>
    <t>Beslut 2018-01-10</t>
  </si>
  <si>
    <t>Skattekomplettering</t>
  </si>
  <si>
    <t>Överföringar till kommunerna</t>
  </si>
  <si>
    <t>Landskapsandelar</t>
  </si>
  <si>
    <t>Förändring €</t>
  </si>
  <si>
    <t>A&amp;I - Skattekraft</t>
  </si>
  <si>
    <t>BSI 2017:</t>
  </si>
  <si>
    <t>BSI 2018:</t>
  </si>
  <si>
    <t>Indexförändring 2017</t>
  </si>
  <si>
    <t>Indexförändring 2016</t>
  </si>
  <si>
    <t>Indexförändring 2018</t>
  </si>
  <si>
    <t>Kontroll</t>
  </si>
  <si>
    <t xml:space="preserve">LANDSKAPSANDELAR </t>
  </si>
  <si>
    <t>Sammanställning av landskapsandelar och kompensationer</t>
  </si>
  <si>
    <t>Utjämning under övergångsperiod</t>
  </si>
  <si>
    <t>§ 52</t>
  </si>
  <si>
    <t>Landskapsandelsprocent</t>
  </si>
  <si>
    <t>Ersättningsgrad Kultur</t>
  </si>
  <si>
    <t>Ersättningsgrad Medis</t>
  </si>
  <si>
    <t>Totalbelopp 2018*</t>
  </si>
  <si>
    <t>*enligt LL (2018:102) om ändring av 17 § landskapslagen om landskapsandelar till kommunerna</t>
  </si>
  <si>
    <t>Datum</t>
  </si>
  <si>
    <t>Notering</t>
  </si>
  <si>
    <t>Versionshantering</t>
  </si>
  <si>
    <t>Skattekomp-lettering 2019</t>
  </si>
  <si>
    <t>%-förändring 2019-2020</t>
  </si>
  <si>
    <t>Socialvård 2020</t>
  </si>
  <si>
    <t>Kultur 2020</t>
  </si>
  <si>
    <t>Kultur 2019</t>
  </si>
  <si>
    <t>Medis 2019</t>
  </si>
  <si>
    <t>Medis 2020</t>
  </si>
  <si>
    <t>Summa 2019</t>
  </si>
  <si>
    <t>Landskaps-andelar Summa 2020</t>
  </si>
  <si>
    <t>Utjämning under övergångsperiod 2020</t>
  </si>
  <si>
    <t>Utjämning under övergångsperiod 2019</t>
  </si>
  <si>
    <t>Landskaps-andelar Totalt 2019</t>
  </si>
  <si>
    <t>Landskaps-andelar Totalt 2020</t>
  </si>
  <si>
    <t>Skattekomp-lettering 2020</t>
  </si>
  <si>
    <t>Flik</t>
  </si>
  <si>
    <t>Uppdaterat befolkningsstatistiken</t>
  </si>
  <si>
    <t>Skola data</t>
  </si>
  <si>
    <t>Uppdaterat elevantal</t>
  </si>
  <si>
    <t>Lsandelat totalt</t>
  </si>
  <si>
    <t>Uppdaterat utjämning under övergångsperiod</t>
  </si>
  <si>
    <t>Överföringar jmf</t>
  </si>
  <si>
    <t>Indexförändring 2019</t>
  </si>
  <si>
    <t>BSI 2019:</t>
  </si>
  <si>
    <t>Skola basbelopp!</t>
  </si>
  <si>
    <t>Index estimat - 0</t>
  </si>
  <si>
    <t>Uppdaterad</t>
  </si>
  <si>
    <t>Överföringar totalt</t>
  </si>
  <si>
    <t>Skattekompl data</t>
  </si>
  <si>
    <t>Uppdaterat tabell F&amp;L - Invånarantal 1 januari</t>
  </si>
  <si>
    <t>F&amp;L - Invånarantal 1 januari</t>
  </si>
  <si>
    <t>Preliminär tabell B - Skatteinkomster från förvärvsinkomstbeskattningen</t>
  </si>
  <si>
    <t>Preliminär tabell D - Samfundsskatter</t>
  </si>
  <si>
    <t>Övriga tabeller på fliken uppdaterade som följd av preliminära/nya uppgifter</t>
  </si>
  <si>
    <t>Preliminär tabell C - Skattesats, E - skattesats i medeltal. Estminat som 2019</t>
  </si>
  <si>
    <t>Utskick kommuner</t>
  </si>
  <si>
    <t>Soctjänst data</t>
  </si>
  <si>
    <t>Uppdaterat ndk för socialtjänsten, PREL uppgifter</t>
  </si>
  <si>
    <t>Skatteförvaltningen N181. Uppdaterad:</t>
  </si>
  <si>
    <t>Uppdaterat prel skatt, förvärvsinkomst och samfund</t>
  </si>
  <si>
    <t>Lsandelar totalt</t>
  </si>
  <si>
    <t>Har justerat tabellen enligt önskemål</t>
  </si>
  <si>
    <t>Korrigerat formelfel respekltive uppdaterat samtliga basbelopp och placerat alla på samma flik (Basbelopp). Basbeloppen är fortfarande beräknade utan indexförändring.</t>
  </si>
  <si>
    <t>Uppdaterat prel skatt per 7/9, förvärvsinkomst och samfund</t>
  </si>
  <si>
    <t>STR 2020</t>
  </si>
  <si>
    <t>Grundskola 2020</t>
  </si>
  <si>
    <t>Grundskola  2019</t>
  </si>
  <si>
    <t>STR 2019</t>
  </si>
  <si>
    <t>Samarbetsstöd/Ofördelat</t>
  </si>
  <si>
    <t>Uppdaterat fliken Överföringar jmf och bytt namn på den till Lsandelar jmf</t>
  </si>
  <si>
    <t>Lsandelar jmf</t>
  </si>
  <si>
    <t>Basår 2018 var år 2000</t>
  </si>
  <si>
    <t>*År 2019 ändrar basåret till 2015</t>
  </si>
  <si>
    <t xml:space="preserve">Åsub prisidex för basservice </t>
  </si>
  <si>
    <t>Uppdaterat index för samtliga basbelopp</t>
  </si>
  <si>
    <t>Olika tabeller</t>
  </si>
  <si>
    <t>Uppdaterat ndk för socialtjänsten, publicerade uppgifter</t>
  </si>
  <si>
    <t>Uppdaterat skatteinkomster från förvärv och samfundsskatt</t>
  </si>
  <si>
    <t>Uppdaterat kompensation för övriga skatteförändringar</t>
  </si>
  <si>
    <t>Korrrigerat formelfel i tabellkolumnen G&amp;F - Kompletteringstal</t>
  </si>
  <si>
    <t>Uppdaterat skattesatser, ej publicerade uppgifter. OBS! De genomsnittliga skatteprocenterna är vägda med preliminär (från 29.9.2019) beskattningsbar inkomst för 2018</t>
  </si>
  <si>
    <t>Korrigerat formelfel, berör Saltvik, Sottunga, Sund, Vårdö och Mariehamn</t>
  </si>
  <si>
    <t>Prel Sociala lsandelar</t>
  </si>
  <si>
    <t>Socialvård &amp; Socialtjänst 2019</t>
  </si>
  <si>
    <t>Sociala</t>
  </si>
  <si>
    <t>Lagt till en kolumn med prel sammanlagd landskapsandel då den slutliga sammanlagda landskapsandelen inte kan vara mindre än 0 euro.</t>
  </si>
  <si>
    <t>Sammanfogat kolumnerna för socialvård och socialtjänst då den slutliga sammanlagda landskapsandelen inte kan vara mindre än 0 euro</t>
  </si>
  <si>
    <t>Kalkyl basbelopp 2018</t>
  </si>
  <si>
    <t>Grundskola ndk 2018</t>
  </si>
  <si>
    <t>Antal invånare 6-15, 1.1 2018</t>
  </si>
  <si>
    <t>Basbelopp grundskola 2018</t>
  </si>
  <si>
    <t>STR kostnader enligt bokslut 2018</t>
  </si>
  <si>
    <t>Antal elever STR medeltal 2018</t>
  </si>
  <si>
    <t>Basbelopp STR 2018</t>
  </si>
  <si>
    <t>Barnomsorg</t>
  </si>
  <si>
    <t>BSI 2020:</t>
  </si>
  <si>
    <t>Indexförändring 2020</t>
  </si>
  <si>
    <t>(reviderat 16.9 pga statistikcentralens uppdatering)</t>
  </si>
  <si>
    <t>Utökade uppgifter, extra kostnad för 2021</t>
  </si>
  <si>
    <t>Elevhandledning</t>
  </si>
  <si>
    <t>Antal invånare 6-15, 1.1 2020</t>
  </si>
  <si>
    <t>Pålägg /inv.</t>
  </si>
  <si>
    <t>Index</t>
  </si>
  <si>
    <t>0-100+</t>
  </si>
  <si>
    <t>Socialtjänst (kst)</t>
  </si>
  <si>
    <t>Socialvård (Äldreomsorg)</t>
  </si>
  <si>
    <t>Barnomsorg (tillhör bildning)</t>
  </si>
  <si>
    <t>Barn och elevhälsa</t>
  </si>
  <si>
    <t>Tillfällig barnomsorg</t>
  </si>
  <si>
    <t>Inv 1.1.2020 i 0-6</t>
  </si>
  <si>
    <t>Barnomsorg (0-6)</t>
  </si>
  <si>
    <t>Förstärkt basservice (4 år)</t>
  </si>
  <si>
    <t>Social rehabilitering</t>
  </si>
  <si>
    <t>Specialfritids</t>
  </si>
  <si>
    <t>Ndk 2018</t>
  </si>
  <si>
    <t>Socialvård(äldreomsorg)</t>
  </si>
  <si>
    <t>Inv 1.1.2020 i 0-100+</t>
  </si>
  <si>
    <t>Inv 1.1.2018 i 0-6</t>
  </si>
  <si>
    <t>Inv 1.1.2018 i 0-100+</t>
  </si>
  <si>
    <t>Totalt äldreomsorg</t>
  </si>
  <si>
    <t>Totalt barnomsorg</t>
  </si>
  <si>
    <t>Socialvård (äldreomsorg)</t>
  </si>
  <si>
    <t>Socialtjänst (till KST)</t>
  </si>
  <si>
    <t>Totalt (utan kst)</t>
  </si>
  <si>
    <t>Socialvård     (äldreomsorg)</t>
  </si>
  <si>
    <t>Eur/inv</t>
  </si>
  <si>
    <t>index</t>
  </si>
  <si>
    <t>Fördelas enligt andel klienter i respektive åldersgrupp</t>
  </si>
  <si>
    <t>Inv 1.1.2018 i 65+</t>
  </si>
  <si>
    <t>Förberedande undervisning</t>
  </si>
  <si>
    <t>Grundvux</t>
  </si>
  <si>
    <t>Basbelopp 2021</t>
  </si>
  <si>
    <t xml:space="preserve">*Antal </t>
  </si>
  <si>
    <t>**Basbelopp</t>
  </si>
  <si>
    <t>*Antal</t>
  </si>
  <si>
    <t>BB, specialfritids</t>
  </si>
  <si>
    <t>BB, förberedande</t>
  </si>
  <si>
    <t>BB, grundvux</t>
  </si>
  <si>
    <t>Grundskola, STR &amp; Specfr</t>
  </si>
  <si>
    <t>Lsandel Specialfritids</t>
  </si>
  <si>
    <t>Formel: (kommunens normkostnad=basbelopp*antal specfr-elever)*ersättningsgrad</t>
  </si>
  <si>
    <t>Invånare 6-15</t>
  </si>
  <si>
    <t>Grundvux, förberedande undervisning</t>
  </si>
  <si>
    <t>Landskapsandel för specialfritids</t>
  </si>
  <si>
    <t>Äldreomsorg</t>
  </si>
  <si>
    <t>Landskapsandel för barnomsorg samt socialvård(äldreomsorg)</t>
  </si>
  <si>
    <t>(indexerat)</t>
  </si>
  <si>
    <t>Specialfritids 2018</t>
  </si>
  <si>
    <t>Ndk-STR</t>
  </si>
  <si>
    <t>Överföringar till kommunerna - sammanlagt</t>
  </si>
  <si>
    <t>Sammanlagt</t>
  </si>
  <si>
    <t>Kompensation av kapitalskatt, avveckling 2018-2021</t>
  </si>
  <si>
    <t>Samarbets-stöd</t>
  </si>
  <si>
    <t>Lsandel för socialvården (äldreomsorg)</t>
  </si>
  <si>
    <t>Kalkylerade nettodriftskostnader för socialvården (äldreomsorg) till socialvårdsplanen</t>
  </si>
  <si>
    <t>Hela</t>
  </si>
  <si>
    <t>Institutionsvård för äldre</t>
  </si>
  <si>
    <t>Bo.service för äldre med heldygnsoms.</t>
  </si>
  <si>
    <t>Övriga tjänster för äldre</t>
  </si>
  <si>
    <t>Hemservice</t>
  </si>
  <si>
    <t>TOTALT</t>
  </si>
  <si>
    <t>Kommunernas nettodriftskostnader för äldreomsorg, enligt uppgiftsklass och kommun år 2018 (1 000 euro)</t>
  </si>
  <si>
    <t>2021</t>
  </si>
  <si>
    <t>2021-01-01</t>
  </si>
  <si>
    <t>Indexförändring 2021</t>
  </si>
  <si>
    <t>BSI 2021:</t>
  </si>
  <si>
    <t>Landskapsandelar beräkning, grundskola</t>
  </si>
  <si>
    <t>LS-andelar, STR</t>
  </si>
  <si>
    <t>LS-andelar, SP.FR, FÖRB,GRVX</t>
  </si>
  <si>
    <t>År 2022 års landskapsandelar baserar sig på 2018 års kostnader, uppindexerat till år 2022</t>
  </si>
  <si>
    <t>Landskapsandelar, barnomsorg, socialvård och socialtjänst(kst)</t>
  </si>
  <si>
    <t>elever år 2021 hösttermin</t>
  </si>
  <si>
    <t>afs2020_nr130.pdf (regeringen.ax)</t>
  </si>
  <si>
    <t>Lagförslag 7/2020-2021 | Ålands lagting (lagtinget.ax)</t>
  </si>
  <si>
    <t>KST</t>
  </si>
  <si>
    <t>Komensation för kapitalskatt avvecklad</t>
  </si>
  <si>
    <t>2022</t>
  </si>
  <si>
    <t>KST skilt, ls-andel direkt till kst. KST beräknas på 0-100 åringar.</t>
  </si>
  <si>
    <t>barnomsorg tillhör numera bildningssektorn</t>
  </si>
  <si>
    <t>Landskapsandel  (€)</t>
  </si>
  <si>
    <t>Landskapsandel (€) /invånare</t>
  </si>
  <si>
    <t>Landskapsandel</t>
  </si>
  <si>
    <t>Kumulativ</t>
  </si>
  <si>
    <t>Andel invånare</t>
  </si>
  <si>
    <t>Andel skatter (2020)</t>
  </si>
  <si>
    <t>Ndk/inv</t>
  </si>
  <si>
    <t>Skatt/inv</t>
  </si>
  <si>
    <t>Andel ndk (2019)</t>
  </si>
  <si>
    <t>Ndk (1000 tals euro)</t>
  </si>
  <si>
    <t>(totala ndk 2019)</t>
  </si>
  <si>
    <t>Socialvård (äldreomsorg+kst)</t>
  </si>
  <si>
    <t>Bildningssektorn (grk+barnomsorg+str+spcfr)</t>
  </si>
  <si>
    <t>Prisindex för den kommunala basservicen på Åland (asub.ax)</t>
  </si>
  <si>
    <t>Landskapsandel för grundvux</t>
  </si>
  <si>
    <t>grvux</t>
  </si>
  <si>
    <t>förb</t>
  </si>
  <si>
    <t>Landskapsandelar för grundskola och träningsundervisning (STR) samt specialfritids, grvux och förb</t>
  </si>
  <si>
    <t>elever ht21</t>
  </si>
  <si>
    <t>Formel: (kommunens normkostnad=basbelopp*antal elever)*ersättningsgrad</t>
  </si>
  <si>
    <t>13,2% tillfälligt 4 år, sen 12,8 till år 2025 (ser över basbelopp här)</t>
  </si>
  <si>
    <t>Lsandelar Totalt (exklusive KST)</t>
  </si>
  <si>
    <t>Stödundervisnign i svenska</t>
  </si>
  <si>
    <t>Grundvux + förberedande</t>
  </si>
  <si>
    <t>(förb+grvx från 2022)</t>
  </si>
  <si>
    <t>Kompensationer/övrigt</t>
  </si>
  <si>
    <t>Samarbetsstöd</t>
  </si>
  <si>
    <t>Likviditetsstöd</t>
  </si>
  <si>
    <t>skillnad fördelning samfundsskatter,  höjning till kommunerna 2020-2021... Redogörelse senare... Rlö2409</t>
  </si>
  <si>
    <t>Kultur+Medis+Extra medis</t>
  </si>
  <si>
    <t>Nya delar tillfogade (specialfritids), utökade kostnader pålagda på basbeloppen. basbelopp beräknade på bas 2018.indexerat till år 2021. Utökade LS-andelar ca 1,4 miljoner till följd av ökningen av uppgifter</t>
  </si>
  <si>
    <t>Lagförslag 1/2020-2021 | Ålands lagting (lagtinget.ax)</t>
  </si>
  <si>
    <t xml:space="preserve">Tillfällig höjning av ls-andelar ca 1,2 miljoner </t>
  </si>
  <si>
    <t>afs2021_nr136.pdf (regeringen.ax)</t>
  </si>
  <si>
    <t>Antal elever för hela år 2022, beräknas i ca augusti 2022</t>
  </si>
  <si>
    <t>Nya basbelopp beräknas för LS år 2023</t>
  </si>
  <si>
    <t>Första prognos i ca maj 2022 för LS år 2023, sedan ca augusti, ca september, oktober och slutversion november</t>
  </si>
  <si>
    <t>2021 November</t>
  </si>
  <si>
    <t>Prognos år 2022: Nya delar, grundvux och förberedande undervisning, redovisas skilt. Elever HT21 i version prognos november 21</t>
  </si>
  <si>
    <t>Kalkylerad ndk (normkostnad)</t>
  </si>
  <si>
    <t>LRs övertagande av kostnadsansvar kollektivtrafik inför 2022, redogör senare</t>
  </si>
  <si>
    <t>2022-01-01</t>
  </si>
  <si>
    <t>Medis till höger&gt;&gt;&gt;&gt;&gt;&gt;&gt;&gt;&gt;&gt;&gt;&gt;&gt;&gt;&gt;&gt;&gt;&gt;&gt;&gt;&gt;</t>
  </si>
  <si>
    <t>Invånare 2022 (1.1)</t>
  </si>
  <si>
    <t>2022 prognos</t>
  </si>
  <si>
    <t>2023 diff prognos</t>
  </si>
  <si>
    <t>Prognos 2023</t>
  </si>
  <si>
    <t>Kalkyl basbelopp 2021</t>
  </si>
  <si>
    <t>År 2023 års landskapsandelar baserar sig på 2021 års kostnader, uppindexerat till år 2023</t>
  </si>
  <si>
    <t>Indexförändring 2022</t>
  </si>
  <si>
    <t>BSI 2022:</t>
  </si>
  <si>
    <t>Grundskola ndk 2021</t>
  </si>
  <si>
    <t>Antal invånare 6-15, 1.1 2021</t>
  </si>
  <si>
    <t>Ej gällande för 2023</t>
  </si>
  <si>
    <t>Basbelopp grundskola 2021</t>
  </si>
  <si>
    <t>STR kostnader enligt bokslut 2021</t>
  </si>
  <si>
    <t>Antal elever STR medeltal 2021</t>
  </si>
  <si>
    <t>Uppföljning till år 2023 års ls-andelar. Se https://www.regeringen.ax/alandsk-lagstiftning/alex/2017120</t>
  </si>
  <si>
    <t>(Träningsundervisning)</t>
  </si>
  <si>
    <t>Basbelopp 2021 (Kostnad x2 för förb o grvux)</t>
  </si>
  <si>
    <t>Inv 1.1.2021 i 0-6</t>
  </si>
  <si>
    <t>Inv 1.1.2021 i 0-100+</t>
  </si>
  <si>
    <t>Inv 1.1.2021 i 65+</t>
  </si>
  <si>
    <t>Basbelopp barnomsorg</t>
  </si>
  <si>
    <t>Basbelopp KST (socialtjänst)</t>
  </si>
  <si>
    <t>Basbelopp Äldreomsorg</t>
  </si>
  <si>
    <t>**Basbelopp 65-74</t>
  </si>
  <si>
    <t>**Basbelopp 75-84</t>
  </si>
  <si>
    <t>**Basbelopp 85+</t>
  </si>
  <si>
    <t>Basbelopp STR 2021</t>
  </si>
  <si>
    <t>hämtas från separat beräkning</t>
  </si>
  <si>
    <t>Kost. Förb und. 21</t>
  </si>
  <si>
    <t>Kost. Spec.frtd. 2021</t>
  </si>
  <si>
    <t>Kost. Grundvux 21</t>
  </si>
  <si>
    <t>LS-andelar, Specialfritids, förberedande undervisning, grundskoleutbildning för andra än läropliktiga</t>
  </si>
  <si>
    <t>Kalkyl basbelopp 21, ndk, inv, basbelopp</t>
  </si>
  <si>
    <t>Antal elever hösterminen 2022</t>
  </si>
  <si>
    <t>elever 2022 hösten</t>
  </si>
  <si>
    <t>2022 prognos (utan prel höjning)</t>
  </si>
  <si>
    <t>Medis planeras utanför LS-systemet från och med 2023. (???) /RLÖ 26092022</t>
  </si>
  <si>
    <t>elever år 2022 hösttermin</t>
  </si>
  <si>
    <t>elever ht22</t>
  </si>
  <si>
    <t xml:space="preserve">2023 prognos </t>
  </si>
  <si>
    <t>Ndk-STR-SPEC-Förb-Grvx</t>
  </si>
  <si>
    <t>Landskapsandel för förberedande undervisning</t>
  </si>
  <si>
    <t>2023</t>
  </si>
  <si>
    <t>Budget år 2023 LR</t>
  </si>
  <si>
    <t xml:space="preserve">Prognos 2022 - inklusive nya delar,  nya beräknade basbelopp, uppindexerade basbelopp till 2022 från 2018 ndk, och förändrade ersättningsgrader. Skattekomplettering enligt senaste prognoser om beskattning år 2020 samt skattesatser. </t>
  </si>
  <si>
    <t>elever år 2022</t>
  </si>
  <si>
    <t>(ej med temp höjning)</t>
  </si>
  <si>
    <t>Diff mot 22</t>
  </si>
  <si>
    <t>Stort ökat antal elever på förb. HT22 antal prognosticerat just nu./RLÖ  2609</t>
  </si>
  <si>
    <t>*</t>
  </si>
  <si>
    <t>**</t>
  </si>
  <si>
    <t>*Medis-ersättningen ämnas utgå enligt det avtal som är upprättat, om dryga 200 000 euro /RLÖ 03102022</t>
  </si>
  <si>
    <t>Ämnas ersättas genom det avtal som är upprättat, om dryga 200 000 euro /RLÖ 0310</t>
  </si>
  <si>
    <t>(kostnad för kollektivtrafik EJ borttagen trots kostnadsansvar övertagits, se budget 2022)</t>
  </si>
  <si>
    <t>(kostnad för kollektivtrafik EJ borttagen från basbelopp trots kostnadsansvar övertagits, se budget 2022)</t>
  </si>
  <si>
    <t>utan temp höjning</t>
  </si>
  <si>
    <t>Invånare (1.1.2022)</t>
  </si>
  <si>
    <t>2023 Barnomsorg</t>
  </si>
  <si>
    <t>Kommunernas nettodriftskostnader för äldreomsorg, enligt uppgiftsklass och kommun år 2021 (1 000 euro)</t>
  </si>
  <si>
    <t>2022 och 2023 vägda medeltal preliminära för år 2024 års ls-andelar</t>
  </si>
  <si>
    <t>SKATTEFÖRVALTNINGEN</t>
  </si>
  <si>
    <t>Uppgifter om redovisningen enligt debitering</t>
  </si>
  <si>
    <t>N181</t>
  </si>
  <si>
    <t xml:space="preserve"> </t>
  </si>
  <si>
    <t>KOMMUNER</t>
  </si>
  <si>
    <t>SKATTEÅR</t>
  </si>
  <si>
    <t>Det redovisade beloppet rättas i november.</t>
  </si>
  <si>
    <t>Skatteåterbäringar dras av och kvarskatter redovisas från och med juli.</t>
  </si>
  <si>
    <t>Lands-kap</t>
  </si>
  <si>
    <t>Kmn   nr</t>
  </si>
  <si>
    <t>Namn</t>
  </si>
  <si>
    <t>Debiterat kommunalskatt</t>
  </si>
  <si>
    <t>Förändring. jämfört med föregående år</t>
  </si>
  <si>
    <t>Kommunernas andel av redovisad skatt</t>
  </si>
  <si>
    <t>Redovisats till kommunerna</t>
  </si>
  <si>
    <t>Rättelse av redovisat belopp</t>
  </si>
  <si>
    <t xml:space="preserve">Andel av skatteåterbäring </t>
  </si>
  <si>
    <t>Rättelse- och återb.-andel, summa</t>
  </si>
  <si>
    <t>Andel av kvarskatt</t>
  </si>
  <si>
    <t>Andel av samfundsskatt</t>
  </si>
  <si>
    <t>Fastighetsskatt 2022</t>
  </si>
  <si>
    <t>Förändring3</t>
  </si>
  <si>
    <t xml:space="preserve">Brändö                                            </t>
  </si>
  <si>
    <t xml:space="preserve">Eckerö                                            </t>
  </si>
  <si>
    <t xml:space="preserve">Finström                                          </t>
  </si>
  <si>
    <t xml:space="preserve">Föglö                                             </t>
  </si>
  <si>
    <t xml:space="preserve">Geta                                              </t>
  </si>
  <si>
    <t xml:space="preserve">Hammarland                                        </t>
  </si>
  <si>
    <t xml:space="preserve">Jomala                                            </t>
  </si>
  <si>
    <t xml:space="preserve">Kumlinge                                          </t>
  </si>
  <si>
    <t xml:space="preserve">Kökar                                             </t>
  </si>
  <si>
    <t xml:space="preserve">Lemland                                           </t>
  </si>
  <si>
    <t xml:space="preserve">Lumparland                                        </t>
  </si>
  <si>
    <t xml:space="preserve">Mariehamn                                         </t>
  </si>
  <si>
    <t xml:space="preserve">Saltvik                                           </t>
  </si>
  <si>
    <t xml:space="preserve">Sottunga                                          </t>
  </si>
  <si>
    <t xml:space="preserve">Sund                                              </t>
  </si>
  <si>
    <t xml:space="preserve">Vårdö                                             </t>
  </si>
  <si>
    <t>Landskomm.</t>
  </si>
  <si>
    <t>-Landsbygden</t>
  </si>
  <si>
    <t>-Skärgården</t>
  </si>
  <si>
    <t>2022*</t>
  </si>
  <si>
    <t>2023*</t>
  </si>
  <si>
    <t>Fotnot: Uppgifterna för den genomsnittliga kommunalskattesatsen är reviderade.</t>
  </si>
  <si>
    <t>Fotnot: För 2022 och 2023 är genomsnittliga skatteprocenterna vägda med beskattningsbara inkomster för 2021 från 07.11.2022.</t>
  </si>
  <si>
    <t>Källa: ÅSUB Offentlig ekonomi</t>
  </si>
  <si>
    <t>Uppdaterad 21.11.2022</t>
  </si>
  <si>
    <t>Skattesatserna är enligt ÅSUB:s publicering 21.11.2022</t>
  </si>
  <si>
    <t/>
  </si>
  <si>
    <t>diff</t>
  </si>
  <si>
    <t>% kalkyler</t>
  </si>
  <si>
    <t>DATA</t>
  </si>
  <si>
    <t>**Samarbetsstöd och likviditetsstöd, finns tillräckligt med reservationsanslag från tidigare så det behövs i nuläget inga nya anslag för år 2023.</t>
  </si>
  <si>
    <t>2023 prognos (jan23)</t>
  </si>
  <si>
    <t>Skattesats 2023</t>
  </si>
  <si>
    <t>Kalkyl inkomstborfall - skatteår 2019:</t>
  </si>
  <si>
    <t>skatteår 2020:</t>
  </si>
  <si>
    <t>Kompensationsbelopp:</t>
  </si>
  <si>
    <t>Skattesats 2019</t>
  </si>
  <si>
    <t>Skatteinkomstborfall, reseavdrag</t>
  </si>
  <si>
    <t>7.8.9 - Grundavdrag, Åland</t>
  </si>
  <si>
    <t>Skattesats 2020</t>
  </si>
  <si>
    <t>Andel av inkomstbortfall</t>
  </si>
  <si>
    <t>Cirka fördelning per kommun</t>
  </si>
  <si>
    <t>Summa, euro</t>
  </si>
  <si>
    <t>Antal</t>
  </si>
  <si>
    <t>7.8.2 - Avdrag för kostnader för resor mellan bostaden och arbetsplatsen, Åland</t>
  </si>
  <si>
    <t>..</t>
  </si>
  <si>
    <t>Summa alla med belopp</t>
  </si>
  <si>
    <t>Summa Åland</t>
  </si>
  <si>
    <t>Kalkylerat belopp på kommuner med ..</t>
  </si>
  <si>
    <t>Fördelar ut detta enligt samma förhållande som 2019 för Sottunga och Kumlinge</t>
  </si>
  <si>
    <t>Andel 2019</t>
  </si>
  <si>
    <t>Kumlinge 2019</t>
  </si>
  <si>
    <t>Sottunga 2019</t>
  </si>
  <si>
    <t xml:space="preserve">Summa </t>
  </si>
  <si>
    <t>Kompensationer för resekostnadsavdrag</t>
  </si>
  <si>
    <t>Kompensationer för grundavdrag</t>
  </si>
  <si>
    <t>xxx</t>
  </si>
  <si>
    <t>Prel. Kompensationer för grundavdrag</t>
  </si>
  <si>
    <t>Prel. Kompensationer för resekostnadsavdrag</t>
  </si>
  <si>
    <t>Prognos 2023 - version jan 2022</t>
  </si>
  <si>
    <t>5.000.000 euro avser förskott för skatteår 2023 på en kompensation om 70 procent av bortfall av kommunalskatt till följd av grundavdraget och resekostnadsavdraget. Landskapsregeringen avlämnar ett lagförslag om kompensationen.</t>
  </si>
  <si>
    <t>Lagförslag 11/2022-2023 | Ålands lagting (lagtinget.ax)</t>
  </si>
  <si>
    <t>Sote-samfundsskatteersättning</t>
  </si>
  <si>
    <t>Lagförslag 5/2022-2023 | Ålands lagting (lagtinget.ax)</t>
  </si>
  <si>
    <t>samf</t>
  </si>
  <si>
    <t>avdrag</t>
  </si>
  <si>
    <t>avdragen</t>
  </si>
  <si>
    <t>Data</t>
  </si>
  <si>
    <t>LF</t>
  </si>
  <si>
    <t>Sammanlagt (utan komp och kst)</t>
  </si>
  <si>
    <t>Sammanlagt (med komp, utan kst)</t>
  </si>
  <si>
    <t>TOT</t>
  </si>
  <si>
    <t>Om och när lagen träder i kraft</t>
  </si>
  <si>
    <t>Utbetalas om och när lagarna träder i kraft /Rlö 05012023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</si>
</sst>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_-* #,##0.00\ _€_-;\-* #,##0.00\ _€_-;_-* &quot;-&quot;??\ _€_-;_-@_-"/>
    <numFmt numFmtId="165" formatCode="_-* #,##0.00\ _k_r_-;\-* #,##0.00\ _k_r_-;_-* &quot;-&quot;??\ _k_r_-;_-@_-"/>
    <numFmt numFmtId="166" formatCode="#,##0.0"/>
    <numFmt numFmtId="167" formatCode="0.0000"/>
    <numFmt numFmtId="168" formatCode="0.0\ %"/>
    <numFmt numFmtId="169" formatCode="yyyy\-mm\-dd;@"/>
    <numFmt numFmtId="170" formatCode="_-* #,##0.0000\ _€_-;\-* #,##0.0000\ _€_-;_-* &quot;-&quot;????\ _€_-;_-@_-"/>
    <numFmt numFmtId="171" formatCode="#,##0.0000"/>
    <numFmt numFmtId="172" formatCode="0.000000"/>
    <numFmt numFmtId="173" formatCode="0.0000000"/>
    <numFmt numFmtId="174" formatCode="0.000\ %"/>
    <numFmt numFmtId="175" formatCode="0.00000\ %"/>
    <numFmt numFmtId="176" formatCode="#,##0.00000"/>
    <numFmt numFmtId="177" formatCode="#,##0.000"/>
    <numFmt numFmtId="178" formatCode="000"/>
    <numFmt numFmtId="179" formatCode="0.00000"/>
  </numFmts>
  <fonts count="146">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1"/>
      <color theme="3"/>
      <name val="Arial"/>
      <family val="2"/>
    </font>
    <font>
      <sz val="12"/>
      <color rgb="FF3F3F76"/>
      <name val="Arial"/>
      <family val="2"/>
    </font>
    <font>
      <b/>
      <sz val="12"/>
      <color rgb="FFFA7D00"/>
      <name val="Arial"/>
      <family val="2"/>
    </font>
    <font>
      <b/>
      <sz val="12"/>
      <color theme="1"/>
      <name val="Arial"/>
      <family val="2"/>
    </font>
    <font>
      <sz val="18"/>
      <color theme="1"/>
      <name val="Calibri"/>
      <family val="2"/>
      <scheme val="minor"/>
    </font>
    <font>
      <sz val="9"/>
      <name val="Calibri"/>
      <family val="2"/>
      <scheme val="minor"/>
    </font>
    <font>
      <sz val="18"/>
      <color rgb="FF006100"/>
      <name val="Calibri"/>
      <family val="2"/>
      <scheme val="minor"/>
    </font>
    <font>
      <sz val="10"/>
      <name val="Arial"/>
      <family val="2"/>
    </font>
    <font>
      <sz val="10"/>
      <name val="Times New Roman"/>
      <family val="1"/>
    </font>
    <font>
      <sz val="12"/>
      <name val="Arial"/>
      <family val="2"/>
    </font>
    <font>
      <sz val="12"/>
      <color theme="1"/>
      <name val="Calibri"/>
      <family val="2"/>
      <scheme val="minor"/>
    </font>
    <font>
      <sz val="11"/>
      <color rgb="FF000000"/>
      <name val="Calibri"/>
      <family val="2"/>
    </font>
    <font>
      <sz val="11"/>
      <color theme="1"/>
      <name val="Calibri"/>
      <family val="2"/>
      <scheme val="minor"/>
    </font>
    <font>
      <b/>
      <sz val="11"/>
      <color theme="1"/>
      <name val="Calibri"/>
      <family val="2"/>
      <scheme val="minor"/>
    </font>
    <font>
      <b/>
      <sz val="11"/>
      <color rgb="FF000000"/>
      <name val="Calibri"/>
      <family val="2"/>
    </font>
    <font>
      <b/>
      <sz val="11"/>
      <color theme="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4"/>
      <color theme="1"/>
      <name val="Cambria"/>
      <family val="1"/>
      <scheme val="major"/>
    </font>
    <font>
      <b/>
      <sz val="12"/>
      <color theme="1"/>
      <name val="Cambria"/>
      <family val="1"/>
      <scheme val="major"/>
    </font>
    <font>
      <u/>
      <sz val="12"/>
      <color theme="10"/>
      <name val="Arial"/>
      <family val="2"/>
    </font>
    <font>
      <i/>
      <u/>
      <sz val="9"/>
      <color theme="10"/>
      <name val="Calibri"/>
      <family val="2"/>
      <scheme val="minor"/>
    </font>
    <font>
      <b/>
      <sz val="11"/>
      <color rgb="FFC00000"/>
      <name val="Calibri"/>
      <family val="2"/>
      <scheme val="minor"/>
    </font>
    <font>
      <i/>
      <sz val="9"/>
      <color theme="1"/>
      <name val="Calibri"/>
      <family val="2"/>
      <scheme val="minor"/>
    </font>
    <font>
      <sz val="9"/>
      <color rgb="FFC00000"/>
      <name val="Calibri"/>
      <family val="2"/>
      <scheme val="minor"/>
    </font>
    <font>
      <b/>
      <sz val="9"/>
      <name val="CG Times"/>
      <family val="1"/>
    </font>
    <font>
      <sz val="9"/>
      <name val="Arial"/>
      <family val="2"/>
    </font>
    <font>
      <sz val="9"/>
      <name val="CG Times"/>
      <family val="1"/>
    </font>
    <font>
      <b/>
      <sz val="9"/>
      <name val="Arial"/>
      <family val="2"/>
    </font>
    <font>
      <i/>
      <sz val="9"/>
      <color rgb="FF7F7F7F"/>
      <name val="Calibri"/>
      <family val="2"/>
      <scheme val="minor"/>
    </font>
    <font>
      <sz val="14"/>
      <name val="Arial"/>
      <family val="2"/>
    </font>
    <font>
      <b/>
      <sz val="8"/>
      <name val="Arial"/>
      <family val="2"/>
    </font>
    <font>
      <b/>
      <i/>
      <sz val="8"/>
      <name val="Arial"/>
      <family val="2"/>
    </font>
    <font>
      <b/>
      <sz val="10"/>
      <name val="Arial"/>
      <family val="2"/>
    </font>
    <font>
      <i/>
      <sz val="8"/>
      <name val="Arial"/>
      <family val="2"/>
    </font>
    <font>
      <b/>
      <i/>
      <sz val="8"/>
      <name val="CG Times"/>
      <family val="1"/>
    </font>
    <font>
      <b/>
      <sz val="12"/>
      <color rgb="FFC00000"/>
      <name val="Arial"/>
      <family val="2"/>
    </font>
    <font>
      <b/>
      <i/>
      <sz val="11"/>
      <color theme="1"/>
      <name val="Calibri"/>
      <family val="2"/>
      <scheme val="minor"/>
    </font>
    <font>
      <sz val="9"/>
      <color theme="1"/>
      <name val="Calibri"/>
      <family val="2"/>
      <scheme val="minor"/>
    </font>
    <font>
      <i/>
      <sz val="11"/>
      <color theme="1"/>
      <name val="Calibri"/>
      <family val="2"/>
      <scheme val="minor"/>
    </font>
    <font>
      <b/>
      <sz val="11"/>
      <color theme="5" tint="-0.249977111117893"/>
      <name val="Calibri"/>
      <family val="2"/>
      <scheme val="minor"/>
    </font>
    <font>
      <b/>
      <sz val="9"/>
      <color rgb="FF000000"/>
      <name val="Calibri"/>
      <family val="2"/>
    </font>
    <font>
      <b/>
      <sz val="9"/>
      <color theme="1"/>
      <name val="Calibri"/>
      <family val="2"/>
      <scheme val="minor"/>
    </font>
    <font>
      <b/>
      <sz val="9"/>
      <name val="Calibri"/>
      <family val="2"/>
      <scheme val="minor"/>
    </font>
    <font>
      <b/>
      <sz val="9"/>
      <color theme="0"/>
      <name val="Calibri"/>
      <family val="2"/>
      <scheme val="minor"/>
    </font>
    <font>
      <b/>
      <u/>
      <sz val="9"/>
      <color theme="0"/>
      <name val="Calibri"/>
      <family val="2"/>
      <scheme val="minor"/>
    </font>
    <font>
      <b/>
      <u/>
      <sz val="9"/>
      <color theme="1"/>
      <name val="Calibri"/>
      <family val="2"/>
      <scheme val="minor"/>
    </font>
    <font>
      <b/>
      <sz val="9"/>
      <color rgb="FFC00000"/>
      <name val="Calibri"/>
      <family val="2"/>
      <scheme val="minor"/>
    </font>
    <font>
      <b/>
      <sz val="9"/>
      <color rgb="FF000000"/>
      <name val="Calibri"/>
      <family val="2"/>
      <scheme val="minor"/>
    </font>
    <font>
      <b/>
      <sz val="9"/>
      <color theme="1"/>
      <name val="Calibri"/>
      <family val="2"/>
    </font>
    <font>
      <sz val="9"/>
      <color theme="1"/>
      <name val="Arial"/>
      <family val="2"/>
    </font>
    <font>
      <sz val="9"/>
      <color rgb="FFFF0000"/>
      <name val="Arial"/>
      <family val="2"/>
    </font>
    <font>
      <b/>
      <sz val="9"/>
      <color theme="3" tint="-0.249977111117893"/>
      <name val="Calibri"/>
      <family val="2"/>
      <scheme val="minor"/>
    </font>
    <font>
      <sz val="9"/>
      <color theme="3" tint="-0.249977111117893"/>
      <name val="Calibri"/>
      <family val="2"/>
      <scheme val="minor"/>
    </font>
    <font>
      <sz val="9"/>
      <color indexed="81"/>
      <name val="Tahoma"/>
      <family val="2"/>
    </font>
    <font>
      <b/>
      <sz val="9"/>
      <color indexed="81"/>
      <name val="Tahoma"/>
      <family val="2"/>
    </font>
    <font>
      <b/>
      <sz val="9"/>
      <color theme="3" tint="0.39997558519241921"/>
      <name val="Calibri"/>
      <family val="2"/>
      <scheme val="minor"/>
    </font>
    <font>
      <sz val="9"/>
      <color theme="3" tint="0.39997558519241921"/>
      <name val="Calibri"/>
      <family val="2"/>
      <scheme val="minor"/>
    </font>
    <font>
      <sz val="10"/>
      <color theme="1"/>
      <name val="Calibri"/>
      <family val="2"/>
      <scheme val="minor"/>
    </font>
    <font>
      <i/>
      <sz val="11"/>
      <name val="Calibri"/>
      <family val="2"/>
      <scheme val="minor"/>
    </font>
    <font>
      <i/>
      <u/>
      <sz val="9"/>
      <color theme="0" tint="-0.249977111117893"/>
      <name val="Calibri"/>
      <family val="2"/>
      <scheme val="minor"/>
    </font>
    <font>
      <i/>
      <sz val="12"/>
      <color rgb="FFC00000"/>
      <name val="Arial"/>
      <family val="2"/>
    </font>
    <font>
      <b/>
      <sz val="9"/>
      <color theme="9" tint="0.39997558519241921"/>
      <name val="Calibri"/>
      <family val="2"/>
      <scheme val="minor"/>
    </font>
    <font>
      <sz val="9"/>
      <color theme="9" tint="0.39997558519241921"/>
      <name val="Calibri"/>
      <family val="2"/>
      <scheme val="minor"/>
    </font>
    <font>
      <sz val="11"/>
      <name val="Calibri"/>
      <family val="2"/>
      <scheme val="minor"/>
    </font>
    <font>
      <u/>
      <sz val="10"/>
      <color theme="10"/>
      <name val="Calibri"/>
      <family val="2"/>
      <scheme val="minor"/>
    </font>
    <font>
      <sz val="9"/>
      <color rgb="FFFF0000"/>
      <name val="Calibri"/>
      <family val="2"/>
      <scheme val="minor"/>
    </font>
    <font>
      <sz val="10"/>
      <name val="CG Times (W1)"/>
    </font>
    <font>
      <sz val="12"/>
      <color rgb="FFFF0000"/>
      <name val="Arial"/>
      <family val="2"/>
    </font>
    <font>
      <b/>
      <u/>
      <sz val="9"/>
      <name val="Calibri"/>
      <family val="2"/>
      <scheme val="minor"/>
    </font>
    <font>
      <u/>
      <sz val="11"/>
      <color theme="1"/>
      <name val="Calibri"/>
      <family val="2"/>
      <scheme val="minor"/>
    </font>
    <font>
      <i/>
      <sz val="12"/>
      <color theme="1"/>
      <name val="Arial"/>
      <family val="2"/>
    </font>
    <font>
      <i/>
      <sz val="11"/>
      <color theme="1"/>
      <name val="Arial"/>
      <family val="2"/>
    </font>
    <font>
      <sz val="10"/>
      <color rgb="FFFF0000"/>
      <name val="Arial"/>
      <family val="2"/>
    </font>
    <font>
      <i/>
      <sz val="10"/>
      <color theme="1"/>
      <name val="Arial"/>
      <family val="2"/>
    </font>
    <font>
      <sz val="12"/>
      <color rgb="FF000000"/>
      <name val="Arial"/>
      <family val="2"/>
    </font>
    <font>
      <b/>
      <sz val="12"/>
      <color rgb="FFC00000"/>
      <name val="Calibri"/>
      <family val="2"/>
      <scheme val="minor"/>
    </font>
    <font>
      <u/>
      <sz val="11"/>
      <color theme="10"/>
      <name val="Calibri"/>
      <family val="2"/>
      <scheme val="minor"/>
    </font>
    <font>
      <sz val="11"/>
      <name val="Arial"/>
      <family val="2"/>
    </font>
    <font>
      <b/>
      <sz val="11"/>
      <name val="Arial"/>
      <family val="2"/>
    </font>
    <font>
      <b/>
      <sz val="11"/>
      <color theme="1"/>
      <name val="Arial"/>
      <family val="2"/>
    </font>
    <font>
      <sz val="8"/>
      <color rgb="FFFF0000"/>
      <name val="Arial"/>
      <family val="2"/>
    </font>
    <font>
      <u/>
      <sz val="12"/>
      <color theme="1"/>
      <name val="Arial"/>
      <family val="2"/>
    </font>
    <font>
      <b/>
      <u/>
      <sz val="12"/>
      <color theme="1"/>
      <name val="Arial"/>
      <family val="2"/>
    </font>
    <font>
      <u/>
      <sz val="9"/>
      <color theme="1"/>
      <name val="Arial"/>
      <family val="2"/>
    </font>
    <font>
      <sz val="8"/>
      <name val="Arial"/>
      <family val="2"/>
    </font>
    <font>
      <b/>
      <i/>
      <sz val="10"/>
      <color theme="1"/>
      <name val="Calibri"/>
      <family val="2"/>
      <scheme val="minor"/>
    </font>
    <font>
      <i/>
      <sz val="11"/>
      <color theme="5"/>
      <name val="Calibri"/>
      <family val="2"/>
      <scheme val="minor"/>
    </font>
    <font>
      <sz val="12"/>
      <color theme="5"/>
      <name val="Arial"/>
      <family val="2"/>
    </font>
    <font>
      <i/>
      <sz val="10"/>
      <name val="Arial"/>
      <family val="2"/>
    </font>
    <font>
      <i/>
      <sz val="12"/>
      <color rgb="FFFF0000"/>
      <name val="Arial"/>
      <family val="2"/>
    </font>
    <font>
      <i/>
      <sz val="11"/>
      <color rgb="FFFF0000"/>
      <name val="Calibri"/>
      <family val="2"/>
      <scheme val="minor"/>
    </font>
    <font>
      <u/>
      <sz val="9"/>
      <color theme="1"/>
      <name val="Calibri"/>
      <family val="2"/>
      <scheme val="minor"/>
    </font>
    <font>
      <b/>
      <sz val="18"/>
      <color theme="1"/>
      <name val="Arial"/>
      <family val="2"/>
    </font>
    <font>
      <b/>
      <sz val="10"/>
      <color theme="1"/>
      <name val="Calibri"/>
      <family val="2"/>
      <scheme val="minor"/>
    </font>
    <font>
      <sz val="9"/>
      <name val="Arial Narrow"/>
      <family val="2"/>
    </font>
    <font>
      <sz val="9"/>
      <color indexed="8"/>
      <name val="Arial Narrow"/>
      <family val="2"/>
    </font>
    <font>
      <b/>
      <sz val="12"/>
      <name val="Calibri"/>
      <family val="2"/>
      <scheme val="minor"/>
    </font>
    <font>
      <sz val="8"/>
      <color theme="1"/>
      <name val="Calibri"/>
      <family val="2"/>
      <scheme val="minor"/>
    </font>
    <font>
      <sz val="8"/>
      <name val="Calibri"/>
      <family val="2"/>
      <scheme val="minor"/>
    </font>
    <font>
      <sz val="9"/>
      <color rgb="FF000000"/>
      <name val="Calibri"/>
      <family val="2"/>
    </font>
    <font>
      <sz val="18"/>
      <color theme="3"/>
      <name val="Cambria"/>
      <family val="2"/>
      <scheme val="major"/>
    </font>
    <font>
      <b/>
      <sz val="11"/>
      <color theme="3"/>
      <name val="Calibri"/>
      <family val="2"/>
      <scheme val="minor"/>
    </font>
    <font>
      <b/>
      <sz val="18"/>
      <color theme="3"/>
      <name val="Cambria"/>
      <family val="2"/>
      <scheme val="major"/>
    </font>
    <font>
      <b/>
      <sz val="12.1"/>
      <color rgb="FF000000"/>
      <name val="Inherit"/>
    </font>
    <font>
      <sz val="7"/>
      <color rgb="FF222222"/>
      <name val="Inherit"/>
    </font>
    <font>
      <b/>
      <sz val="7"/>
      <color rgb="FF222222"/>
      <name val="Inherit"/>
    </font>
    <font>
      <sz val="12.1"/>
      <color rgb="FF000000"/>
      <name val="Inherit"/>
    </font>
    <font>
      <sz val="12.1"/>
      <color rgb="FFFF0000"/>
      <name val="Inherit"/>
    </font>
    <font>
      <i/>
      <sz val="10"/>
      <color rgb="FFFF0000"/>
      <name val="Arial"/>
      <family val="2"/>
    </font>
    <font>
      <b/>
      <u/>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A5A5A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99"/>
        <bgColor rgb="FF000000"/>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9EC1C6"/>
        <bgColor indexed="64"/>
      </patternFill>
    </fill>
    <fill>
      <patternFill patternType="solid">
        <fgColor rgb="FFD3E3E5"/>
        <bgColor indexed="64"/>
      </patternFill>
    </fill>
    <fill>
      <patternFill patternType="solid">
        <fgColor rgb="FFEBF1DE"/>
        <bgColor rgb="FF000000"/>
      </patternFill>
    </fill>
    <fill>
      <patternFill patternType="solid">
        <fgColor theme="8" tint="-0.249977111117893"/>
        <bgColor indexed="64"/>
      </patternFill>
    </fill>
    <fill>
      <patternFill patternType="solid">
        <fgColor rgb="FFFFFF00"/>
        <bgColor indexed="64"/>
      </patternFill>
    </fill>
    <fill>
      <patternFill patternType="solid">
        <fgColor rgb="FF00B050"/>
        <bgColor indexed="64"/>
      </patternFill>
    </fill>
    <fill>
      <patternFill patternType="solid">
        <fgColor theme="5"/>
        <bgColor indexed="64"/>
      </patternFill>
    </fill>
    <fill>
      <patternFill patternType="solid">
        <fgColor rgb="FFFF0000"/>
        <bgColor indexed="64"/>
      </patternFill>
    </fill>
    <fill>
      <patternFill patternType="solid">
        <fgColor theme="2"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CC"/>
        <bgColor indexed="64"/>
      </patternFill>
    </fill>
    <fill>
      <patternFill patternType="solid">
        <fgColor rgb="FFE1E1E1"/>
        <bgColor indexed="64"/>
      </patternFill>
    </fill>
    <fill>
      <patternFill patternType="solid">
        <fgColor rgb="FFFFFFFF"/>
        <bgColor indexed="64"/>
      </patternFill>
    </fill>
  </fills>
  <borders count="50">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theme="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bottom/>
      <diagonal/>
    </border>
    <border>
      <left style="double">
        <color indexed="64"/>
      </left>
      <right style="double">
        <color indexed="64"/>
      </right>
      <top/>
      <bottom style="thin">
        <color auto="1"/>
      </bottom>
      <diagonal/>
    </border>
    <border>
      <left/>
      <right/>
      <top/>
      <bottom style="medium">
        <color theme="9"/>
      </bottom>
      <diagonal/>
    </border>
    <border>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medium">
        <color indexed="64"/>
      </top>
      <bottom style="thin">
        <color indexed="64"/>
      </bottom>
      <diagonal/>
    </border>
    <border>
      <left/>
      <right/>
      <top style="thin">
        <color auto="1"/>
      </top>
      <bottom style="medium">
        <color indexed="64"/>
      </bottom>
      <diagonal/>
    </border>
    <border>
      <left/>
      <right/>
      <top style="medium">
        <color indexed="64"/>
      </top>
      <bottom/>
      <diagonal/>
    </border>
    <border>
      <left/>
      <right style="medium">
        <color rgb="FFA9A9A9"/>
      </right>
      <top/>
      <bottom/>
      <diagonal/>
    </border>
    <border>
      <left/>
      <right style="medium">
        <color rgb="FFA9A9A9"/>
      </right>
      <top/>
      <bottom style="medium">
        <color rgb="FFA9A9A9"/>
      </bottom>
      <diagonal/>
    </border>
    <border>
      <left/>
      <right style="medium">
        <color rgb="FFA9A9A9"/>
      </right>
      <top style="medium">
        <color rgb="FFA9A9A9"/>
      </top>
      <bottom style="medium">
        <color rgb="FFA9A9A9"/>
      </bottom>
      <diagonal/>
    </border>
    <border>
      <left style="double">
        <color theme="4"/>
      </left>
      <right/>
      <top style="double">
        <color theme="4"/>
      </top>
      <bottom/>
      <diagonal/>
    </border>
    <border>
      <left style="double">
        <color theme="4"/>
      </left>
      <right style="double">
        <color theme="4"/>
      </right>
      <top style="double">
        <color theme="4"/>
      </top>
      <bottom/>
      <diagonal/>
    </border>
    <border>
      <left style="medium">
        <color rgb="FFA9A9A9"/>
      </left>
      <right/>
      <top style="medium">
        <color rgb="FFA9A9A9"/>
      </top>
      <bottom style="medium">
        <color rgb="FFA9A9A9"/>
      </bottom>
      <diagonal/>
    </border>
    <border>
      <left style="medium">
        <color rgb="FFA9A9A9"/>
      </left>
      <right style="medium">
        <color rgb="FFA9A9A9"/>
      </right>
      <top style="medium">
        <color rgb="FFA9A9A9"/>
      </top>
      <bottom style="medium">
        <color rgb="FFA9A9A9"/>
      </bottom>
      <diagonal/>
    </border>
    <border>
      <left style="double">
        <color theme="4"/>
      </left>
      <right/>
      <top/>
      <bottom/>
      <diagonal/>
    </border>
    <border>
      <left style="double">
        <color theme="4"/>
      </left>
      <right style="double">
        <color theme="4"/>
      </right>
      <top/>
      <bottom/>
      <diagonal/>
    </border>
    <border>
      <left/>
      <right/>
      <top style="medium">
        <color rgb="FFA9A9A9"/>
      </top>
      <bottom style="medium">
        <color rgb="FFA9A9A9"/>
      </bottom>
      <diagonal/>
    </border>
    <border>
      <left style="double">
        <color theme="4"/>
      </left>
      <right/>
      <top/>
      <bottom style="double">
        <color theme="4"/>
      </bottom>
      <diagonal/>
    </border>
    <border>
      <left style="double">
        <color theme="4"/>
      </left>
      <right style="double">
        <color theme="4"/>
      </right>
      <top/>
      <bottom style="double">
        <color theme="4"/>
      </bottom>
      <diagonal/>
    </border>
  </borders>
  <cellStyleXfs count="74">
    <xf numFmtId="0" fontId="0" fillId="0" borderId="0"/>
    <xf numFmtId="9" fontId="33" fillId="0" borderId="0" applyFont="0" applyFill="0" applyBorder="0" applyAlignment="0" applyProtection="0"/>
    <xf numFmtId="0" fontId="35" fillId="3" borderId="2" applyNumberFormat="0" applyAlignment="0" applyProtection="0"/>
    <xf numFmtId="0" fontId="36" fillId="4" borderId="2" applyNumberFormat="0" applyAlignment="0" applyProtection="0"/>
    <xf numFmtId="0" fontId="33" fillId="5" borderId="3" applyNumberFormat="0" applyFont="0" applyAlignment="0" applyProtection="0"/>
    <xf numFmtId="0" fontId="38" fillId="0" borderId="0"/>
    <xf numFmtId="0" fontId="40" fillId="2" borderId="0" applyNumberFormat="0" applyBorder="0" applyAlignment="0" applyProtection="0"/>
    <xf numFmtId="0" fontId="41" fillId="0" borderId="0"/>
    <xf numFmtId="0" fontId="42" fillId="0" borderId="0"/>
    <xf numFmtId="3" fontId="43" fillId="0" borderId="0"/>
    <xf numFmtId="3" fontId="43" fillId="0" borderId="0"/>
    <xf numFmtId="49" fontId="44" fillId="0" borderId="0"/>
    <xf numFmtId="166" fontId="45" fillId="0" borderId="0" applyBorder="0" applyAlignment="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8" fillId="0" borderId="0"/>
    <xf numFmtId="0" fontId="38" fillId="0" borderId="0"/>
    <xf numFmtId="0" fontId="33" fillId="0" borderId="0"/>
    <xf numFmtId="0" fontId="41" fillId="0" borderId="0"/>
    <xf numFmtId="9" fontId="4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0" fontId="34" fillId="0" borderId="1" applyNumberFormat="0" applyFill="0" applyAlignment="0" applyProtection="0"/>
    <xf numFmtId="165" fontId="41" fillId="0" borderId="0" applyFont="0" applyFill="0" applyBorder="0" applyAlignment="0" applyProtection="0"/>
    <xf numFmtId="165" fontId="41" fillId="0" borderId="0" applyFont="0" applyFill="0" applyBorder="0" applyAlignment="0" applyProtection="0"/>
    <xf numFmtId="164" fontId="33" fillId="0" borderId="0" applyFont="0" applyFill="0" applyBorder="0" applyAlignment="0" applyProtection="0"/>
    <xf numFmtId="0" fontId="49" fillId="8" borderId="14" applyNumberFormat="0" applyAlignment="0" applyProtection="0"/>
    <xf numFmtId="0" fontId="51" fillId="0" borderId="0" applyNumberFormat="0" applyFill="0" applyBorder="0" applyAlignment="0" applyProtection="0"/>
    <xf numFmtId="0" fontId="47" fillId="0" borderId="15" applyNumberFormat="0" applyFill="0" applyAlignment="0" applyProtection="0"/>
    <xf numFmtId="0" fontId="32" fillId="9" borderId="0" applyNumberFormat="0" applyBorder="0" applyAlignment="0" applyProtection="0"/>
    <xf numFmtId="0" fontId="32" fillId="10" borderId="0" applyNumberFormat="0" applyBorder="0" applyAlignment="0" applyProtection="0"/>
    <xf numFmtId="0" fontId="55" fillId="0" borderId="0" applyNumberFormat="0" applyFill="0" applyBorder="0" applyAlignment="0" applyProtection="0"/>
    <xf numFmtId="0" fontId="32" fillId="0" borderId="0"/>
    <xf numFmtId="0" fontId="41" fillId="0" borderId="0"/>
    <xf numFmtId="0" fontId="42" fillId="0" borderId="0"/>
    <xf numFmtId="0" fontId="41" fillId="0" borderId="0"/>
    <xf numFmtId="0" fontId="32" fillId="0" borderId="0"/>
    <xf numFmtId="0" fontId="32" fillId="0" borderId="0"/>
    <xf numFmtId="0" fontId="32" fillId="0" borderId="0"/>
    <xf numFmtId="0" fontId="32" fillId="0" borderId="0"/>
    <xf numFmtId="0" fontId="32" fillId="0" borderId="0"/>
    <xf numFmtId="0" fontId="32" fillId="0" borderId="0"/>
    <xf numFmtId="0" fontId="41" fillId="0" borderId="0"/>
    <xf numFmtId="0" fontId="41" fillId="0" borderId="0"/>
    <xf numFmtId="9" fontId="4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102" fillId="0" borderId="0"/>
    <xf numFmtId="0" fontId="16" fillId="0" borderId="0"/>
    <xf numFmtId="0" fontId="14" fillId="10" borderId="0" applyNumberFormat="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41" fillId="0" borderId="0"/>
    <xf numFmtId="0" fontId="45" fillId="0" borderId="0" applyNumberFormat="0" applyBorder="0" applyAlignment="0"/>
    <xf numFmtId="9" fontId="41"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cellStyleXfs>
  <cellXfs count="804">
    <xf numFmtId="0" fontId="0" fillId="0" borderId="0" xfId="0"/>
    <xf numFmtId="0" fontId="0" fillId="0" borderId="0" xfId="0" applyFill="1" applyProtection="1"/>
    <xf numFmtId="0" fontId="37" fillId="0" borderId="0" xfId="0" applyFont="1"/>
    <xf numFmtId="3" fontId="0" fillId="0" borderId="0" xfId="0" applyNumberFormat="1"/>
    <xf numFmtId="3" fontId="32" fillId="0" borderId="0" xfId="0" applyNumberFormat="1" applyFont="1"/>
    <xf numFmtId="0" fontId="44" fillId="0" borderId="0" xfId="0" applyFont="1"/>
    <xf numFmtId="0" fontId="47" fillId="0" borderId="0" xfId="0" applyFont="1"/>
    <xf numFmtId="0" fontId="32" fillId="0" borderId="0" xfId="0" applyFont="1"/>
    <xf numFmtId="0" fontId="47" fillId="0" borderId="0" xfId="37" applyFont="1" applyFill="1"/>
    <xf numFmtId="0" fontId="47" fillId="0" borderId="10" xfId="0" applyFont="1" applyBorder="1"/>
    <xf numFmtId="0" fontId="47" fillId="0" borderId="4" xfId="0" applyFont="1" applyBorder="1"/>
    <xf numFmtId="0" fontId="47" fillId="0" borderId="0" xfId="0" applyFont="1" applyBorder="1"/>
    <xf numFmtId="0" fontId="47" fillId="0" borderId="7" xfId="37" applyFont="1" applyFill="1" applyBorder="1"/>
    <xf numFmtId="0" fontId="0" fillId="0" borderId="0" xfId="0" applyBorder="1"/>
    <xf numFmtId="0" fontId="32" fillId="0" borderId="0" xfId="0" applyFont="1" applyFill="1" applyBorder="1"/>
    <xf numFmtId="3" fontId="32" fillId="0" borderId="10" xfId="0" applyNumberFormat="1" applyFont="1" applyBorder="1"/>
    <xf numFmtId="0" fontId="53" fillId="0" borderId="0" xfId="0" applyFont="1"/>
    <xf numFmtId="0" fontId="54" fillId="0" borderId="0" xfId="0" applyFont="1"/>
    <xf numFmtId="3" fontId="32" fillId="0" borderId="0" xfId="37" applyNumberFormat="1" applyFont="1" applyFill="1"/>
    <xf numFmtId="3" fontId="47" fillId="0" borderId="0" xfId="37" applyNumberFormat="1" applyFont="1" applyFill="1"/>
    <xf numFmtId="3" fontId="47" fillId="0" borderId="0" xfId="0" applyNumberFormat="1" applyFont="1"/>
    <xf numFmtId="0" fontId="32" fillId="0" borderId="0" xfId="0" applyFont="1" applyBorder="1"/>
    <xf numFmtId="0" fontId="52" fillId="0" borderId="0" xfId="4" applyFont="1" applyFill="1" applyBorder="1"/>
    <xf numFmtId="0" fontId="50" fillId="0" borderId="0" xfId="0" applyFont="1"/>
    <xf numFmtId="0" fontId="54" fillId="0" borderId="0" xfId="0" applyFont="1" applyFill="1" applyBorder="1"/>
    <xf numFmtId="0" fontId="48" fillId="0" borderId="0" xfId="0" applyFont="1" applyFill="1" applyProtection="1"/>
    <xf numFmtId="0" fontId="31" fillId="0" borderId="0" xfId="0" applyFont="1"/>
    <xf numFmtId="0" fontId="56" fillId="0" borderId="0" xfId="38" applyFont="1" applyFill="1" applyBorder="1"/>
    <xf numFmtId="169" fontId="58" fillId="0" borderId="0" xfId="0" applyNumberFormat="1" applyFont="1" applyFill="1" applyBorder="1"/>
    <xf numFmtId="0" fontId="59" fillId="0" borderId="0" xfId="0" applyFont="1" applyFill="1"/>
    <xf numFmtId="0" fontId="39" fillId="0" borderId="0" xfId="0" applyFont="1" applyBorder="1" applyAlignment="1">
      <alignment horizontal="left"/>
    </xf>
    <xf numFmtId="3" fontId="39" fillId="0" borderId="0" xfId="0" applyNumberFormat="1" applyFont="1" applyBorder="1"/>
    <xf numFmtId="0" fontId="52" fillId="0" borderId="10" xfId="2" applyFont="1" applyFill="1" applyBorder="1"/>
    <xf numFmtId="49" fontId="47" fillId="0" borderId="10" xfId="0" applyNumberFormat="1" applyFont="1" applyBorder="1" applyAlignment="1">
      <alignment horizontal="center"/>
    </xf>
    <xf numFmtId="0" fontId="31" fillId="0" borderId="10" xfId="0" applyFont="1" applyBorder="1"/>
    <xf numFmtId="3" fontId="31" fillId="0" borderId="0" xfId="0" applyNumberFormat="1" applyFont="1" applyFill="1" applyProtection="1"/>
    <xf numFmtId="3" fontId="31" fillId="0" borderId="0" xfId="0" applyNumberFormat="1" applyFont="1"/>
    <xf numFmtId="3" fontId="45" fillId="0" borderId="0" xfId="0" applyNumberFormat="1" applyFont="1" applyFill="1" applyProtection="1"/>
    <xf numFmtId="3" fontId="31" fillId="0" borderId="10" xfId="0" applyNumberFormat="1" applyFont="1" applyBorder="1"/>
    <xf numFmtId="3" fontId="48" fillId="0" borderId="0" xfId="0" applyNumberFormat="1" applyFont="1" applyFill="1" applyProtection="1"/>
    <xf numFmtId="0" fontId="32" fillId="0" borderId="4" xfId="0" applyFont="1" applyBorder="1"/>
    <xf numFmtId="0" fontId="63" fillId="16" borderId="0" xfId="0" applyFont="1" applyFill="1" applyBorder="1" applyAlignment="1">
      <alignment horizontal="left" vertical="center"/>
    </xf>
    <xf numFmtId="3" fontId="63" fillId="16" borderId="0" xfId="0" applyNumberFormat="1" applyFont="1" applyFill="1" applyBorder="1" applyAlignment="1">
      <alignment horizontal="center" vertical="center"/>
    </xf>
    <xf numFmtId="3" fontId="63" fillId="16" borderId="13" xfId="0" applyNumberFormat="1" applyFont="1" applyFill="1" applyBorder="1" applyAlignment="1">
      <alignment horizontal="center" vertical="justify"/>
    </xf>
    <xf numFmtId="3" fontId="63" fillId="16" borderId="0" xfId="0" applyNumberFormat="1" applyFont="1" applyFill="1" applyBorder="1" applyAlignment="1">
      <alignment horizontal="center" vertical="justify"/>
    </xf>
    <xf numFmtId="3" fontId="63" fillId="16" borderId="8" xfId="0" applyNumberFormat="1" applyFont="1" applyFill="1" applyBorder="1" applyAlignment="1">
      <alignment horizontal="center" vertical="justify"/>
    </xf>
    <xf numFmtId="3" fontId="60" fillId="16" borderId="0" xfId="0" applyNumberFormat="1" applyFont="1" applyFill="1" applyBorder="1" applyAlignment="1">
      <alignment horizontal="center" vertical="justify"/>
    </xf>
    <xf numFmtId="3" fontId="60" fillId="16" borderId="5" xfId="0" applyNumberFormat="1" applyFont="1" applyFill="1" applyBorder="1" applyAlignment="1">
      <alignment horizontal="center" vertical="justify"/>
    </xf>
    <xf numFmtId="0" fontId="63" fillId="16" borderId="0" xfId="0" applyFont="1" applyFill="1" applyBorder="1" applyAlignment="1">
      <alignment horizontal="center" vertical="center"/>
    </xf>
    <xf numFmtId="3" fontId="60" fillId="16" borderId="6" xfId="0" applyNumberFormat="1" applyFont="1" applyFill="1" applyBorder="1" applyAlignment="1">
      <alignment horizontal="center" vertical="justify"/>
    </xf>
    <xf numFmtId="3" fontId="63" fillId="16" borderId="0" xfId="0" quotePrefix="1" applyNumberFormat="1" applyFont="1" applyFill="1" applyBorder="1" applyAlignment="1">
      <alignment horizontal="center" vertical="justify"/>
    </xf>
    <xf numFmtId="0" fontId="61" fillId="0" borderId="0" xfId="0" applyFont="1" applyFill="1" applyBorder="1"/>
    <xf numFmtId="3" fontId="61" fillId="0" borderId="0" xfId="0" applyNumberFormat="1" applyFont="1" applyFill="1" applyBorder="1"/>
    <xf numFmtId="3" fontId="61" fillId="0" borderId="13" xfId="0" applyNumberFormat="1" applyFont="1" applyFill="1" applyBorder="1"/>
    <xf numFmtId="3" fontId="61" fillId="0" borderId="0" xfId="0" applyNumberFormat="1" applyFont="1" applyFill="1" applyBorder="1" applyAlignment="1">
      <alignment horizontal="right"/>
    </xf>
    <xf numFmtId="3" fontId="61" fillId="0" borderId="13" xfId="0" applyNumberFormat="1" applyFont="1" applyFill="1" applyBorder="1" applyAlignment="1">
      <alignment horizontal="right"/>
    </xf>
    <xf numFmtId="3" fontId="61" fillId="0" borderId="8" xfId="0" applyNumberFormat="1" applyFont="1" applyFill="1" applyBorder="1"/>
    <xf numFmtId="3" fontId="62" fillId="0" borderId="0" xfId="0" applyNumberFormat="1" applyFont="1" applyFill="1" applyBorder="1"/>
    <xf numFmtId="3" fontId="62" fillId="0" borderId="6" xfId="0" applyNumberFormat="1" applyFont="1" applyFill="1" applyBorder="1"/>
    <xf numFmtId="0" fontId="63" fillId="0" borderId="10" xfId="0" applyFont="1" applyFill="1" applyBorder="1" applyAlignment="1">
      <alignment vertical="center"/>
    </xf>
    <xf numFmtId="3" fontId="63" fillId="0" borderId="10" xfId="0" applyNumberFormat="1" applyFont="1" applyFill="1" applyBorder="1" applyAlignment="1">
      <alignment vertical="center"/>
    </xf>
    <xf numFmtId="3" fontId="63" fillId="0" borderId="18" xfId="0" applyNumberFormat="1" applyFont="1" applyFill="1" applyBorder="1" applyAlignment="1">
      <alignment vertical="center"/>
    </xf>
    <xf numFmtId="3" fontId="63" fillId="0" borderId="9" xfId="0" applyNumberFormat="1" applyFont="1" applyFill="1" applyBorder="1" applyAlignment="1">
      <alignment vertical="center"/>
    </xf>
    <xf numFmtId="3" fontId="60" fillId="0" borderId="0" xfId="0" applyNumberFormat="1" applyFont="1" applyFill="1" applyBorder="1" applyAlignment="1">
      <alignment vertical="center"/>
    </xf>
    <xf numFmtId="3" fontId="60" fillId="0" borderId="6" xfId="0" applyNumberFormat="1" applyFont="1" applyFill="1" applyBorder="1" applyAlignment="1">
      <alignment vertical="center"/>
    </xf>
    <xf numFmtId="3" fontId="47" fillId="0" borderId="0" xfId="0" applyNumberFormat="1" applyFont="1" applyBorder="1"/>
    <xf numFmtId="0" fontId="52" fillId="0" borderId="4" xfId="0" applyFont="1" applyBorder="1"/>
    <xf numFmtId="0" fontId="64" fillId="0" borderId="0" xfId="34" applyFont="1"/>
    <xf numFmtId="0" fontId="47" fillId="0" borderId="0" xfId="0" applyFont="1" applyAlignment="1">
      <alignment wrapText="1"/>
    </xf>
    <xf numFmtId="0" fontId="0" fillId="0" borderId="0" xfId="0" applyAlignment="1">
      <alignment wrapText="1"/>
    </xf>
    <xf numFmtId="3" fontId="39" fillId="0" borderId="0" xfId="0" applyNumberFormat="1" applyFont="1" applyBorder="1" applyAlignment="1">
      <alignment wrapText="1"/>
    </xf>
    <xf numFmtId="0" fontId="37" fillId="0" borderId="0" xfId="0" applyFont="1" applyAlignment="1">
      <alignment wrapText="1"/>
    </xf>
    <xf numFmtId="0" fontId="65" fillId="15" borderId="11" xfId="0" applyFont="1" applyFill="1" applyBorder="1" applyAlignment="1">
      <alignment horizontal="centerContinuous" vertical="center"/>
    </xf>
    <xf numFmtId="3" fontId="61" fillId="15" borderId="4" xfId="0" applyNumberFormat="1" applyFont="1" applyFill="1" applyBorder="1" applyAlignment="1">
      <alignment horizontal="centerContinuous" vertical="center"/>
    </xf>
    <xf numFmtId="3" fontId="61" fillId="15" borderId="4" xfId="0" applyNumberFormat="1" applyFont="1" applyFill="1" applyBorder="1" applyAlignment="1">
      <alignment horizontal="centerContinuous"/>
    </xf>
    <xf numFmtId="3" fontId="61" fillId="15" borderId="12" xfId="0" applyNumberFormat="1" applyFont="1" applyFill="1" applyBorder="1" applyAlignment="1">
      <alignment horizontal="centerContinuous" vertical="center"/>
    </xf>
    <xf numFmtId="3" fontId="62" fillId="15" borderId="0" xfId="0" applyNumberFormat="1" applyFont="1" applyFill="1" applyBorder="1" applyAlignment="1">
      <alignment horizontal="centerContinuous" vertical="center"/>
    </xf>
    <xf numFmtId="0" fontId="41" fillId="16" borderId="0" xfId="0" applyFont="1" applyFill="1" applyBorder="1"/>
    <xf numFmtId="3" fontId="66" fillId="16" borderId="0" xfId="0" applyNumberFormat="1" applyFont="1" applyFill="1" applyBorder="1" applyAlignment="1">
      <alignment horizontal="center" vertical="center"/>
    </xf>
    <xf numFmtId="0" fontId="67" fillId="16" borderId="0" xfId="0" applyFont="1" applyFill="1" applyBorder="1" applyAlignment="1">
      <alignment horizontal="center" vertical="center"/>
    </xf>
    <xf numFmtId="3" fontId="67" fillId="16" borderId="0" xfId="0" applyNumberFormat="1" applyFont="1" applyFill="1" applyBorder="1" applyAlignment="1">
      <alignment horizontal="center" vertical="center"/>
    </xf>
    <xf numFmtId="3" fontId="67" fillId="16" borderId="0" xfId="0" applyNumberFormat="1" applyFont="1" applyFill="1" applyBorder="1" applyAlignment="1">
      <alignment horizontal="center"/>
    </xf>
    <xf numFmtId="3" fontId="67" fillId="16" borderId="0" xfId="0" applyNumberFormat="1" applyFont="1" applyFill="1" applyBorder="1" applyAlignment="1">
      <alignment horizontal="center" vertical="justify"/>
    </xf>
    <xf numFmtId="0" fontId="66" fillId="16" borderId="0" xfId="0" applyFont="1" applyFill="1" applyBorder="1" applyAlignment="1">
      <alignment horizontal="center" vertical="justify"/>
    </xf>
    <xf numFmtId="0" fontId="68" fillId="16" borderId="0" xfId="0" applyFont="1" applyFill="1" applyBorder="1"/>
    <xf numFmtId="3" fontId="67" fillId="16" borderId="0" xfId="0" applyNumberFormat="1" applyFont="1" applyFill="1" applyBorder="1" applyAlignment="1">
      <alignment horizontal="right"/>
    </xf>
    <xf numFmtId="3" fontId="69" fillId="16" borderId="13" xfId="0" applyNumberFormat="1" applyFont="1" applyFill="1" applyBorder="1"/>
    <xf numFmtId="0" fontId="67" fillId="16" borderId="0" xfId="0" applyFont="1" applyFill="1" applyBorder="1" applyAlignment="1">
      <alignment horizontal="center"/>
    </xf>
    <xf numFmtId="3" fontId="66" fillId="16" borderId="0" xfId="0" applyNumberFormat="1" applyFont="1" applyFill="1" applyBorder="1" applyAlignment="1">
      <alignment horizontal="center"/>
    </xf>
    <xf numFmtId="3" fontId="67" fillId="16" borderId="13" xfId="0" applyNumberFormat="1" applyFont="1" applyFill="1" applyBorder="1" applyAlignment="1">
      <alignment horizontal="right"/>
    </xf>
    <xf numFmtId="3" fontId="67" fillId="16" borderId="13" xfId="0" applyNumberFormat="1" applyFont="1" applyFill="1" applyBorder="1" applyAlignment="1">
      <alignment horizontal="center"/>
    </xf>
    <xf numFmtId="0" fontId="70" fillId="16" borderId="0" xfId="0" applyFont="1" applyFill="1" applyBorder="1" applyAlignment="1">
      <alignment horizontal="center"/>
    </xf>
    <xf numFmtId="3" fontId="67" fillId="16" borderId="0" xfId="0" applyNumberFormat="1" applyFont="1" applyFill="1" applyBorder="1" applyAlignment="1">
      <alignment horizontal="left"/>
    </xf>
    <xf numFmtId="0" fontId="71" fillId="0" borderId="0" xfId="0" applyFont="1"/>
    <xf numFmtId="14" fontId="64" fillId="0" borderId="0" xfId="34" applyNumberFormat="1" applyFont="1"/>
    <xf numFmtId="0" fontId="56" fillId="0" borderId="0" xfId="38" applyFont="1" applyFill="1"/>
    <xf numFmtId="0" fontId="57" fillId="0" borderId="0" xfId="0" applyFont="1"/>
    <xf numFmtId="14" fontId="57" fillId="0" borderId="0" xfId="0" applyNumberFormat="1" applyFont="1"/>
    <xf numFmtId="0" fontId="72" fillId="0" borderId="0" xfId="37" applyFont="1" applyFill="1"/>
    <xf numFmtId="1" fontId="32" fillId="0" borderId="0" xfId="0" applyNumberFormat="1" applyFont="1"/>
    <xf numFmtId="0" fontId="73" fillId="0" borderId="0" xfId="0" applyFont="1"/>
    <xf numFmtId="0" fontId="74" fillId="0" borderId="0" xfId="0" applyFont="1"/>
    <xf numFmtId="0" fontId="30" fillId="0" borderId="0" xfId="0" applyFont="1"/>
    <xf numFmtId="0" fontId="30" fillId="0" borderId="10" xfId="0" applyFont="1" applyBorder="1"/>
    <xf numFmtId="3" fontId="30" fillId="0" borderId="0" xfId="0" applyNumberFormat="1" applyFont="1"/>
    <xf numFmtId="3" fontId="30" fillId="0" borderId="10" xfId="0" applyNumberFormat="1" applyFont="1" applyBorder="1"/>
    <xf numFmtId="3" fontId="30" fillId="0" borderId="0" xfId="0" applyNumberFormat="1" applyFont="1" applyBorder="1"/>
    <xf numFmtId="0" fontId="30" fillId="0" borderId="0" xfId="0" applyFont="1" applyBorder="1"/>
    <xf numFmtId="0" fontId="31" fillId="17" borderId="0" xfId="0" applyFont="1" applyFill="1" applyAlignment="1">
      <alignment wrapText="1"/>
    </xf>
    <xf numFmtId="0" fontId="47" fillId="17" borderId="0" xfId="37" applyFont="1" applyFill="1" applyAlignment="1">
      <alignment wrapText="1"/>
    </xf>
    <xf numFmtId="3" fontId="47" fillId="17" borderId="0" xfId="0" applyNumberFormat="1" applyFont="1" applyFill="1"/>
    <xf numFmtId="49" fontId="47" fillId="17" borderId="0" xfId="37" applyNumberFormat="1" applyFont="1" applyFill="1" applyAlignment="1">
      <alignment wrapText="1"/>
    </xf>
    <xf numFmtId="3" fontId="47" fillId="12" borderId="0" xfId="0" applyNumberFormat="1" applyFont="1" applyFill="1"/>
    <xf numFmtId="0" fontId="47" fillId="0" borderId="4" xfId="0" applyFont="1" applyFill="1" applyBorder="1"/>
    <xf numFmtId="3" fontId="31" fillId="0" borderId="0" xfId="0" applyNumberFormat="1" applyFont="1" applyFill="1"/>
    <xf numFmtId="3" fontId="31" fillId="0" borderId="10" xfId="0" applyNumberFormat="1" applyFont="1" applyFill="1" applyBorder="1"/>
    <xf numFmtId="3" fontId="47" fillId="0" borderId="0" xfId="0" applyNumberFormat="1" applyFont="1" applyFill="1"/>
    <xf numFmtId="0" fontId="75" fillId="0" borderId="0" xfId="0" applyFont="1"/>
    <xf numFmtId="0" fontId="47" fillId="17" borderId="10" xfId="37" applyFont="1" applyFill="1" applyBorder="1" applyAlignment="1">
      <alignment wrapText="1"/>
    </xf>
    <xf numFmtId="3" fontId="39" fillId="0" borderId="0" xfId="0" applyNumberFormat="1" applyFont="1" applyFill="1"/>
    <xf numFmtId="3" fontId="73" fillId="0" borderId="0" xfId="0" applyNumberFormat="1" applyFont="1"/>
    <xf numFmtId="3" fontId="73" fillId="0" borderId="10" xfId="0" applyNumberFormat="1" applyFont="1" applyBorder="1"/>
    <xf numFmtId="0" fontId="76" fillId="0" borderId="0" xfId="0" applyFont="1" applyFill="1" applyProtection="1"/>
    <xf numFmtId="0" fontId="76" fillId="0" borderId="10" xfId="0" applyFont="1" applyFill="1" applyBorder="1" applyProtection="1"/>
    <xf numFmtId="3" fontId="77" fillId="0" borderId="0" xfId="0" applyNumberFormat="1" applyFont="1" applyFill="1" applyProtection="1"/>
    <xf numFmtId="3" fontId="76" fillId="0" borderId="0" xfId="0" applyNumberFormat="1" applyFont="1" applyFill="1" applyProtection="1"/>
    <xf numFmtId="16" fontId="78" fillId="0" borderId="10" xfId="2" applyNumberFormat="1" applyFont="1" applyFill="1" applyBorder="1"/>
    <xf numFmtId="0" fontId="78" fillId="0" borderId="10" xfId="2" applyFont="1" applyFill="1" applyBorder="1"/>
    <xf numFmtId="3" fontId="79" fillId="8" borderId="14" xfId="33" applyNumberFormat="1" applyFont="1"/>
    <xf numFmtId="3" fontId="80" fillId="8" borderId="14" xfId="33" applyNumberFormat="1" applyFont="1"/>
    <xf numFmtId="0" fontId="77" fillId="0" borderId="10" xfId="0" applyFont="1" applyFill="1" applyBorder="1"/>
    <xf numFmtId="0" fontId="77" fillId="0" borderId="0" xfId="0" applyFont="1" applyFill="1" applyBorder="1"/>
    <xf numFmtId="3" fontId="73" fillId="0" borderId="0" xfId="0" applyNumberFormat="1" applyFont="1" applyFill="1"/>
    <xf numFmtId="3" fontId="73" fillId="0" borderId="0" xfId="0" applyNumberFormat="1" applyFont="1" applyFill="1" applyBorder="1"/>
    <xf numFmtId="0" fontId="73" fillId="0" borderId="0" xfId="0" applyFont="1" applyFill="1"/>
    <xf numFmtId="0" fontId="77" fillId="0" borderId="10" xfId="0" applyFont="1" applyBorder="1"/>
    <xf numFmtId="0" fontId="73" fillId="0" borderId="10" xfId="0" applyFont="1" applyBorder="1"/>
    <xf numFmtId="0" fontId="78" fillId="0" borderId="4" xfId="2" applyFont="1" applyFill="1" applyBorder="1"/>
    <xf numFmtId="0" fontId="77" fillId="0" borderId="4" xfId="0" applyFont="1" applyBorder="1"/>
    <xf numFmtId="10" fontId="73" fillId="6" borderId="0" xfId="1" applyNumberFormat="1" applyFont="1" applyFill="1" applyBorder="1"/>
    <xf numFmtId="10" fontId="73" fillId="0" borderId="0" xfId="1" applyNumberFormat="1" applyFont="1" applyBorder="1"/>
    <xf numFmtId="0" fontId="77" fillId="6" borderId="7" xfId="0" applyFont="1" applyFill="1" applyBorder="1"/>
    <xf numFmtId="0" fontId="73" fillId="0" borderId="0" xfId="0" applyFont="1" applyFill="1" applyBorder="1"/>
    <xf numFmtId="0" fontId="77" fillId="0" borderId="0" xfId="0" applyFont="1"/>
    <xf numFmtId="0" fontId="73" fillId="0" borderId="4" xfId="0" applyFont="1" applyBorder="1"/>
    <xf numFmtId="0" fontId="78" fillId="13" borderId="4" xfId="0" applyFont="1" applyFill="1" applyBorder="1"/>
    <xf numFmtId="3" fontId="73" fillId="13" borderId="0" xfId="0" applyNumberFormat="1" applyFont="1" applyFill="1"/>
    <xf numFmtId="3" fontId="73" fillId="13" borderId="10" xfId="0" applyNumberFormat="1" applyFont="1" applyFill="1" applyBorder="1"/>
    <xf numFmtId="0" fontId="77" fillId="0" borderId="4" xfId="0" applyFont="1" applyBorder="1" applyAlignment="1">
      <alignment wrapText="1"/>
    </xf>
    <xf numFmtId="0" fontId="77" fillId="17" borderId="4" xfId="0" applyFont="1" applyFill="1" applyBorder="1"/>
    <xf numFmtId="4" fontId="73" fillId="0" borderId="0" xfId="0" applyNumberFormat="1" applyFont="1"/>
    <xf numFmtId="4" fontId="73" fillId="17" borderId="0" xfId="0" applyNumberFormat="1" applyFont="1" applyFill="1"/>
    <xf numFmtId="4" fontId="73" fillId="0" borderId="10" xfId="0" applyNumberFormat="1" applyFont="1" applyBorder="1"/>
    <xf numFmtId="4" fontId="73" fillId="17" borderId="10" xfId="0" applyNumberFormat="1" applyFont="1" applyFill="1" applyBorder="1"/>
    <xf numFmtId="4" fontId="77" fillId="0" borderId="0" xfId="0" applyNumberFormat="1" applyFont="1"/>
    <xf numFmtId="4" fontId="77" fillId="17" borderId="0" xfId="0" applyNumberFormat="1" applyFont="1" applyFill="1"/>
    <xf numFmtId="0" fontId="82" fillId="14" borderId="0" xfId="0" applyFont="1" applyFill="1"/>
    <xf numFmtId="0" fontId="73" fillId="14" borderId="0" xfId="0" applyFont="1" applyFill="1"/>
    <xf numFmtId="0" fontId="77" fillId="14" borderId="0" xfId="0" applyFont="1" applyFill="1"/>
    <xf numFmtId="3" fontId="73" fillId="14" borderId="0" xfId="0" applyNumberFormat="1" applyFont="1" applyFill="1"/>
    <xf numFmtId="0" fontId="77" fillId="14" borderId="10" xfId="0" applyFont="1" applyFill="1" applyBorder="1"/>
    <xf numFmtId="0" fontId="73" fillId="14" borderId="10" xfId="0" applyFont="1" applyFill="1" applyBorder="1"/>
    <xf numFmtId="0" fontId="77" fillId="14" borderId="4" xfId="0" applyFont="1" applyFill="1" applyBorder="1" applyAlignment="1">
      <alignment wrapText="1"/>
    </xf>
    <xf numFmtId="0" fontId="77" fillId="14" borderId="4" xfId="0" applyFont="1" applyFill="1" applyBorder="1"/>
    <xf numFmtId="10" fontId="73" fillId="14" borderId="0" xfId="1" applyNumberFormat="1" applyFont="1" applyFill="1"/>
    <xf numFmtId="4" fontId="73" fillId="14" borderId="0" xfId="0" applyNumberFormat="1" applyFont="1" applyFill="1"/>
    <xf numFmtId="3" fontId="73" fillId="14" borderId="10" xfId="0" applyNumberFormat="1" applyFont="1" applyFill="1" applyBorder="1"/>
    <xf numFmtId="10" fontId="73" fillId="14" borderId="10" xfId="1" applyNumberFormat="1" applyFont="1" applyFill="1" applyBorder="1"/>
    <xf numFmtId="4" fontId="73" fillId="14" borderId="10" xfId="0" applyNumberFormat="1" applyFont="1" applyFill="1" applyBorder="1"/>
    <xf numFmtId="4" fontId="77" fillId="14" borderId="0" xfId="0" applyNumberFormat="1" applyFont="1" applyFill="1"/>
    <xf numFmtId="0" fontId="77" fillId="14" borderId="10" xfId="0" applyFont="1" applyFill="1" applyBorder="1" applyAlignment="1">
      <alignment wrapText="1"/>
    </xf>
    <xf numFmtId="0" fontId="78" fillId="0" borderId="10" xfId="4" applyFont="1" applyFill="1" applyBorder="1"/>
    <xf numFmtId="0" fontId="78" fillId="0" borderId="0" xfId="4" applyFont="1" applyFill="1" applyBorder="1"/>
    <xf numFmtId="0" fontId="39" fillId="0" borderId="0" xfId="3" applyFont="1" applyFill="1" applyBorder="1"/>
    <xf numFmtId="0" fontId="78" fillId="0" borderId="0" xfId="3" applyFont="1" applyFill="1" applyBorder="1"/>
    <xf numFmtId="4" fontId="39" fillId="0" borderId="0" xfId="3" applyNumberFormat="1" applyFont="1" applyFill="1" applyBorder="1"/>
    <xf numFmtId="0" fontId="78" fillId="0" borderId="10" xfId="3" applyFont="1" applyFill="1" applyBorder="1"/>
    <xf numFmtId="9" fontId="39" fillId="0" borderId="0" xfId="1" applyFont="1" applyFill="1" applyBorder="1"/>
    <xf numFmtId="0" fontId="73" fillId="12" borderId="0" xfId="0" applyFont="1" applyFill="1"/>
    <xf numFmtId="0" fontId="73" fillId="11" borderId="0" xfId="0" applyFont="1" applyFill="1"/>
    <xf numFmtId="0" fontId="77" fillId="0" borderId="0" xfId="0" applyFont="1" applyBorder="1"/>
    <xf numFmtId="15" fontId="77" fillId="0" borderId="4" xfId="0" applyNumberFormat="1" applyFont="1" applyBorder="1"/>
    <xf numFmtId="49" fontId="77" fillId="0" borderId="4" xfId="0" applyNumberFormat="1" applyFont="1" applyBorder="1" applyAlignment="1">
      <alignment horizontal="center"/>
    </xf>
    <xf numFmtId="0" fontId="77" fillId="0" borderId="0" xfId="37" applyFont="1" applyFill="1"/>
    <xf numFmtId="0" fontId="77" fillId="11" borderId="0" xfId="37" applyFont="1" applyFill="1"/>
    <xf numFmtId="3" fontId="73" fillId="11" borderId="0" xfId="37" applyNumberFormat="1" applyFont="1" applyFill="1"/>
    <xf numFmtId="3" fontId="73" fillId="0" borderId="0" xfId="37" applyNumberFormat="1" applyFont="1" applyFill="1"/>
    <xf numFmtId="0" fontId="77" fillId="12" borderId="0" xfId="37" applyFont="1" applyFill="1"/>
    <xf numFmtId="3" fontId="73" fillId="12" borderId="0" xfId="37" applyNumberFormat="1" applyFont="1" applyFill="1"/>
    <xf numFmtId="0" fontId="77" fillId="0" borderId="10" xfId="37" applyFont="1" applyFill="1" applyBorder="1"/>
    <xf numFmtId="3" fontId="73" fillId="0" borderId="10" xfId="37" applyNumberFormat="1" applyFont="1" applyFill="1" applyBorder="1"/>
    <xf numFmtId="3" fontId="77" fillId="0" borderId="0" xfId="37" applyNumberFormat="1" applyFont="1" applyFill="1"/>
    <xf numFmtId="0" fontId="73" fillId="0" borderId="7" xfId="0" applyFont="1" applyBorder="1"/>
    <xf numFmtId="3" fontId="77" fillId="6" borderId="7" xfId="0" applyNumberFormat="1" applyFont="1" applyFill="1" applyBorder="1"/>
    <xf numFmtId="0" fontId="73" fillId="6" borderId="7" xfId="0" applyFont="1" applyFill="1" applyBorder="1"/>
    <xf numFmtId="0" fontId="78" fillId="0" borderId="7" xfId="4" applyFont="1" applyFill="1" applyBorder="1"/>
    <xf numFmtId="0" fontId="78" fillId="0" borderId="7" xfId="4" applyFont="1" applyFill="1" applyBorder="1" applyAlignment="1">
      <alignment horizontal="left"/>
    </xf>
    <xf numFmtId="0" fontId="73" fillId="6" borderId="8" xfId="0" applyFont="1" applyFill="1" applyBorder="1"/>
    <xf numFmtId="0" fontId="77" fillId="6" borderId="0" xfId="0" applyFont="1" applyFill="1"/>
    <xf numFmtId="0" fontId="73" fillId="6" borderId="0" xfId="0" applyFont="1" applyFill="1"/>
    <xf numFmtId="3" fontId="73" fillId="6" borderId="0" xfId="0" applyNumberFormat="1" applyFont="1" applyFill="1"/>
    <xf numFmtId="0" fontId="77" fillId="11" borderId="8" xfId="0" applyFont="1" applyFill="1" applyBorder="1"/>
    <xf numFmtId="1" fontId="73" fillId="6" borderId="0" xfId="0" applyNumberFormat="1" applyFont="1" applyFill="1"/>
    <xf numFmtId="0" fontId="73" fillId="7" borderId="17" xfId="0" applyFont="1" applyFill="1" applyBorder="1"/>
    <xf numFmtId="3" fontId="77" fillId="7" borderId="7" xfId="0" applyNumberFormat="1" applyFont="1" applyFill="1" applyBorder="1"/>
    <xf numFmtId="0" fontId="77" fillId="7" borderId="7" xfId="0" applyFont="1" applyFill="1" applyBorder="1"/>
    <xf numFmtId="0" fontId="73" fillId="7" borderId="7" xfId="0" applyFont="1" applyFill="1" applyBorder="1"/>
    <xf numFmtId="3" fontId="73" fillId="7" borderId="7" xfId="0" applyNumberFormat="1" applyFont="1" applyFill="1" applyBorder="1"/>
    <xf numFmtId="3" fontId="77" fillId="6" borderId="0" xfId="0" applyNumberFormat="1" applyFont="1" applyFill="1"/>
    <xf numFmtId="0" fontId="77" fillId="7" borderId="0" xfId="0" applyFont="1" applyFill="1"/>
    <xf numFmtId="0" fontId="73" fillId="7" borderId="0" xfId="0" applyFont="1" applyFill="1"/>
    <xf numFmtId="0" fontId="77" fillId="0" borderId="0" xfId="0" applyFont="1" applyFill="1"/>
    <xf numFmtId="0" fontId="77" fillId="14" borderId="0" xfId="0" applyFont="1" applyFill="1" applyAlignment="1"/>
    <xf numFmtId="0" fontId="39" fillId="0" borderId="0" xfId="4" applyFont="1" applyFill="1" applyBorder="1"/>
    <xf numFmtId="167" fontId="39" fillId="0" borderId="0" xfId="4" applyNumberFormat="1" applyFont="1" applyFill="1" applyBorder="1"/>
    <xf numFmtId="3" fontId="39" fillId="14" borderId="0" xfId="0" applyNumberFormat="1" applyFont="1" applyFill="1"/>
    <xf numFmtId="167" fontId="73" fillId="0" borderId="0" xfId="0" applyNumberFormat="1" applyFont="1"/>
    <xf numFmtId="0" fontId="78" fillId="0" borderId="0" xfId="2" applyFont="1" applyFill="1" applyBorder="1"/>
    <xf numFmtId="0" fontId="73" fillId="0" borderId="0" xfId="0" applyFont="1" applyBorder="1"/>
    <xf numFmtId="0" fontId="39" fillId="0" borderId="0" xfId="2" applyFont="1" applyFill="1" applyBorder="1"/>
    <xf numFmtId="4" fontId="39" fillId="0" borderId="0" xfId="0" applyNumberFormat="1" applyFont="1" applyFill="1"/>
    <xf numFmtId="9" fontId="73" fillId="0" borderId="0" xfId="0" applyNumberFormat="1" applyFont="1"/>
    <xf numFmtId="168" fontId="73" fillId="0" borderId="0" xfId="1" applyNumberFormat="1" applyFont="1"/>
    <xf numFmtId="0" fontId="39" fillId="12" borderId="0" xfId="0" applyFont="1" applyFill="1"/>
    <xf numFmtId="168" fontId="39" fillId="12" borderId="0" xfId="1" applyNumberFormat="1" applyFont="1" applyFill="1"/>
    <xf numFmtId="0" fontId="39" fillId="11" borderId="0" xfId="0" applyFont="1" applyFill="1"/>
    <xf numFmtId="168" fontId="39" fillId="11" borderId="0" xfId="1" applyNumberFormat="1" applyFont="1" applyFill="1"/>
    <xf numFmtId="15" fontId="77" fillId="0" borderId="10" xfId="0" applyNumberFormat="1" applyFont="1" applyBorder="1"/>
    <xf numFmtId="0" fontId="77" fillId="0" borderId="10" xfId="0" applyFont="1" applyBorder="1" applyAlignment="1">
      <alignment horizontal="center"/>
    </xf>
    <xf numFmtId="0" fontId="78" fillId="11" borderId="0" xfId="0" applyFont="1" applyFill="1"/>
    <xf numFmtId="3" fontId="39" fillId="11" borderId="0" xfId="0" applyNumberFormat="1" applyFont="1" applyFill="1"/>
    <xf numFmtId="0" fontId="78" fillId="12" borderId="0" xfId="0" applyFont="1" applyFill="1"/>
    <xf numFmtId="3" fontId="39" fillId="12" borderId="0" xfId="0" applyNumberFormat="1" applyFont="1" applyFill="1"/>
    <xf numFmtId="0" fontId="78" fillId="0" borderId="0" xfId="0" applyFont="1" applyFill="1"/>
    <xf numFmtId="0" fontId="77" fillId="0" borderId="7" xfId="0" applyFont="1" applyBorder="1"/>
    <xf numFmtId="3" fontId="73" fillId="0" borderId="7" xfId="32" applyNumberFormat="1" applyFont="1" applyBorder="1"/>
    <xf numFmtId="3" fontId="79" fillId="8" borderId="14" xfId="32" applyNumberFormat="1" applyFont="1" applyFill="1" applyBorder="1"/>
    <xf numFmtId="0" fontId="77" fillId="0" borderId="0" xfId="0" applyFont="1" applyBorder="1" applyAlignment="1">
      <alignment horizontal="right"/>
    </xf>
    <xf numFmtId="0" fontId="77" fillId="17" borderId="10" xfId="0" applyFont="1" applyFill="1" applyBorder="1"/>
    <xf numFmtId="0" fontId="77" fillId="9" borderId="0" xfId="36" applyFont="1"/>
    <xf numFmtId="3" fontId="73" fillId="9" borderId="0" xfId="36" applyNumberFormat="1" applyFont="1" applyBorder="1"/>
    <xf numFmtId="3" fontId="73" fillId="0" borderId="0" xfId="37" applyNumberFormat="1" applyFont="1" applyFill="1" applyBorder="1"/>
    <xf numFmtId="0" fontId="77" fillId="10" borderId="0" xfId="37" applyFont="1"/>
    <xf numFmtId="3" fontId="73" fillId="10" borderId="0" xfId="37" applyNumberFormat="1" applyFont="1" applyBorder="1"/>
    <xf numFmtId="3" fontId="77" fillId="10" borderId="0" xfId="37" applyNumberFormat="1" applyFont="1" applyBorder="1"/>
    <xf numFmtId="0" fontId="77" fillId="0" borderId="7" xfId="37" applyFont="1" applyFill="1" applyBorder="1"/>
    <xf numFmtId="3" fontId="73" fillId="0" borderId="7" xfId="0" applyNumberFormat="1" applyFont="1" applyBorder="1"/>
    <xf numFmtId="0" fontId="77" fillId="20" borderId="10" xfId="0" applyFont="1" applyFill="1" applyBorder="1"/>
    <xf numFmtId="3" fontId="73" fillId="0" borderId="0" xfId="36" applyNumberFormat="1" applyFont="1" applyFill="1" applyBorder="1"/>
    <xf numFmtId="3" fontId="73" fillId="12" borderId="0" xfId="36" applyNumberFormat="1" applyFont="1" applyFill="1" applyBorder="1"/>
    <xf numFmtId="3" fontId="77" fillId="20" borderId="16" xfId="35" applyNumberFormat="1" applyFont="1" applyFill="1" applyBorder="1"/>
    <xf numFmtId="0" fontId="85" fillId="0" borderId="0" xfId="0" applyFont="1"/>
    <xf numFmtId="0" fontId="85" fillId="0" borderId="10" xfId="0" applyFont="1" applyBorder="1"/>
    <xf numFmtId="4" fontId="73" fillId="0" borderId="0" xfId="37" applyNumberFormat="1" applyFont="1" applyFill="1"/>
    <xf numFmtId="0" fontId="85" fillId="0" borderId="0" xfId="0" applyFont="1" applyBorder="1"/>
    <xf numFmtId="168" fontId="73" fillId="0" borderId="0" xfId="1" applyNumberFormat="1" applyFont="1" applyFill="1"/>
    <xf numFmtId="0" fontId="85" fillId="0" borderId="0" xfId="0" applyFont="1" applyFill="1"/>
    <xf numFmtId="49" fontId="77" fillId="0" borderId="10" xfId="0" applyNumberFormat="1" applyFont="1" applyBorder="1" applyAlignment="1">
      <alignment horizontal="center"/>
    </xf>
    <xf numFmtId="49" fontId="77" fillId="13" borderId="10" xfId="0" applyNumberFormat="1" applyFont="1" applyFill="1" applyBorder="1" applyAlignment="1">
      <alignment horizontal="center"/>
    </xf>
    <xf numFmtId="10" fontId="73" fillId="0" borderId="0" xfId="1" applyNumberFormat="1" applyFont="1" applyFill="1"/>
    <xf numFmtId="10" fontId="73" fillId="0" borderId="10" xfId="1" applyNumberFormat="1" applyFont="1" applyFill="1" applyBorder="1"/>
    <xf numFmtId="9" fontId="77" fillId="0" borderId="0" xfId="1" applyFont="1" applyFill="1"/>
    <xf numFmtId="3" fontId="77" fillId="13" borderId="0" xfId="0" applyNumberFormat="1" applyFont="1" applyFill="1"/>
    <xf numFmtId="0" fontId="85" fillId="0" borderId="0" xfId="0" applyFont="1" applyFill="1" applyBorder="1"/>
    <xf numFmtId="0" fontId="77" fillId="0" borderId="0" xfId="37" applyFont="1" applyFill="1" applyBorder="1"/>
    <xf numFmtId="0" fontId="77" fillId="0" borderId="10" xfId="37" applyFont="1" applyFill="1" applyBorder="1" applyAlignment="1">
      <alignment wrapText="1"/>
    </xf>
    <xf numFmtId="0" fontId="77" fillId="17" borderId="10" xfId="37" applyFont="1" applyFill="1" applyBorder="1" applyAlignment="1">
      <alignment wrapText="1"/>
    </xf>
    <xf numFmtId="3" fontId="85" fillId="0" borderId="0" xfId="0" applyNumberFormat="1" applyFont="1"/>
    <xf numFmtId="49" fontId="78" fillId="0" borderId="0" xfId="4" applyNumberFormat="1" applyFont="1" applyFill="1" applyBorder="1"/>
    <xf numFmtId="3" fontId="85" fillId="0" borderId="0" xfId="0" applyNumberFormat="1" applyFont="1" applyBorder="1"/>
    <xf numFmtId="3" fontId="78" fillId="0" borderId="0" xfId="4" applyNumberFormat="1" applyFont="1" applyFill="1" applyBorder="1"/>
    <xf numFmtId="167" fontId="85" fillId="0" borderId="0" xfId="0" applyNumberFormat="1" applyFont="1"/>
    <xf numFmtId="0" fontId="64" fillId="0" borderId="0" xfId="34" applyFont="1" applyFill="1" applyBorder="1"/>
    <xf numFmtId="0" fontId="77" fillId="0" borderId="0" xfId="0" applyNumberFormat="1" applyFont="1" applyBorder="1"/>
    <xf numFmtId="0" fontId="78" fillId="0" borderId="7" xfId="0" applyFont="1" applyFill="1" applyBorder="1"/>
    <xf numFmtId="3" fontId="39" fillId="0" borderId="0" xfId="2" applyNumberFormat="1" applyFont="1" applyFill="1" applyBorder="1" applyAlignment="1">
      <alignment horizontal="right"/>
    </xf>
    <xf numFmtId="3" fontId="77" fillId="0" borderId="7" xfId="32" applyNumberFormat="1" applyFont="1" applyBorder="1"/>
    <xf numFmtId="0" fontId="86" fillId="0" borderId="0" xfId="0" applyFont="1"/>
    <xf numFmtId="0" fontId="85" fillId="14" borderId="0" xfId="0" applyFont="1" applyFill="1" applyAlignment="1">
      <alignment wrapText="1"/>
    </xf>
    <xf numFmtId="167" fontId="39" fillId="0" borderId="0" xfId="3" applyNumberFormat="1" applyFont="1" applyFill="1" applyBorder="1"/>
    <xf numFmtId="0" fontId="85" fillId="14" borderId="0" xfId="0" applyFont="1" applyFill="1"/>
    <xf numFmtId="9" fontId="73" fillId="0" borderId="0" xfId="1" applyFont="1"/>
    <xf numFmtId="166" fontId="73" fillId="0" borderId="0" xfId="0" applyNumberFormat="1" applyFont="1" applyFill="1" applyBorder="1" applyAlignment="1"/>
    <xf numFmtId="3" fontId="73" fillId="17" borderId="0" xfId="0" applyNumberFormat="1" applyFont="1" applyFill="1"/>
    <xf numFmtId="166" fontId="73" fillId="0" borderId="10" xfId="0" applyNumberFormat="1" applyFont="1" applyFill="1" applyBorder="1" applyAlignment="1"/>
    <xf numFmtId="3" fontId="73" fillId="17" borderId="10" xfId="0" applyNumberFormat="1" applyFont="1" applyFill="1" applyBorder="1"/>
    <xf numFmtId="166" fontId="77" fillId="0" borderId="0" xfId="0" applyNumberFormat="1" applyFont="1"/>
    <xf numFmtId="3" fontId="77" fillId="0" borderId="0" xfId="0" applyNumberFormat="1" applyFont="1"/>
    <xf numFmtId="3" fontId="77" fillId="17" borderId="0" xfId="0" applyNumberFormat="1" applyFont="1" applyFill="1"/>
    <xf numFmtId="3" fontId="30" fillId="17" borderId="0" xfId="0" applyNumberFormat="1" applyFont="1" applyFill="1"/>
    <xf numFmtId="0" fontId="82" fillId="0" borderId="0" xfId="0" applyFont="1" applyFill="1" applyBorder="1"/>
    <xf numFmtId="3" fontId="78" fillId="0" borderId="0" xfId="0" applyNumberFormat="1" applyFont="1" applyFill="1"/>
    <xf numFmtId="0" fontId="39" fillId="0" borderId="0" xfId="0" applyFont="1" applyFill="1"/>
    <xf numFmtId="3" fontId="77" fillId="0" borderId="7" xfId="0" applyNumberFormat="1" applyFont="1" applyBorder="1"/>
    <xf numFmtId="0" fontId="82" fillId="0" borderId="0" xfId="0" applyFont="1"/>
    <xf numFmtId="0" fontId="77" fillId="17" borderId="10" xfId="0" applyFont="1" applyFill="1" applyBorder="1" applyAlignment="1">
      <alignment wrapText="1"/>
    </xf>
    <xf numFmtId="0" fontId="30" fillId="0" borderId="8" xfId="0" applyFont="1" applyBorder="1"/>
    <xf numFmtId="3" fontId="73" fillId="0" borderId="8" xfId="0" applyNumberFormat="1" applyFont="1" applyBorder="1"/>
    <xf numFmtId="10" fontId="30" fillId="0" borderId="19" xfId="1" applyNumberFormat="1" applyFont="1" applyBorder="1"/>
    <xf numFmtId="10" fontId="47" fillId="0" borderId="19" xfId="1" applyNumberFormat="1" applyFont="1" applyBorder="1"/>
    <xf numFmtId="0" fontId="30" fillId="0" borderId="19" xfId="0" applyFont="1" applyBorder="1"/>
    <xf numFmtId="0" fontId="73" fillId="0" borderId="19" xfId="0" applyFont="1" applyBorder="1"/>
    <xf numFmtId="9" fontId="30" fillId="0" borderId="19" xfId="1" applyFont="1" applyBorder="1"/>
    <xf numFmtId="3" fontId="30" fillId="0" borderId="19" xfId="0" applyNumberFormat="1" applyFont="1" applyBorder="1"/>
    <xf numFmtId="10" fontId="30" fillId="17" borderId="0" xfId="1" applyNumberFormat="1" applyFont="1" applyFill="1" applyBorder="1"/>
    <xf numFmtId="3" fontId="30" fillId="12" borderId="0" xfId="0" applyNumberFormat="1" applyFont="1" applyFill="1"/>
    <xf numFmtId="10" fontId="30" fillId="12" borderId="19" xfId="1" applyNumberFormat="1" applyFont="1" applyFill="1" applyBorder="1"/>
    <xf numFmtId="10" fontId="47" fillId="12" borderId="19" xfId="1" applyNumberFormat="1" applyFont="1" applyFill="1" applyBorder="1"/>
    <xf numFmtId="0" fontId="0" fillId="18" borderId="0" xfId="0" applyFill="1"/>
    <xf numFmtId="0" fontId="30" fillId="17" borderId="10" xfId="0" applyFont="1" applyFill="1" applyBorder="1" applyAlignment="1">
      <alignment wrapText="1"/>
    </xf>
    <xf numFmtId="0" fontId="47" fillId="17" borderId="9" xfId="37" applyFont="1" applyFill="1" applyBorder="1" applyAlignment="1">
      <alignment wrapText="1"/>
    </xf>
    <xf numFmtId="0" fontId="47" fillId="17" borderId="20" xfId="37" applyFont="1" applyFill="1" applyBorder="1" applyAlignment="1">
      <alignment wrapText="1"/>
    </xf>
    <xf numFmtId="10" fontId="47" fillId="17" borderId="0" xfId="1" applyNumberFormat="1" applyFont="1" applyFill="1" applyBorder="1"/>
    <xf numFmtId="0" fontId="87" fillId="0" borderId="4" xfId="0" applyFont="1" applyBorder="1"/>
    <xf numFmtId="10" fontId="88" fillId="0" borderId="0" xfId="1" applyNumberFormat="1" applyFont="1"/>
    <xf numFmtId="0" fontId="0" fillId="0" borderId="0" xfId="0" applyFill="1"/>
    <xf numFmtId="0" fontId="39" fillId="0" borderId="21" xfId="4" applyFont="1" applyFill="1" applyBorder="1"/>
    <xf numFmtId="167" fontId="39" fillId="0" borderId="22" xfId="4" applyNumberFormat="1" applyFont="1" applyFill="1" applyBorder="1"/>
    <xf numFmtId="0" fontId="39" fillId="0" borderId="0" xfId="4" applyFont="1" applyFill="1" applyBorder="1" applyAlignment="1">
      <alignment horizontal="right"/>
    </xf>
    <xf numFmtId="0" fontId="91" fillId="0" borderId="10" xfId="0" applyFont="1" applyBorder="1"/>
    <xf numFmtId="0" fontId="91" fillId="0" borderId="10" xfId="0" applyFont="1" applyBorder="1" applyAlignment="1">
      <alignment horizontal="center"/>
    </xf>
    <xf numFmtId="3" fontId="92" fillId="11" borderId="0" xfId="0" applyNumberFormat="1" applyFont="1" applyFill="1"/>
    <xf numFmtId="3" fontId="92" fillId="0" borderId="0" xfId="0" applyNumberFormat="1" applyFont="1" applyFill="1"/>
    <xf numFmtId="3" fontId="92" fillId="12" borderId="0" xfId="0" applyNumberFormat="1" applyFont="1" applyFill="1"/>
    <xf numFmtId="3" fontId="92" fillId="0" borderId="7" xfId="32" applyNumberFormat="1" applyFont="1" applyBorder="1"/>
    <xf numFmtId="0" fontId="93" fillId="0" borderId="0" xfId="0" applyFont="1"/>
    <xf numFmtId="3" fontId="94" fillId="0" borderId="10" xfId="0" applyNumberFormat="1" applyFont="1" applyBorder="1"/>
    <xf numFmtId="3" fontId="74" fillId="12" borderId="10" xfId="0" applyNumberFormat="1" applyFont="1" applyFill="1" applyBorder="1"/>
    <xf numFmtId="3" fontId="74" fillId="17" borderId="10" xfId="0" applyNumberFormat="1" applyFont="1" applyFill="1" applyBorder="1"/>
    <xf numFmtId="0" fontId="47" fillId="0" borderId="23" xfId="0" applyFont="1" applyFill="1" applyBorder="1" applyAlignment="1">
      <alignment horizontal="center"/>
    </xf>
    <xf numFmtId="0" fontId="47" fillId="0" borderId="24" xfId="37" applyFont="1" applyFill="1" applyBorder="1" applyAlignment="1">
      <alignment wrapText="1"/>
    </xf>
    <xf numFmtId="10" fontId="30" fillId="0" borderId="23" xfId="1" applyNumberFormat="1" applyFont="1" applyFill="1" applyBorder="1"/>
    <xf numFmtId="10" fontId="47" fillId="0" borderId="23" xfId="1" applyNumberFormat="1" applyFont="1" applyFill="1" applyBorder="1"/>
    <xf numFmtId="0" fontId="30" fillId="0" borderId="23" xfId="0" applyFont="1" applyFill="1" applyBorder="1"/>
    <xf numFmtId="0" fontId="73" fillId="0" borderId="23" xfId="0" applyFont="1" applyFill="1" applyBorder="1"/>
    <xf numFmtId="0" fontId="29" fillId="21" borderId="0" xfId="0" applyFont="1" applyFill="1"/>
    <xf numFmtId="0" fontId="77" fillId="22" borderId="0" xfId="0" applyFont="1" applyFill="1"/>
    <xf numFmtId="0" fontId="73" fillId="22" borderId="0" xfId="0" applyFont="1" applyFill="1"/>
    <xf numFmtId="4" fontId="39" fillId="22" borderId="0" xfId="3" applyNumberFormat="1" applyFont="1" applyFill="1" applyBorder="1"/>
    <xf numFmtId="4" fontId="78" fillId="21" borderId="0" xfId="4" applyNumberFormat="1" applyFont="1" applyFill="1" applyBorder="1"/>
    <xf numFmtId="0" fontId="77" fillId="21" borderId="0" xfId="0" applyFont="1" applyFill="1"/>
    <xf numFmtId="167" fontId="73" fillId="22" borderId="0" xfId="0" applyNumberFormat="1" applyFont="1" applyFill="1"/>
    <xf numFmtId="164" fontId="73" fillId="22" borderId="0" xfId="32" applyFont="1" applyFill="1"/>
    <xf numFmtId="0" fontId="73" fillId="22" borderId="0" xfId="0" applyFont="1" applyFill="1" applyBorder="1"/>
    <xf numFmtId="9" fontId="73" fillId="22" borderId="0" xfId="1" applyFont="1" applyFill="1" applyBorder="1"/>
    <xf numFmtId="3" fontId="45" fillId="23" borderId="0" xfId="0" applyNumberFormat="1" applyFont="1" applyFill="1" applyBorder="1"/>
    <xf numFmtId="3" fontId="45" fillId="23" borderId="10" xfId="0" applyNumberFormat="1" applyFont="1" applyFill="1" applyBorder="1"/>
    <xf numFmtId="3" fontId="48" fillId="23" borderId="0" xfId="0" applyNumberFormat="1" applyFont="1" applyFill="1" applyBorder="1"/>
    <xf numFmtId="3" fontId="48" fillId="23" borderId="4" xfId="0" applyNumberFormat="1" applyFont="1" applyFill="1" applyBorder="1"/>
    <xf numFmtId="0" fontId="47" fillId="21" borderId="0" xfId="0" applyFont="1" applyFill="1"/>
    <xf numFmtId="0" fontId="31" fillId="0" borderId="0" xfId="54"/>
    <xf numFmtId="3" fontId="45" fillId="0" borderId="0" xfId="0" applyNumberFormat="1" applyFont="1" applyFill="1" applyBorder="1"/>
    <xf numFmtId="10" fontId="73" fillId="0" borderId="19" xfId="1" applyNumberFormat="1" applyFont="1" applyBorder="1"/>
    <xf numFmtId="10" fontId="74" fillId="17" borderId="10" xfId="1" applyNumberFormat="1" applyFont="1" applyFill="1" applyBorder="1"/>
    <xf numFmtId="9" fontId="74" fillId="0" borderId="20" xfId="1" applyFont="1" applyBorder="1"/>
    <xf numFmtId="10" fontId="74" fillId="12" borderId="20" xfId="1" applyNumberFormat="1" applyFont="1" applyFill="1" applyBorder="1"/>
    <xf numFmtId="10" fontId="74" fillId="0" borderId="20" xfId="1" applyNumberFormat="1" applyFont="1" applyBorder="1"/>
    <xf numFmtId="3" fontId="74" fillId="0" borderId="10" xfId="0" applyNumberFormat="1" applyFont="1" applyBorder="1"/>
    <xf numFmtId="10" fontId="74" fillId="0" borderId="24" xfId="1" applyNumberFormat="1" applyFont="1" applyFill="1" applyBorder="1"/>
    <xf numFmtId="0" fontId="33" fillId="0" borderId="0" xfId="22"/>
    <xf numFmtId="0" fontId="58" fillId="0" borderId="0" xfId="0" applyFont="1"/>
    <xf numFmtId="0" fontId="73" fillId="7" borderId="0" xfId="0" applyFont="1" applyFill="1" applyBorder="1"/>
    <xf numFmtId="0" fontId="77" fillId="7" borderId="0" xfId="0" applyFont="1" applyFill="1" applyBorder="1"/>
    <xf numFmtId="4" fontId="77" fillId="7" borderId="0" xfId="0" applyNumberFormat="1" applyFont="1" applyFill="1"/>
    <xf numFmtId="4" fontId="73" fillId="17" borderId="0" xfId="36" applyNumberFormat="1" applyFont="1" applyFill="1" applyBorder="1"/>
    <xf numFmtId="4" fontId="77" fillId="17" borderId="16" xfId="35" applyNumberFormat="1" applyFont="1" applyFill="1" applyBorder="1"/>
    <xf numFmtId="4" fontId="73" fillId="20" borderId="0" xfId="36" applyNumberFormat="1" applyFont="1" applyFill="1" applyBorder="1"/>
    <xf numFmtId="4" fontId="73" fillId="17" borderId="0" xfId="37" applyNumberFormat="1" applyFont="1" applyFill="1"/>
    <xf numFmtId="4" fontId="77" fillId="17" borderId="0" xfId="37" applyNumberFormat="1" applyFont="1" applyFill="1"/>
    <xf numFmtId="4" fontId="73" fillId="17" borderId="10" xfId="37" applyNumberFormat="1" applyFont="1" applyFill="1" applyBorder="1"/>
    <xf numFmtId="4" fontId="39" fillId="0" borderId="0" xfId="2" applyNumberFormat="1" applyFont="1" applyFill="1" applyBorder="1" applyAlignment="1">
      <alignment horizontal="right"/>
    </xf>
    <xf numFmtId="4" fontId="78" fillId="0" borderId="7" xfId="2" applyNumberFormat="1" applyFont="1" applyFill="1" applyBorder="1" applyAlignment="1">
      <alignment horizontal="right"/>
    </xf>
    <xf numFmtId="4" fontId="31" fillId="0" borderId="0" xfId="0" applyNumberFormat="1" applyFont="1"/>
    <xf numFmtId="4" fontId="31" fillId="0" borderId="10" xfId="0" applyNumberFormat="1" applyFont="1" applyBorder="1"/>
    <xf numFmtId="4" fontId="77" fillId="7" borderId="7" xfId="0" applyNumberFormat="1" applyFont="1" applyFill="1" applyBorder="1"/>
    <xf numFmtId="4" fontId="31" fillId="0" borderId="0" xfId="0" applyNumberFormat="1" applyFont="1" applyFill="1"/>
    <xf numFmtId="4" fontId="31" fillId="0" borderId="10" xfId="0" applyNumberFormat="1" applyFont="1" applyFill="1" applyBorder="1"/>
    <xf numFmtId="14" fontId="27" fillId="0" borderId="0" xfId="0" applyNumberFormat="1" applyFont="1"/>
    <xf numFmtId="0" fontId="27" fillId="0" borderId="0" xfId="0" applyFont="1"/>
    <xf numFmtId="3" fontId="73" fillId="0" borderId="0" xfId="62" applyNumberFormat="1" applyFont="1"/>
    <xf numFmtId="3" fontId="73" fillId="0" borderId="0" xfId="62" applyNumberFormat="1" applyFont="1" applyFill="1"/>
    <xf numFmtId="3" fontId="73" fillId="0" borderId="10" xfId="62" applyNumberFormat="1" applyFont="1" applyBorder="1"/>
    <xf numFmtId="49" fontId="78" fillId="0" borderId="10" xfId="2" applyNumberFormat="1" applyFont="1" applyFill="1" applyBorder="1" applyAlignment="1">
      <alignment horizontal="right"/>
    </xf>
    <xf numFmtId="3" fontId="39" fillId="0" borderId="10" xfId="62" applyNumberFormat="1" applyFont="1" applyBorder="1"/>
    <xf numFmtId="3" fontId="39" fillId="0" borderId="0" xfId="62" applyNumberFormat="1" applyFont="1"/>
    <xf numFmtId="3" fontId="39" fillId="0" borderId="0" xfId="62" quotePrefix="1" applyNumberFormat="1" applyFont="1" applyAlignment="1">
      <alignment horizontal="right"/>
    </xf>
    <xf numFmtId="3" fontId="39" fillId="0" borderId="0" xfId="62" applyNumberFormat="1" applyFont="1" applyFill="1"/>
    <xf numFmtId="49" fontId="78" fillId="0" borderId="10" xfId="0" applyNumberFormat="1" applyFont="1" applyBorder="1" applyAlignment="1">
      <alignment horizontal="left"/>
    </xf>
    <xf numFmtId="0" fontId="26" fillId="0" borderId="0" xfId="0" applyFont="1"/>
    <xf numFmtId="0" fontId="47" fillId="0" borderId="0" xfId="0" applyFont="1" applyFill="1"/>
    <xf numFmtId="14" fontId="26" fillId="0" borderId="0" xfId="0" applyNumberFormat="1" applyFont="1"/>
    <xf numFmtId="164" fontId="73" fillId="6" borderId="0" xfId="32" applyFont="1" applyFill="1"/>
    <xf numFmtId="0" fontId="0" fillId="0" borderId="0" xfId="0" applyFill="1" applyBorder="1"/>
    <xf numFmtId="0" fontId="25" fillId="0" borderId="0" xfId="0" applyFont="1"/>
    <xf numFmtId="0" fontId="26" fillId="0" borderId="0" xfId="0" applyFont="1" applyFill="1"/>
    <xf numFmtId="0" fontId="27" fillId="0" borderId="0" xfId="0" applyFont="1" applyFill="1"/>
    <xf numFmtId="0" fontId="24" fillId="0" borderId="0" xfId="0" applyFont="1"/>
    <xf numFmtId="0" fontId="23" fillId="0" borderId="0" xfId="0" applyFont="1"/>
    <xf numFmtId="14" fontId="95" fillId="0" borderId="0" xfId="38" applyNumberFormat="1" applyFont="1" applyFill="1"/>
    <xf numFmtId="4" fontId="85" fillId="0" borderId="0" xfId="0" applyNumberFormat="1" applyFont="1" applyBorder="1"/>
    <xf numFmtId="0" fontId="22" fillId="0" borderId="0" xfId="0" applyFont="1"/>
    <xf numFmtId="0" fontId="22" fillId="0" borderId="0" xfId="0" applyFont="1" applyAlignment="1">
      <alignment wrapText="1"/>
    </xf>
    <xf numFmtId="0" fontId="97" fillId="0" borderId="10" xfId="2" applyFont="1" applyFill="1" applyBorder="1"/>
    <xf numFmtId="4" fontId="98" fillId="0" borderId="0" xfId="0" applyNumberFormat="1" applyFont="1" applyFill="1"/>
    <xf numFmtId="0" fontId="77" fillId="0" borderId="10" xfId="0" applyFont="1" applyBorder="1" applyAlignment="1">
      <alignment horizontal="right"/>
    </xf>
    <xf numFmtId="3" fontId="22" fillId="0" borderId="0" xfId="12" applyNumberFormat="1" applyFont="1"/>
    <xf numFmtId="3" fontId="22" fillId="0" borderId="0" xfId="12" applyNumberFormat="1" applyFont="1" applyBorder="1"/>
    <xf numFmtId="0" fontId="72" fillId="0" borderId="20" xfId="37" applyFont="1" applyFill="1" applyBorder="1" applyAlignment="1">
      <alignment wrapText="1"/>
    </xf>
    <xf numFmtId="3" fontId="99" fillId="0" borderId="0" xfId="0" applyNumberFormat="1" applyFont="1"/>
    <xf numFmtId="3" fontId="52" fillId="0" borderId="0" xfId="0" applyNumberFormat="1" applyFont="1"/>
    <xf numFmtId="3" fontId="99" fillId="0" borderId="0" xfId="0" applyNumberFormat="1" applyFont="1" applyBorder="1"/>
    <xf numFmtId="0" fontId="100" fillId="0" borderId="0" xfId="38" applyFont="1"/>
    <xf numFmtId="0" fontId="47" fillId="6" borderId="0" xfId="37" applyFont="1" applyFill="1"/>
    <xf numFmtId="3" fontId="99" fillId="6" borderId="0" xfId="0" applyNumberFormat="1" applyFont="1" applyFill="1"/>
    <xf numFmtId="9" fontId="21" fillId="6" borderId="0" xfId="1" applyFont="1" applyFill="1"/>
    <xf numFmtId="3" fontId="21" fillId="6" borderId="0" xfId="37" applyNumberFormat="1" applyFont="1" applyFill="1"/>
    <xf numFmtId="3" fontId="47" fillId="6" borderId="0" xfId="37" applyNumberFormat="1" applyFont="1" applyFill="1" applyBorder="1"/>
    <xf numFmtId="0" fontId="20" fillId="0" borderId="0" xfId="0" applyFont="1"/>
    <xf numFmtId="0" fontId="59" fillId="0" borderId="0" xfId="22" applyFont="1"/>
    <xf numFmtId="3" fontId="99" fillId="0" borderId="8" xfId="0" applyNumberFormat="1" applyFont="1" applyBorder="1"/>
    <xf numFmtId="3" fontId="52" fillId="0" borderId="8" xfId="0" applyNumberFormat="1" applyFont="1" applyBorder="1"/>
    <xf numFmtId="0" fontId="19" fillId="0" borderId="0" xfId="0" applyFont="1"/>
    <xf numFmtId="0" fontId="18" fillId="0" borderId="0" xfId="0" applyFont="1"/>
    <xf numFmtId="3" fontId="59" fillId="0" borderId="0" xfId="0" applyNumberFormat="1" applyFont="1"/>
    <xf numFmtId="3" fontId="99" fillId="0" borderId="9" xfId="0" applyNumberFormat="1" applyFont="1" applyBorder="1"/>
    <xf numFmtId="0" fontId="17" fillId="0" borderId="0" xfId="0" applyFont="1"/>
    <xf numFmtId="0" fontId="17" fillId="0" borderId="0" xfId="0" applyFont="1" applyAlignment="1">
      <alignment wrapText="1"/>
    </xf>
    <xf numFmtId="0" fontId="20" fillId="0" borderId="0" xfId="0" applyFont="1" applyAlignment="1">
      <alignment wrapText="1"/>
    </xf>
    <xf numFmtId="0" fontId="47" fillId="6" borderId="0" xfId="37" applyFont="1" applyFill="1" applyBorder="1"/>
    <xf numFmtId="3" fontId="52" fillId="6" borderId="0" xfId="0" applyNumberFormat="1" applyFont="1" applyFill="1" applyBorder="1"/>
    <xf numFmtId="9" fontId="47" fillId="6" borderId="0" xfId="1" applyFont="1" applyFill="1" applyBorder="1"/>
    <xf numFmtId="0" fontId="47" fillId="6" borderId="25" xfId="37" applyFont="1" applyFill="1" applyBorder="1"/>
    <xf numFmtId="3" fontId="21" fillId="6" borderId="25" xfId="37" applyNumberFormat="1" applyFont="1" applyFill="1" applyBorder="1"/>
    <xf numFmtId="3" fontId="99" fillId="6" borderId="25" xfId="0" applyNumberFormat="1" applyFont="1" applyFill="1" applyBorder="1"/>
    <xf numFmtId="9" fontId="21" fillId="6" borderId="25" xfId="1" applyFont="1" applyFill="1" applyBorder="1"/>
    <xf numFmtId="168" fontId="39" fillId="0" borderId="0" xfId="1" applyNumberFormat="1" applyFont="1" applyFill="1" applyBorder="1"/>
    <xf numFmtId="168" fontId="73" fillId="12" borderId="0" xfId="0" applyNumberFormat="1" applyFont="1" applyFill="1"/>
    <xf numFmtId="168" fontId="73" fillId="11" borderId="0" xfId="1" applyNumberFormat="1" applyFont="1" applyFill="1"/>
    <xf numFmtId="0" fontId="85" fillId="24" borderId="0" xfId="0" applyFont="1" applyFill="1"/>
    <xf numFmtId="0" fontId="37" fillId="24" borderId="0" xfId="0" applyFont="1" applyFill="1"/>
    <xf numFmtId="0" fontId="0" fillId="24" borderId="0" xfId="0" applyFill="1"/>
    <xf numFmtId="0" fontId="77" fillId="0" borderId="0" xfId="0" applyFont="1" applyFill="1" applyBorder="1" applyAlignment="1"/>
    <xf numFmtId="2" fontId="39" fillId="0" borderId="0" xfId="4" applyNumberFormat="1" applyFont="1" applyFill="1" applyBorder="1" applyAlignment="1">
      <alignment horizontal="right"/>
    </xf>
    <xf numFmtId="0" fontId="39" fillId="6" borderId="21" xfId="4" applyFont="1" applyFill="1" applyBorder="1"/>
    <xf numFmtId="0" fontId="104" fillId="0" borderId="0" xfId="4" applyFont="1" applyFill="1" applyBorder="1"/>
    <xf numFmtId="49" fontId="104" fillId="0" borderId="0" xfId="4" applyNumberFormat="1" applyFont="1" applyFill="1" applyBorder="1"/>
    <xf numFmtId="0" fontId="105" fillId="0" borderId="0" xfId="0" applyFont="1" applyFill="1"/>
    <xf numFmtId="0" fontId="105" fillId="0" borderId="10" xfId="0" applyFont="1" applyFill="1" applyBorder="1"/>
    <xf numFmtId="0" fontId="104" fillId="0" borderId="0" xfId="4" applyFont="1" applyFill="1" applyBorder="1" applyAlignment="1">
      <alignment wrapText="1"/>
    </xf>
    <xf numFmtId="0" fontId="81" fillId="14" borderId="0" xfId="0" applyFont="1" applyFill="1" applyAlignment="1"/>
    <xf numFmtId="4" fontId="0" fillId="0" borderId="0" xfId="0" applyNumberFormat="1"/>
    <xf numFmtId="0" fontId="106" fillId="0" borderId="0" xfId="0" applyFont="1" applyAlignment="1">
      <alignment wrapText="1"/>
    </xf>
    <xf numFmtId="0" fontId="106" fillId="0" borderId="0" xfId="0" applyFont="1"/>
    <xf numFmtId="0" fontId="107" fillId="0" borderId="0" xfId="0" applyFont="1" applyAlignment="1">
      <alignment wrapText="1"/>
    </xf>
    <xf numFmtId="0" fontId="107" fillId="0" borderId="0" xfId="0" applyFont="1"/>
    <xf numFmtId="166" fontId="73" fillId="14" borderId="0" xfId="0" applyNumberFormat="1" applyFont="1" applyFill="1"/>
    <xf numFmtId="0" fontId="77" fillId="0" borderId="0" xfId="0" applyFont="1" applyFill="1" applyAlignment="1"/>
    <xf numFmtId="0" fontId="15" fillId="0" borderId="0" xfId="0" applyFont="1"/>
    <xf numFmtId="0" fontId="81" fillId="0" borderId="10" xfId="0" applyFont="1" applyBorder="1"/>
    <xf numFmtId="3" fontId="39" fillId="0" borderId="0" xfId="0" applyNumberFormat="1" applyFont="1"/>
    <xf numFmtId="2" fontId="39" fillId="0" borderId="7" xfId="0" applyNumberFormat="1" applyFont="1" applyBorder="1"/>
    <xf numFmtId="10" fontId="15" fillId="0" borderId="0" xfId="1" applyNumberFormat="1" applyFont="1"/>
    <xf numFmtId="2" fontId="39" fillId="0" borderId="0" xfId="0" applyNumberFormat="1" applyFont="1"/>
    <xf numFmtId="169" fontId="58" fillId="6" borderId="0" xfId="0" applyNumberFormat="1" applyFont="1" applyFill="1"/>
    <xf numFmtId="0" fontId="83" fillId="0" borderId="4" xfId="0" applyFont="1" applyBorder="1"/>
    <xf numFmtId="3" fontId="39" fillId="0" borderId="10" xfId="0" applyNumberFormat="1" applyFont="1" applyBorder="1"/>
    <xf numFmtId="3" fontId="78" fillId="0" borderId="0" xfId="0" applyNumberFormat="1" applyFont="1"/>
    <xf numFmtId="0" fontId="76" fillId="0" borderId="4" xfId="0" applyFont="1" applyBorder="1"/>
    <xf numFmtId="0" fontId="84" fillId="0" borderId="0" xfId="0" applyFont="1"/>
    <xf numFmtId="0" fontId="84" fillId="0" borderId="10" xfId="0" applyFont="1" applyBorder="1"/>
    <xf numFmtId="169" fontId="58" fillId="0" borderId="0" xfId="0" applyNumberFormat="1" applyFont="1"/>
    <xf numFmtId="4" fontId="15" fillId="0" borderId="0" xfId="0" applyNumberFormat="1" applyFont="1"/>
    <xf numFmtId="0" fontId="108" fillId="0" borderId="0" xfId="0" applyFont="1" applyAlignment="1">
      <alignment wrapText="1"/>
    </xf>
    <xf numFmtId="0" fontId="101" fillId="0" borderId="0" xfId="0" applyFont="1"/>
    <xf numFmtId="0" fontId="109" fillId="0" borderId="0" xfId="0" applyFont="1" applyAlignment="1">
      <alignment horizontal="left"/>
    </xf>
    <xf numFmtId="3" fontId="109" fillId="0" borderId="0" xfId="0" applyNumberFormat="1" applyFont="1" applyAlignment="1">
      <alignment horizontal="left"/>
    </xf>
    <xf numFmtId="10" fontId="15" fillId="0" borderId="0" xfId="0" applyNumberFormat="1" applyFont="1"/>
    <xf numFmtId="4" fontId="110" fillId="0" borderId="0" xfId="0" applyNumberFormat="1" applyFont="1"/>
    <xf numFmtId="2" fontId="109" fillId="0" borderId="0" xfId="0" applyNumberFormat="1" applyFont="1"/>
    <xf numFmtId="4" fontId="109" fillId="0" borderId="0" xfId="0" applyNumberFormat="1" applyFont="1" applyAlignment="1">
      <alignment horizontal="left"/>
    </xf>
    <xf numFmtId="0" fontId="0" fillId="0" borderId="0" xfId="0" applyNumberFormat="1"/>
    <xf numFmtId="166" fontId="0" fillId="0" borderId="0" xfId="0" applyNumberFormat="1"/>
    <xf numFmtId="0" fontId="111" fillId="0" borderId="0" xfId="0" applyFont="1"/>
    <xf numFmtId="0" fontId="47" fillId="17" borderId="0" xfId="0" applyFont="1" applyFill="1" applyAlignment="1">
      <alignment wrapText="1"/>
    </xf>
    <xf numFmtId="0" fontId="47" fillId="17" borderId="0" xfId="65" applyFont="1" applyFill="1" applyAlignment="1">
      <alignment wrapText="1"/>
    </xf>
    <xf numFmtId="0" fontId="47" fillId="17" borderId="0" xfId="65" applyFont="1" applyFill="1"/>
    <xf numFmtId="0" fontId="47" fillId="0" borderId="0" xfId="65" applyFont="1" applyFill="1"/>
    <xf numFmtId="3" fontId="14" fillId="12" borderId="0" xfId="0" applyNumberFormat="1" applyFont="1" applyFill="1"/>
    <xf numFmtId="3" fontId="14" fillId="0" borderId="0" xfId="0" applyNumberFormat="1" applyFont="1"/>
    <xf numFmtId="0" fontId="72" fillId="0" borderId="0" xfId="65" applyFont="1" applyFill="1"/>
    <xf numFmtId="3" fontId="74" fillId="12" borderId="0" xfId="0" applyNumberFormat="1" applyFont="1" applyFill="1"/>
    <xf numFmtId="0" fontId="47" fillId="0" borderId="7" xfId="65" applyFont="1" applyFill="1" applyBorder="1"/>
    <xf numFmtId="3" fontId="47" fillId="12" borderId="7" xfId="0" applyNumberFormat="1" applyFont="1" applyFill="1" applyBorder="1"/>
    <xf numFmtId="3" fontId="49" fillId="8" borderId="26" xfId="33" applyNumberFormat="1" applyBorder="1"/>
    <xf numFmtId="0" fontId="112" fillId="0" borderId="0" xfId="38" applyFont="1"/>
    <xf numFmtId="0" fontId="14" fillId="0" borderId="0" xfId="0" applyFont="1"/>
    <xf numFmtId="0" fontId="112" fillId="0" borderId="0" xfId="38" applyFont="1" applyAlignment="1"/>
    <xf numFmtId="0" fontId="103" fillId="0" borderId="0" xfId="0" applyFont="1"/>
    <xf numFmtId="3" fontId="31" fillId="19" borderId="0" xfId="0" applyNumberFormat="1" applyFont="1" applyFill="1"/>
    <xf numFmtId="3" fontId="31" fillId="17" borderId="0" xfId="0" applyNumberFormat="1" applyFont="1" applyFill="1"/>
    <xf numFmtId="3" fontId="31" fillId="19" borderId="0" xfId="0" applyNumberFormat="1" applyFont="1" applyFill="1" applyBorder="1"/>
    <xf numFmtId="3" fontId="99" fillId="0" borderId="10" xfId="0" applyNumberFormat="1" applyFont="1" applyBorder="1"/>
    <xf numFmtId="3" fontId="0" fillId="0" borderId="10" xfId="0" applyNumberFormat="1" applyBorder="1"/>
    <xf numFmtId="3" fontId="74" fillId="19" borderId="10" xfId="0" applyNumberFormat="1" applyFont="1" applyFill="1" applyBorder="1"/>
    <xf numFmtId="3" fontId="74" fillId="0" borderId="10" xfId="0" applyNumberFormat="1" applyFont="1" applyFill="1" applyBorder="1"/>
    <xf numFmtId="3" fontId="47" fillId="19" borderId="0" xfId="0" applyNumberFormat="1" applyFont="1" applyFill="1"/>
    <xf numFmtId="3" fontId="101" fillId="0" borderId="0" xfId="0" applyNumberFormat="1" applyFont="1"/>
    <xf numFmtId="3" fontId="0" fillId="0" borderId="0" xfId="0" applyNumberFormat="1" applyBorder="1"/>
    <xf numFmtId="3" fontId="74" fillId="17" borderId="0" xfId="0" applyNumberFormat="1" applyFont="1" applyFill="1" applyBorder="1"/>
    <xf numFmtId="4" fontId="0" fillId="0" borderId="0" xfId="0" applyNumberFormat="1" applyBorder="1"/>
    <xf numFmtId="0" fontId="113" fillId="0" borderId="0" xfId="0" applyFont="1" applyAlignment="1">
      <alignment vertical="top" wrapText="1"/>
    </xf>
    <xf numFmtId="0" fontId="108" fillId="0" borderId="0" xfId="0" applyFont="1"/>
    <xf numFmtId="0" fontId="78" fillId="0" borderId="4" xfId="0" applyFont="1" applyFill="1" applyBorder="1"/>
    <xf numFmtId="3" fontId="39" fillId="22" borderId="0" xfId="3" applyNumberFormat="1" applyFont="1" applyFill="1" applyBorder="1"/>
    <xf numFmtId="164" fontId="73" fillId="22" borderId="0" xfId="32" applyNumberFormat="1" applyFont="1" applyFill="1"/>
    <xf numFmtId="171" fontId="39" fillId="22" borderId="0" xfId="3" applyNumberFormat="1" applyFont="1" applyFill="1" applyBorder="1"/>
    <xf numFmtId="167" fontId="0" fillId="0" borderId="0" xfId="0" applyNumberFormat="1"/>
    <xf numFmtId="173" fontId="39" fillId="0" borderId="22" xfId="4" applyNumberFormat="1" applyFont="1" applyFill="1" applyBorder="1"/>
    <xf numFmtId="172" fontId="39" fillId="0" borderId="0" xfId="4" applyNumberFormat="1" applyFont="1" applyFill="1" applyBorder="1"/>
    <xf numFmtId="2" fontId="39" fillId="0" borderId="0" xfId="4" applyNumberFormat="1" applyFont="1" applyFill="1" applyBorder="1"/>
    <xf numFmtId="3" fontId="73" fillId="0" borderId="10" xfId="36" applyNumberFormat="1" applyFont="1" applyFill="1" applyBorder="1"/>
    <xf numFmtId="3" fontId="77" fillId="0" borderId="0" xfId="0" applyNumberFormat="1" applyFont="1" applyBorder="1"/>
    <xf numFmtId="3" fontId="77" fillId="17" borderId="0" xfId="37" applyNumberFormat="1" applyFont="1" applyFill="1"/>
    <xf numFmtId="3" fontId="73" fillId="17" borderId="0" xfId="36" applyNumberFormat="1" applyFont="1" applyFill="1" applyBorder="1"/>
    <xf numFmtId="3" fontId="77" fillId="17" borderId="16" xfId="35" applyNumberFormat="1" applyFont="1" applyFill="1" applyBorder="1"/>
    <xf numFmtId="0" fontId="85" fillId="0" borderId="0" xfId="0" applyFont="1" applyAlignment="1">
      <alignment wrapText="1"/>
    </xf>
    <xf numFmtId="49" fontId="77" fillId="0" borderId="10" xfId="0" applyNumberFormat="1" applyFont="1" applyBorder="1" applyAlignment="1">
      <alignment horizontal="center" wrapText="1"/>
    </xf>
    <xf numFmtId="9" fontId="15" fillId="0" borderId="0" xfId="1" applyFont="1"/>
    <xf numFmtId="175" fontId="78" fillId="0" borderId="7" xfId="1" applyNumberFormat="1" applyFont="1" applyBorder="1"/>
    <xf numFmtId="0" fontId="55" fillId="6" borderId="0" xfId="38" applyFill="1" applyBorder="1"/>
    <xf numFmtId="171" fontId="73" fillId="17" borderId="0" xfId="0" applyNumberFormat="1" applyFont="1" applyFill="1"/>
    <xf numFmtId="171" fontId="73" fillId="17" borderId="10" xfId="0" applyNumberFormat="1" applyFont="1" applyFill="1" applyBorder="1"/>
    <xf numFmtId="171" fontId="77" fillId="17" borderId="0" xfId="0" applyNumberFormat="1" applyFont="1" applyFill="1"/>
    <xf numFmtId="175" fontId="77" fillId="6" borderId="7" xfId="1" applyNumberFormat="1" applyFont="1" applyFill="1" applyBorder="1"/>
    <xf numFmtId="171" fontId="15" fillId="0" borderId="0" xfId="0" applyNumberFormat="1" applyFont="1"/>
    <xf numFmtId="0" fontId="55" fillId="0" borderId="0" xfId="38" applyFill="1"/>
    <xf numFmtId="174" fontId="73" fillId="0" borderId="0" xfId="1" applyNumberFormat="1" applyFont="1"/>
    <xf numFmtId="174" fontId="73" fillId="0" borderId="10" xfId="1" applyNumberFormat="1" applyFont="1" applyBorder="1"/>
    <xf numFmtId="175" fontId="78" fillId="13" borderId="7" xfId="1" applyNumberFormat="1" applyFont="1" applyFill="1" applyBorder="1"/>
    <xf numFmtId="0" fontId="117" fillId="0" borderId="0" xfId="0" applyFont="1"/>
    <xf numFmtId="0" fontId="96" fillId="0" borderId="0" xfId="0" applyFont="1" applyFill="1" applyBorder="1"/>
    <xf numFmtId="0" fontId="118" fillId="24" borderId="0" xfId="0" applyFont="1" applyFill="1"/>
    <xf numFmtId="0" fontId="119" fillId="24" borderId="0" xfId="0" applyFont="1" applyFill="1"/>
    <xf numFmtId="0" fontId="115" fillId="0" borderId="0" xfId="0" applyFont="1"/>
    <xf numFmtId="0" fontId="77" fillId="0" borderId="10" xfId="0" applyNumberFormat="1" applyFont="1" applyBorder="1" applyAlignment="1">
      <alignment horizontal="right"/>
    </xf>
    <xf numFmtId="0" fontId="76" fillId="0" borderId="4" xfId="0" applyNumberFormat="1" applyFont="1" applyBorder="1"/>
    <xf numFmtId="0" fontId="15" fillId="0" borderId="0" xfId="0" applyFont="1" applyFill="1" applyBorder="1"/>
    <xf numFmtId="0" fontId="55" fillId="0" borderId="0" xfId="38"/>
    <xf numFmtId="0" fontId="109" fillId="0" borderId="0" xfId="0" applyFont="1"/>
    <xf numFmtId="3" fontId="121" fillId="0" borderId="0" xfId="0" applyNumberFormat="1" applyFont="1" applyAlignment="1">
      <alignment horizontal="right"/>
    </xf>
    <xf numFmtId="0" fontId="12" fillId="0" borderId="0" xfId="0" applyFont="1"/>
    <xf numFmtId="174" fontId="0" fillId="0" borderId="0" xfId="0" applyNumberFormat="1"/>
    <xf numFmtId="1" fontId="21" fillId="6" borderId="0" xfId="1" applyNumberFormat="1" applyFont="1" applyFill="1"/>
    <xf numFmtId="1" fontId="45" fillId="0" borderId="0" xfId="70" applyNumberFormat="1" applyFill="1" applyProtection="1"/>
    <xf numFmtId="3" fontId="21" fillId="6" borderId="0" xfId="1" applyNumberFormat="1" applyFont="1" applyFill="1"/>
    <xf numFmtId="9" fontId="99" fillId="6" borderId="25" xfId="1" applyFont="1" applyFill="1" applyBorder="1"/>
    <xf numFmtId="3" fontId="99" fillId="6" borderId="25" xfId="1" applyNumberFormat="1" applyFont="1" applyFill="1" applyBorder="1"/>
    <xf numFmtId="9" fontId="107" fillId="6" borderId="0" xfId="0" applyNumberFormat="1" applyFont="1" applyFill="1"/>
    <xf numFmtId="0" fontId="12" fillId="0" borderId="0" xfId="0" applyFont="1" applyBorder="1"/>
    <xf numFmtId="3" fontId="94" fillId="0" borderId="0" xfId="0" applyNumberFormat="1" applyFont="1" applyBorder="1"/>
    <xf numFmtId="3" fontId="74" fillId="12" borderId="0" xfId="0" applyNumberFormat="1" applyFont="1" applyFill="1" applyBorder="1"/>
    <xf numFmtId="0" fontId="72" fillId="0" borderId="0" xfId="65" applyFont="1" applyFill="1" applyBorder="1"/>
    <xf numFmtId="2" fontId="0" fillId="0" borderId="0" xfId="0" applyNumberFormat="1"/>
    <xf numFmtId="0" fontId="78" fillId="6" borderId="0" xfId="4" applyFont="1" applyFill="1" applyBorder="1"/>
    <xf numFmtId="0" fontId="0" fillId="6" borderId="0" xfId="0" applyFill="1"/>
    <xf numFmtId="3" fontId="99" fillId="0" borderId="0" xfId="0" applyNumberFormat="1" applyFont="1" applyFill="1"/>
    <xf numFmtId="3" fontId="99" fillId="0" borderId="10" xfId="0" applyNumberFormat="1" applyFont="1" applyFill="1" applyBorder="1"/>
    <xf numFmtId="3" fontId="122" fillId="17" borderId="0" xfId="0" applyNumberFormat="1" applyFont="1" applyFill="1" applyBorder="1"/>
    <xf numFmtId="3" fontId="123" fillId="0" borderId="0" xfId="0" applyNumberFormat="1" applyFont="1"/>
    <xf numFmtId="3" fontId="11" fillId="0" borderId="10" xfId="0" applyNumberFormat="1" applyFont="1" applyBorder="1"/>
    <xf numFmtId="0" fontId="10" fillId="0" borderId="10" xfId="0" applyFont="1" applyBorder="1"/>
    <xf numFmtId="0" fontId="10" fillId="0" borderId="0" xfId="0" applyFont="1" applyBorder="1"/>
    <xf numFmtId="3" fontId="11" fillId="0" borderId="0" xfId="0" applyNumberFormat="1" applyFont="1" applyBorder="1"/>
    <xf numFmtId="0" fontId="10" fillId="0" borderId="0" xfId="0" applyFont="1"/>
    <xf numFmtId="177" fontId="73" fillId="22" borderId="0" xfId="0" applyNumberFormat="1" applyFont="1" applyFill="1" applyBorder="1"/>
    <xf numFmtId="3" fontId="106" fillId="0" borderId="0" xfId="0" applyNumberFormat="1" applyFont="1"/>
    <xf numFmtId="4" fontId="106" fillId="0" borderId="0" xfId="0" applyNumberFormat="1" applyFont="1"/>
    <xf numFmtId="3" fontId="72" fillId="0" borderId="0" xfId="37" applyNumberFormat="1" applyFont="1" applyFill="1"/>
    <xf numFmtId="177" fontId="39" fillId="22" borderId="0" xfId="3" applyNumberFormat="1" applyFont="1" applyFill="1" applyBorder="1"/>
    <xf numFmtId="0" fontId="0" fillId="0" borderId="0" xfId="0" applyFill="1" applyAlignment="1">
      <alignment vertical="top"/>
    </xf>
    <xf numFmtId="0" fontId="113" fillId="0" borderId="0" xfId="0" applyFont="1" applyAlignment="1">
      <alignment vertical="top"/>
    </xf>
    <xf numFmtId="0" fontId="116" fillId="0" borderId="0" xfId="0" applyFont="1" applyAlignment="1">
      <alignment vertical="top"/>
    </xf>
    <xf numFmtId="10" fontId="73" fillId="0" borderId="10" xfId="1" applyNumberFormat="1" applyFont="1" applyBorder="1"/>
    <xf numFmtId="175" fontId="77" fillId="0" borderId="0" xfId="1" applyNumberFormat="1" applyFont="1" applyBorder="1"/>
    <xf numFmtId="0" fontId="15" fillId="0" borderId="0" xfId="0" applyFont="1" applyFill="1"/>
    <xf numFmtId="0" fontId="47" fillId="0" borderId="0" xfId="66" applyFont="1" applyFill="1" applyAlignment="1">
      <alignment horizontal="center"/>
    </xf>
    <xf numFmtId="3" fontId="13" fillId="0" borderId="0" xfId="66" applyNumberFormat="1" applyFill="1" applyAlignment="1">
      <alignment horizontal="center"/>
    </xf>
    <xf numFmtId="176" fontId="0" fillId="0" borderId="0" xfId="0" applyNumberFormat="1" applyFill="1"/>
    <xf numFmtId="3" fontId="47" fillId="0" borderId="0" xfId="66" applyNumberFormat="1" applyFont="1" applyFill="1" applyAlignment="1">
      <alignment horizontal="center"/>
    </xf>
    <xf numFmtId="0" fontId="13" fillId="0" borderId="0" xfId="66" applyFill="1" applyAlignment="1">
      <alignment horizontal="center"/>
    </xf>
    <xf numFmtId="3" fontId="39" fillId="0" borderId="0" xfId="0" applyNumberFormat="1" applyFont="1" applyFill="1" applyBorder="1"/>
    <xf numFmtId="3" fontId="77" fillId="0" borderId="0" xfId="0" applyNumberFormat="1" applyFont="1" applyFill="1" applyBorder="1"/>
    <xf numFmtId="3" fontId="78" fillId="0" borderId="0" xfId="0" applyNumberFormat="1" applyFont="1" applyFill="1" applyBorder="1"/>
    <xf numFmtId="49" fontId="77" fillId="0" borderId="0" xfId="0" applyNumberFormat="1" applyFont="1" applyFill="1" applyBorder="1" applyAlignment="1">
      <alignment horizontal="right"/>
    </xf>
    <xf numFmtId="49" fontId="78" fillId="0" borderId="0" xfId="0" applyNumberFormat="1" applyFont="1" applyFill="1" applyBorder="1" applyAlignment="1">
      <alignment horizontal="right"/>
    </xf>
    <xf numFmtId="0" fontId="125" fillId="0" borderId="0" xfId="22" applyFont="1"/>
    <xf numFmtId="0" fontId="126" fillId="0" borderId="0" xfId="0" applyFont="1"/>
    <xf numFmtId="175" fontId="78" fillId="13" borderId="0" xfId="1" applyNumberFormat="1" applyFont="1" applyFill="1" applyBorder="1"/>
    <xf numFmtId="10" fontId="39" fillId="0" borderId="0" xfId="1" applyNumberFormat="1" applyFont="1" applyFill="1" applyBorder="1"/>
    <xf numFmtId="10" fontId="39" fillId="0" borderId="10" xfId="1" applyNumberFormat="1" applyFont="1" applyFill="1" applyBorder="1"/>
    <xf numFmtId="0" fontId="83" fillId="0" borderId="0" xfId="0" applyFont="1" applyFill="1" applyBorder="1"/>
    <xf numFmtId="0" fontId="78" fillId="0" borderId="0" xfId="0" applyFont="1" applyFill="1" applyBorder="1"/>
    <xf numFmtId="0" fontId="9" fillId="0" borderId="0" xfId="0" applyFont="1"/>
    <xf numFmtId="0" fontId="27" fillId="25" borderId="0" xfId="0" applyFont="1" applyFill="1"/>
    <xf numFmtId="0" fontId="9" fillId="25" borderId="0" xfId="0" applyFont="1" applyFill="1"/>
    <xf numFmtId="0" fontId="27" fillId="26" borderId="0" xfId="0" applyFont="1" applyFill="1"/>
    <xf numFmtId="0" fontId="9" fillId="26" borderId="0" xfId="0" applyFont="1" applyFill="1"/>
    <xf numFmtId="3" fontId="73" fillId="20" borderId="0" xfId="36" applyNumberFormat="1" applyFont="1" applyFill="1" applyBorder="1"/>
    <xf numFmtId="3" fontId="73" fillId="20" borderId="10" xfId="36" applyNumberFormat="1" applyFont="1" applyFill="1" applyBorder="1"/>
    <xf numFmtId="3" fontId="77" fillId="20" borderId="0" xfId="36" applyNumberFormat="1" applyFont="1" applyFill="1" applyBorder="1"/>
    <xf numFmtId="0" fontId="55" fillId="0" borderId="0" xfId="38" applyFill="1" applyBorder="1"/>
    <xf numFmtId="0" fontId="0" fillId="27" borderId="0" xfId="0" applyFill="1"/>
    <xf numFmtId="0" fontId="39" fillId="28" borderId="21" xfId="4" applyFont="1" applyFill="1" applyBorder="1"/>
    <xf numFmtId="173" fontId="39" fillId="28" borderId="22" xfId="4" applyNumberFormat="1" applyFont="1" applyFill="1" applyBorder="1"/>
    <xf numFmtId="0" fontId="78" fillId="28" borderId="0" xfId="4" applyFont="1" applyFill="1" applyBorder="1"/>
    <xf numFmtId="0" fontId="39" fillId="28" borderId="0" xfId="4" applyFont="1" applyFill="1" applyBorder="1" applyAlignment="1">
      <alignment horizontal="right"/>
    </xf>
    <xf numFmtId="2" fontId="39" fillId="28" borderId="0" xfId="4" applyNumberFormat="1" applyFont="1" applyFill="1" applyBorder="1" applyAlignment="1">
      <alignment horizontal="right"/>
    </xf>
    <xf numFmtId="2" fontId="39" fillId="28" borderId="0" xfId="4" applyNumberFormat="1" applyFont="1" applyFill="1" applyBorder="1"/>
    <xf numFmtId="0" fontId="77" fillId="28" borderId="0" xfId="0" applyFont="1" applyFill="1"/>
    <xf numFmtId="164" fontId="73" fillId="28" borderId="0" xfId="32" applyFont="1" applyFill="1"/>
    <xf numFmtId="164" fontId="73" fillId="28" borderId="0" xfId="32" applyNumberFormat="1" applyFont="1" applyFill="1"/>
    <xf numFmtId="0" fontId="0" fillId="28" borderId="0" xfId="0" applyFill="1"/>
    <xf numFmtId="167" fontId="39" fillId="28" borderId="0" xfId="4" applyNumberFormat="1" applyFont="1" applyFill="1" applyBorder="1"/>
    <xf numFmtId="172" fontId="39" fillId="28" borderId="0" xfId="4" applyNumberFormat="1" applyFont="1" applyFill="1" applyBorder="1"/>
    <xf numFmtId="0" fontId="73" fillId="28" borderId="0" xfId="0" applyFont="1" applyFill="1"/>
    <xf numFmtId="4" fontId="39" fillId="28" borderId="0" xfId="3" applyNumberFormat="1" applyFont="1" applyFill="1" applyBorder="1"/>
    <xf numFmtId="0" fontId="0" fillId="28" borderId="0" xfId="0" applyFill="1" applyBorder="1"/>
    <xf numFmtId="0" fontId="47" fillId="28" borderId="0" xfId="0" applyFont="1" applyFill="1"/>
    <xf numFmtId="0" fontId="29" fillId="28" borderId="0" xfId="0" applyFont="1" applyFill="1"/>
    <xf numFmtId="3" fontId="78" fillId="28" borderId="0" xfId="4" applyNumberFormat="1" applyFont="1" applyFill="1" applyBorder="1"/>
    <xf numFmtId="0" fontId="0" fillId="12" borderId="0" xfId="0" applyFill="1"/>
    <xf numFmtId="0" fontId="0" fillId="29" borderId="27" xfId="0" applyFill="1" applyBorder="1"/>
    <xf numFmtId="0" fontId="0" fillId="29" borderId="28" xfId="0" applyFill="1" applyBorder="1"/>
    <xf numFmtId="2" fontId="109" fillId="29" borderId="28" xfId="0" applyNumberFormat="1" applyFont="1" applyFill="1" applyBorder="1"/>
    <xf numFmtId="0" fontId="85" fillId="29" borderId="27" xfId="0" applyFont="1" applyFill="1" applyBorder="1"/>
    <xf numFmtId="0" fontId="85" fillId="29" borderId="28" xfId="0" applyFont="1" applyFill="1" applyBorder="1"/>
    <xf numFmtId="170" fontId="85" fillId="29" borderId="28" xfId="0" applyNumberFormat="1" applyFont="1" applyFill="1" applyBorder="1"/>
    <xf numFmtId="3" fontId="39" fillId="29" borderId="28" xfId="0" applyNumberFormat="1" applyFont="1" applyFill="1" applyBorder="1"/>
    <xf numFmtId="173" fontId="39" fillId="6" borderId="22" xfId="4" applyNumberFormat="1" applyFont="1" applyFill="1" applyBorder="1"/>
    <xf numFmtId="164" fontId="73" fillId="0" borderId="0" xfId="32" applyNumberFormat="1" applyFont="1" applyFill="1"/>
    <xf numFmtId="0" fontId="81" fillId="14" borderId="0" xfId="0" applyFont="1" applyFill="1"/>
    <xf numFmtId="0" fontId="127" fillId="14" borderId="0" xfId="0" applyFont="1" applyFill="1"/>
    <xf numFmtId="0" fontId="0" fillId="14" borderId="0" xfId="0" applyFill="1"/>
    <xf numFmtId="174" fontId="0" fillId="0" borderId="0" xfId="1" applyNumberFormat="1" applyFont="1"/>
    <xf numFmtId="0" fontId="103" fillId="0" borderId="0" xfId="0" applyFont="1" applyAlignment="1">
      <alignment vertical="top"/>
    </xf>
    <xf numFmtId="3" fontId="52" fillId="13" borderId="0" xfId="0" applyNumberFormat="1" applyFont="1" applyFill="1"/>
    <xf numFmtId="3" fontId="7" fillId="0" borderId="0" xfId="0" applyNumberFormat="1" applyFont="1"/>
    <xf numFmtId="3" fontId="107" fillId="0" borderId="0" xfId="0" applyNumberFormat="1" applyFont="1"/>
    <xf numFmtId="0" fontId="47" fillId="17" borderId="0" xfId="65" applyFont="1" applyFill="1" applyAlignment="1">
      <alignment horizontal="right"/>
    </xf>
    <xf numFmtId="0" fontId="5" fillId="17" borderId="0" xfId="0" applyFont="1" applyFill="1" applyAlignment="1">
      <alignment wrapText="1"/>
    </xf>
    <xf numFmtId="3" fontId="5" fillId="19" borderId="0" xfId="0" applyNumberFormat="1" applyFont="1" applyFill="1"/>
    <xf numFmtId="3" fontId="5" fillId="0" borderId="0" xfId="0" applyNumberFormat="1" applyFont="1"/>
    <xf numFmtId="3" fontId="5" fillId="17" borderId="0" xfId="0" applyNumberFormat="1" applyFont="1" applyFill="1"/>
    <xf numFmtId="3" fontId="5" fillId="0" borderId="10" xfId="0" applyNumberFormat="1" applyFont="1" applyBorder="1"/>
    <xf numFmtId="3" fontId="101" fillId="0" borderId="0" xfId="0" applyNumberFormat="1" applyFont="1" applyFill="1"/>
    <xf numFmtId="3" fontId="0" fillId="0" borderId="0" xfId="0" applyNumberFormat="1" applyFill="1"/>
    <xf numFmtId="0" fontId="103" fillId="0" borderId="0" xfId="0" applyFont="1" applyFill="1" applyAlignment="1">
      <alignment horizontal="left" vertical="top" wrapText="1"/>
    </xf>
    <xf numFmtId="3" fontId="128" fillId="30" borderId="0" xfId="0" applyNumberFormat="1" applyFont="1" applyFill="1"/>
    <xf numFmtId="0" fontId="0" fillId="25" borderId="0" xfId="0" applyFill="1"/>
    <xf numFmtId="0" fontId="113" fillId="25" borderId="0" xfId="0" applyFont="1" applyFill="1" applyAlignment="1">
      <alignment vertical="top"/>
    </xf>
    <xf numFmtId="3" fontId="0" fillId="25" borderId="0" xfId="0" applyNumberFormat="1" applyFill="1"/>
    <xf numFmtId="0" fontId="114" fillId="25" borderId="0" xfId="0" applyFont="1" applyFill="1" applyAlignment="1">
      <alignment vertical="top"/>
    </xf>
    <xf numFmtId="0" fontId="0" fillId="0" borderId="0" xfId="0" applyFill="1" applyAlignment="1">
      <alignment wrapText="1"/>
    </xf>
    <xf numFmtId="164" fontId="73" fillId="0" borderId="0" xfId="32" applyFont="1" applyFill="1"/>
    <xf numFmtId="0" fontId="4" fillId="0" borderId="0" xfId="0" applyFont="1"/>
    <xf numFmtId="0" fontId="76" fillId="0" borderId="0" xfId="0" applyFont="1"/>
    <xf numFmtId="3" fontId="4" fillId="0" borderId="0" xfId="0" applyNumberFormat="1" applyFont="1"/>
    <xf numFmtId="0" fontId="76" fillId="0" borderId="10" xfId="0" applyFont="1" applyBorder="1"/>
    <xf numFmtId="3" fontId="76" fillId="0" borderId="0" xfId="0" applyNumberFormat="1" applyFont="1"/>
    <xf numFmtId="0" fontId="4" fillId="0" borderId="10" xfId="0" applyFont="1" applyBorder="1"/>
    <xf numFmtId="0" fontId="48" fillId="0" borderId="0" xfId="0" applyFont="1"/>
    <xf numFmtId="3" fontId="48" fillId="0" borderId="0" xfId="0" applyNumberFormat="1" applyFont="1"/>
    <xf numFmtId="0" fontId="32" fillId="0" borderId="0" xfId="0" applyFont="1" applyFill="1"/>
    <xf numFmtId="0" fontId="7" fillId="0" borderId="0" xfId="0" applyFont="1" applyFill="1"/>
    <xf numFmtId="0" fontId="6" fillId="0" borderId="0" xfId="0" applyFont="1" applyFill="1"/>
    <xf numFmtId="1" fontId="32" fillId="0" borderId="0" xfId="0" applyNumberFormat="1" applyFont="1" applyFill="1"/>
    <xf numFmtId="0" fontId="99" fillId="0" borderId="0" xfId="0" applyFont="1" applyFill="1"/>
    <xf numFmtId="0" fontId="3" fillId="0" borderId="0" xfId="0" applyFont="1"/>
    <xf numFmtId="15" fontId="129" fillId="0" borderId="10" xfId="0" applyNumberFormat="1" applyFont="1" applyBorder="1"/>
    <xf numFmtId="49" fontId="129" fillId="0" borderId="10" xfId="0" applyNumberFormat="1" applyFont="1" applyBorder="1" applyAlignment="1">
      <alignment horizontal="center" wrapText="1"/>
    </xf>
    <xf numFmtId="49" fontId="129" fillId="13" borderId="10" xfId="0" applyNumberFormat="1" applyFont="1" applyFill="1" applyBorder="1" applyAlignment="1">
      <alignment horizontal="center"/>
    </xf>
    <xf numFmtId="0" fontId="129" fillId="0" borderId="0" xfId="37" applyFont="1" applyFill="1"/>
    <xf numFmtId="3" fontId="93" fillId="0" borderId="0" xfId="37" applyNumberFormat="1" applyFont="1" applyFill="1"/>
    <xf numFmtId="3" fontId="129" fillId="13" borderId="0" xfId="0" applyNumberFormat="1" applyFont="1" applyFill="1"/>
    <xf numFmtId="0" fontId="129" fillId="0" borderId="10" xfId="37" applyFont="1" applyFill="1" applyBorder="1"/>
    <xf numFmtId="3" fontId="93" fillId="0" borderId="10" xfId="37" applyNumberFormat="1" applyFont="1" applyFill="1" applyBorder="1"/>
    <xf numFmtId="3" fontId="129" fillId="13" borderId="10" xfId="0" applyNumberFormat="1" applyFont="1" applyFill="1" applyBorder="1"/>
    <xf numFmtId="3" fontId="129" fillId="0" borderId="0" xfId="37" applyNumberFormat="1" applyFont="1" applyFill="1"/>
    <xf numFmtId="172" fontId="77" fillId="0" borderId="29" xfId="0" applyNumberFormat="1" applyFont="1" applyBorder="1"/>
    <xf numFmtId="0" fontId="114" fillId="0" borderId="0" xfId="0" applyFont="1"/>
    <xf numFmtId="0" fontId="114" fillId="0" borderId="0" xfId="0" applyFont="1" applyAlignment="1">
      <alignment vertical="top" wrapText="1"/>
    </xf>
    <xf numFmtId="0" fontId="113" fillId="0" borderId="0" xfId="0" applyFont="1"/>
    <xf numFmtId="0" fontId="68" fillId="0" borderId="0" xfId="0" applyFont="1"/>
    <xf numFmtId="0" fontId="114" fillId="0" borderId="0" xfId="0" applyFont="1" applyAlignment="1">
      <alignment horizontal="right"/>
    </xf>
    <xf numFmtId="0" fontId="68" fillId="0" borderId="0" xfId="0" applyFont="1" applyAlignment="1">
      <alignment vertical="top" wrapText="1"/>
    </xf>
    <xf numFmtId="14" fontId="61" fillId="0" borderId="0" xfId="0" applyNumberFormat="1" applyFont="1"/>
    <xf numFmtId="14" fontId="61" fillId="0" borderId="0" xfId="0" applyNumberFormat="1" applyFont="1" applyAlignment="1">
      <alignment horizontal="right"/>
    </xf>
    <xf numFmtId="0" fontId="61" fillId="0" borderId="0" xfId="0" applyFont="1"/>
    <xf numFmtId="0" fontId="63" fillId="0" borderId="0" xfId="0" applyFont="1" applyAlignment="1">
      <alignment horizontal="right"/>
    </xf>
    <xf numFmtId="0" fontId="120" fillId="0" borderId="0" xfId="0" applyFont="1"/>
    <xf numFmtId="0" fontId="120" fillId="0" borderId="0" xfId="0" applyFont="1" applyAlignment="1">
      <alignment vertical="top" wrapText="1"/>
    </xf>
    <xf numFmtId="0" fontId="120" fillId="0" borderId="17" xfId="0" applyFont="1" applyBorder="1"/>
    <xf numFmtId="0" fontId="120" fillId="0" borderId="7" xfId="0" applyFont="1" applyBorder="1"/>
    <xf numFmtId="0" fontId="120" fillId="0" borderId="7" xfId="0" applyFont="1" applyBorder="1" applyAlignment="1">
      <alignment vertical="top" wrapText="1"/>
    </xf>
    <xf numFmtId="0" fontId="120" fillId="0" borderId="30" xfId="0" applyFont="1" applyBorder="1"/>
    <xf numFmtId="0" fontId="61" fillId="0" borderId="8" xfId="0" applyFont="1" applyBorder="1"/>
    <xf numFmtId="0" fontId="61" fillId="0" borderId="0" xfId="0" applyFont="1" applyAlignment="1">
      <alignment wrapText="1"/>
    </xf>
    <xf numFmtId="3" fontId="61" fillId="0" borderId="0" xfId="0" applyNumberFormat="1" applyFont="1"/>
    <xf numFmtId="0" fontId="120" fillId="0" borderId="19" xfId="0" applyFont="1" applyBorder="1"/>
    <xf numFmtId="2" fontId="61" fillId="0" borderId="8" xfId="0" applyNumberFormat="1" applyFont="1" applyBorder="1" applyAlignment="1">
      <alignment horizontal="left"/>
    </xf>
    <xf numFmtId="0" fontId="120" fillId="0" borderId="9" xfId="0" applyFont="1" applyBorder="1"/>
    <xf numFmtId="0" fontId="120" fillId="0" borderId="10" xfId="0" applyFont="1" applyBorder="1"/>
    <xf numFmtId="0" fontId="120" fillId="0" borderId="10" xfId="0" applyFont="1" applyBorder="1" applyAlignment="1">
      <alignment vertical="top" wrapText="1"/>
    </xf>
    <xf numFmtId="0" fontId="120" fillId="0" borderId="20" xfId="0" applyFont="1" applyBorder="1"/>
    <xf numFmtId="2" fontId="130" fillId="0" borderId="19" xfId="0" applyNumberFormat="1" applyFont="1" applyBorder="1" applyAlignment="1">
      <alignment horizontal="left" vertical="top" wrapText="1"/>
    </xf>
    <xf numFmtId="0" fontId="130" fillId="0" borderId="13" xfId="0" applyFont="1" applyBorder="1" applyAlignment="1">
      <alignment horizontal="left" vertical="top" wrapText="1"/>
    </xf>
    <xf numFmtId="2" fontId="130" fillId="0" borderId="13" xfId="0" applyNumberFormat="1" applyFont="1" applyBorder="1" applyAlignment="1">
      <alignment vertical="top" wrapText="1"/>
    </xf>
    <xf numFmtId="0" fontId="130" fillId="0" borderId="31" xfId="0" applyFont="1" applyBorder="1" applyAlignment="1">
      <alignment vertical="top" wrapText="1"/>
    </xf>
    <xf numFmtId="0" fontId="131" fillId="0" borderId="31" xfId="0" applyFont="1" applyBorder="1" applyAlignment="1">
      <alignment vertical="top" wrapText="1"/>
    </xf>
    <xf numFmtId="0" fontId="130" fillId="31" borderId="31" xfId="0" applyFont="1" applyFill="1" applyBorder="1" applyAlignment="1">
      <alignment vertical="top" wrapText="1"/>
    </xf>
    <xf numFmtId="0" fontId="130" fillId="31" borderId="32" xfId="0" applyFont="1" applyFill="1" applyBorder="1" applyAlignment="1">
      <alignment vertical="top" wrapText="1"/>
    </xf>
    <xf numFmtId="0" fontId="130" fillId="32" borderId="32" xfId="0" applyFont="1" applyFill="1" applyBorder="1" applyAlignment="1">
      <alignment horizontal="center" vertical="top" wrapText="1"/>
    </xf>
    <xf numFmtId="0" fontId="61" fillId="0" borderId="33" xfId="0" applyFont="1" applyBorder="1" applyAlignment="1">
      <alignment horizontal="center" vertical="top"/>
    </xf>
    <xf numFmtId="178" fontId="61" fillId="0" borderId="34" xfId="0" applyNumberFormat="1" applyFont="1" applyBorder="1" applyAlignment="1">
      <alignment horizontal="center" vertical="top"/>
    </xf>
    <xf numFmtId="0" fontId="61" fillId="0" borderId="34" xfId="0" applyFont="1" applyBorder="1" applyAlignment="1">
      <alignment vertical="top" wrapText="1"/>
    </xf>
    <xf numFmtId="3" fontId="61" fillId="0" borderId="32" xfId="0" applyNumberFormat="1" applyFont="1" applyBorder="1" applyAlignment="1">
      <alignment vertical="top"/>
    </xf>
    <xf numFmtId="168" fontId="61" fillId="0" borderId="32" xfId="71" applyNumberFormat="1" applyFont="1" applyBorder="1" applyAlignment="1">
      <alignment vertical="top"/>
    </xf>
    <xf numFmtId="168" fontId="61" fillId="0" borderId="32" xfId="71" applyNumberFormat="1" applyFont="1" applyBorder="1" applyAlignment="1">
      <alignment vertical="center"/>
    </xf>
    <xf numFmtId="0" fontId="101" fillId="0" borderId="10" xfId="0" applyFont="1" applyFill="1" applyBorder="1"/>
    <xf numFmtId="0" fontId="77" fillId="0" borderId="10" xfId="0" applyNumberFormat="1" applyFont="1" applyFill="1" applyBorder="1" applyAlignment="1">
      <alignment horizontal="right"/>
    </xf>
    <xf numFmtId="3" fontId="77" fillId="0" borderId="7" xfId="0" applyNumberFormat="1" applyFont="1" applyFill="1" applyBorder="1"/>
    <xf numFmtId="0" fontId="73" fillId="0" borderId="10" xfId="0" applyFont="1" applyFill="1" applyBorder="1"/>
    <xf numFmtId="0" fontId="83" fillId="0" borderId="4" xfId="0" applyFont="1" applyFill="1" applyBorder="1"/>
    <xf numFmtId="3" fontId="39" fillId="0" borderId="10" xfId="0" applyNumberFormat="1" applyFont="1" applyFill="1" applyBorder="1"/>
    <xf numFmtId="0" fontId="2" fillId="0" borderId="0" xfId="0" applyFont="1" applyFill="1"/>
    <xf numFmtId="0" fontId="8" fillId="0" borderId="0" xfId="0" applyFont="1" applyFill="1"/>
    <xf numFmtId="0" fontId="77" fillId="0" borderId="4" xfId="0" applyFont="1" applyFill="1" applyBorder="1"/>
    <xf numFmtId="3" fontId="73" fillId="0" borderId="10" xfId="0" applyNumberFormat="1" applyFont="1" applyFill="1" applyBorder="1"/>
    <xf numFmtId="0" fontId="132" fillId="0" borderId="0" xfId="0" applyFont="1" applyAlignment="1">
      <alignment horizontal="left"/>
    </xf>
    <xf numFmtId="0" fontId="0" fillId="0" borderId="29" xfId="0" applyBorder="1"/>
    <xf numFmtId="0" fontId="99" fillId="0" borderId="0" xfId="0" applyFont="1"/>
    <xf numFmtId="0" fontId="77" fillId="0" borderId="29" xfId="0" applyFont="1" applyBorder="1"/>
    <xf numFmtId="0" fontId="133" fillId="0" borderId="0" xfId="0" applyFont="1"/>
    <xf numFmtId="0" fontId="134" fillId="0" borderId="0" xfId="0" applyFont="1"/>
    <xf numFmtId="0" fontId="135" fillId="0" borderId="0" xfId="0" applyFont="1"/>
    <xf numFmtId="0" fontId="135" fillId="0" borderId="35" xfId="0" applyFont="1" applyBorder="1"/>
    <xf numFmtId="0" fontId="135" fillId="0" borderId="35" xfId="0" applyFont="1" applyBorder="1" applyAlignment="1">
      <alignment horizontal="right"/>
    </xf>
    <xf numFmtId="0" fontId="135" fillId="0" borderId="36" xfId="0" applyFont="1" applyBorder="1"/>
    <xf numFmtId="0" fontId="135" fillId="0" borderId="37" xfId="0" applyFont="1" applyBorder="1"/>
    <xf numFmtId="172" fontId="76" fillId="0" borderId="29" xfId="0" applyNumberFormat="1" applyFont="1" applyBorder="1"/>
    <xf numFmtId="179" fontId="73" fillId="0" borderId="0" xfId="0" applyNumberFormat="1" applyFont="1"/>
    <xf numFmtId="179" fontId="77" fillId="0" borderId="29" xfId="0" applyNumberFormat="1" applyFont="1" applyBorder="1"/>
    <xf numFmtId="1" fontId="77" fillId="0" borderId="35" xfId="0" applyNumberFormat="1" applyFont="1" applyBorder="1"/>
    <xf numFmtId="1" fontId="77" fillId="0" borderId="35" xfId="0" applyNumberFormat="1" applyFont="1" applyBorder="1" applyAlignment="1">
      <alignment horizontal="right"/>
    </xf>
    <xf numFmtId="14" fontId="57" fillId="0" borderId="0" xfId="0" quotePrefix="1" applyNumberFormat="1" applyFont="1"/>
    <xf numFmtId="0" fontId="77" fillId="17" borderId="4" xfId="0" applyFont="1" applyFill="1" applyBorder="1" applyAlignment="1">
      <alignment horizontal="right"/>
    </xf>
    <xf numFmtId="0" fontId="1" fillId="0" borderId="0" xfId="0" applyFont="1"/>
    <xf numFmtId="0" fontId="1" fillId="0" borderId="0" xfId="0" quotePrefix="1" applyFont="1"/>
    <xf numFmtId="0" fontId="1" fillId="5" borderId="3" xfId="4" applyFont="1"/>
    <xf numFmtId="0" fontId="15" fillId="5" borderId="3" xfId="4" applyFont="1"/>
    <xf numFmtId="0" fontId="138" fillId="0" borderId="0" xfId="72" applyFont="1"/>
    <xf numFmtId="0" fontId="0" fillId="33" borderId="21" xfId="0" applyFill="1" applyBorder="1"/>
    <xf numFmtId="3" fontId="0" fillId="33" borderId="22" xfId="0" applyNumberFormat="1" applyFill="1" applyBorder="1"/>
    <xf numFmtId="0" fontId="139" fillId="34" borderId="38" xfId="0" applyFont="1" applyFill="1" applyBorder="1" applyAlignment="1">
      <alignment horizontal="right" vertical="center" wrapText="1"/>
    </xf>
    <xf numFmtId="0" fontId="139" fillId="34" borderId="39" xfId="0" applyFont="1" applyFill="1" applyBorder="1" applyAlignment="1">
      <alignment horizontal="right" vertical="center" wrapText="1"/>
    </xf>
    <xf numFmtId="0" fontId="140" fillId="34" borderId="40" xfId="0" applyFont="1" applyFill="1" applyBorder="1" applyAlignment="1">
      <alignment horizontal="left" vertical="center" wrapText="1"/>
    </xf>
    <xf numFmtId="0" fontId="137" fillId="0" borderId="41" xfId="73" applyBorder="1"/>
    <xf numFmtId="0" fontId="137" fillId="0" borderId="42" xfId="73" applyBorder="1" applyAlignment="1">
      <alignment wrapText="1"/>
    </xf>
    <xf numFmtId="0" fontId="137" fillId="0" borderId="0" xfId="73"/>
    <xf numFmtId="0" fontId="141" fillId="34" borderId="43" xfId="0" applyFont="1" applyFill="1" applyBorder="1" applyAlignment="1">
      <alignment horizontal="left" vertical="center" wrapText="1"/>
    </xf>
    <xf numFmtId="0" fontId="141" fillId="34" borderId="44" xfId="0" applyFont="1" applyFill="1" applyBorder="1" applyAlignment="1">
      <alignment horizontal="left" vertical="center" wrapText="1"/>
    </xf>
    <xf numFmtId="3" fontId="142" fillId="35" borderId="44" xfId="0" applyNumberFormat="1" applyFont="1" applyFill="1" applyBorder="1" applyAlignment="1">
      <alignment horizontal="right" vertical="center"/>
    </xf>
    <xf numFmtId="2" fontId="43" fillId="0" borderId="45" xfId="9" applyNumberFormat="1" applyBorder="1"/>
    <xf numFmtId="3" fontId="0" fillId="0" borderId="46" xfId="0" applyNumberFormat="1" applyBorder="1"/>
    <xf numFmtId="0" fontId="141" fillId="34" borderId="40" xfId="0" applyFont="1" applyFill="1" applyBorder="1" applyAlignment="1">
      <alignment horizontal="left" vertical="center" wrapText="1"/>
    </xf>
    <xf numFmtId="2" fontId="0" fillId="0" borderId="45" xfId="0" applyNumberFormat="1" applyBorder="1"/>
    <xf numFmtId="0" fontId="0" fillId="0" borderId="46" xfId="0" applyBorder="1"/>
    <xf numFmtId="0" fontId="142" fillId="35" borderId="44" xfId="0" applyFont="1" applyFill="1" applyBorder="1" applyAlignment="1">
      <alignment horizontal="right" vertical="center"/>
    </xf>
    <xf numFmtId="0" fontId="141" fillId="34" borderId="47" xfId="0" applyFont="1" applyFill="1" applyBorder="1" applyAlignment="1">
      <alignment horizontal="left" vertical="center" wrapText="1"/>
    </xf>
    <xf numFmtId="0" fontId="142" fillId="35" borderId="43" xfId="0" applyFont="1" applyFill="1" applyBorder="1" applyAlignment="1">
      <alignment horizontal="right" vertical="center"/>
    </xf>
    <xf numFmtId="2" fontId="0" fillId="0" borderId="48" xfId="0" applyNumberFormat="1" applyBorder="1"/>
    <xf numFmtId="0" fontId="0" fillId="0" borderId="49" xfId="0" applyBorder="1"/>
    <xf numFmtId="3" fontId="143" fillId="35" borderId="44" xfId="0" applyNumberFormat="1" applyFont="1" applyFill="1" applyBorder="1" applyAlignment="1">
      <alignment horizontal="right" vertical="center"/>
    </xf>
    <xf numFmtId="3" fontId="50" fillId="0" borderId="46" xfId="0" applyNumberFormat="1" applyFont="1" applyBorder="1"/>
    <xf numFmtId="0" fontId="0" fillId="33" borderId="0" xfId="0" applyFill="1"/>
    <xf numFmtId="3" fontId="0" fillId="33" borderId="0" xfId="0" applyNumberFormat="1" applyFill="1"/>
    <xf numFmtId="0" fontId="47" fillId="33" borderId="15" xfId="35" applyFill="1"/>
    <xf numFmtId="3" fontId="47" fillId="33" borderId="15" xfId="35" applyNumberFormat="1" applyFill="1"/>
    <xf numFmtId="0" fontId="124" fillId="0" borderId="0" xfId="0" applyFont="1" applyAlignment="1">
      <alignment vertical="top"/>
    </xf>
    <xf numFmtId="4" fontId="124" fillId="0" borderId="0" xfId="0" applyNumberFormat="1" applyFont="1" applyAlignment="1">
      <alignment vertical="top"/>
    </xf>
    <xf numFmtId="0" fontId="144" fillId="0" borderId="0" xfId="0" applyFont="1" applyAlignment="1">
      <alignment vertical="top"/>
    </xf>
    <xf numFmtId="0" fontId="0" fillId="5" borderId="3" xfId="4" applyFont="1"/>
    <xf numFmtId="0" fontId="145" fillId="17" borderId="0" xfId="65" applyFont="1" applyFill="1" applyAlignment="1">
      <alignment wrapText="1"/>
    </xf>
    <xf numFmtId="0" fontId="145" fillId="17" borderId="0" xfId="65" applyFont="1" applyFill="1" applyAlignment="1">
      <alignment horizontal="right" wrapText="1"/>
    </xf>
    <xf numFmtId="0" fontId="43" fillId="0" borderId="0" xfId="0" applyFont="1" applyAlignment="1">
      <alignment horizontal="center" wrapText="1"/>
    </xf>
    <xf numFmtId="0" fontId="49" fillId="18" borderId="0" xfId="0" applyFont="1" applyFill="1" applyAlignment="1">
      <alignment horizontal="center"/>
    </xf>
    <xf numFmtId="0" fontId="47" fillId="18" borderId="0" xfId="0" applyFont="1" applyFill="1" applyAlignment="1">
      <alignment horizontal="center"/>
    </xf>
    <xf numFmtId="0" fontId="135" fillId="0" borderId="0" xfId="0" applyFont="1"/>
    <xf numFmtId="0" fontId="73" fillId="0" borderId="0" xfId="0" applyFont="1" applyAlignment="1">
      <alignment horizontal="center"/>
    </xf>
    <xf numFmtId="0" fontId="73" fillId="0" borderId="35" xfId="0" applyFont="1" applyBorder="1" applyAlignment="1">
      <alignment horizontal="center"/>
    </xf>
    <xf numFmtId="0" fontId="109" fillId="0" borderId="0" xfId="0" applyFont="1" applyAlignment="1">
      <alignment horizontal="center" wrapText="1"/>
    </xf>
    <xf numFmtId="0" fontId="118" fillId="13" borderId="0" xfId="0" applyFont="1" applyFill="1" applyAlignment="1">
      <alignment horizontal="center"/>
    </xf>
    <xf numFmtId="0" fontId="118" fillId="29" borderId="28" xfId="0" applyFont="1" applyFill="1" applyBorder="1" applyAlignment="1">
      <alignment horizontal="center"/>
    </xf>
    <xf numFmtId="0" fontId="37" fillId="24" borderId="0" xfId="0" applyFont="1" applyFill="1" applyAlignment="1">
      <alignment horizontal="left" vertical="top" wrapText="1"/>
    </xf>
  </cellXfs>
  <cellStyles count="74">
    <cellStyle name="20 % - Dekorfärg4" xfId="36" builtinId="42"/>
    <cellStyle name="20 % - Dekorfärg5" xfId="37" builtinId="46"/>
    <cellStyle name="20 % - Dekorfärg5 2" xfId="65" xr:uid="{99B4FFE2-D6CD-40DC-A8A0-C3F3DDC457D9}"/>
    <cellStyle name="Anteckning" xfId="4" builtinId="10"/>
    <cellStyle name="Beräkning" xfId="3" builtinId="22"/>
    <cellStyle name="Bra 2" xfId="6" xr:uid="{00000000-0005-0000-0000-000005000000}"/>
    <cellStyle name="Förklarande text" xfId="34" builtinId="53"/>
    <cellStyle name="Hyperlänk" xfId="38" builtinId="8"/>
    <cellStyle name="Indata" xfId="2" builtinId="20"/>
    <cellStyle name="Kontrollcell" xfId="33" builtinId="23"/>
    <cellStyle name="Normaali 2" xfId="7" xr:uid="{00000000-0005-0000-0000-00000B000000}"/>
    <cellStyle name="Normaali 3" xfId="69" xr:uid="{326E66D4-9157-49A0-ABBB-75EB3BDEFC61}"/>
    <cellStyle name="Normaali_AT+POTVEROT" xfId="8" xr:uid="{00000000-0005-0000-0000-00000C000000}"/>
    <cellStyle name="Normal" xfId="0" builtinId="0"/>
    <cellStyle name="Normal 10" xfId="62" xr:uid="{B0F8EE88-1F4C-48C4-91BB-D2252866D556}"/>
    <cellStyle name="Normal 11" xfId="63" xr:uid="{4F7B797E-D8FE-4096-BF56-E1F6A2C670CA}"/>
    <cellStyle name="Normal 12" xfId="66" xr:uid="{44D02DAE-E2F7-4C0F-AB76-69F407572C32}"/>
    <cellStyle name="Normal 13" xfId="70" xr:uid="{ACE3193B-0FF2-4FED-8889-E285517839DE}"/>
    <cellStyle name="Normal 2" xfId="9" xr:uid="{00000000-0005-0000-0000-00000E000000}"/>
    <cellStyle name="Normal 2 2" xfId="10" xr:uid="{00000000-0005-0000-0000-00000F000000}"/>
    <cellStyle name="Normal 2 2 10" xfId="54" xr:uid="{00000000-0005-0000-0000-000010000000}"/>
    <cellStyle name="Normal 2 2 10 2" xfId="64" xr:uid="{64836FC5-8FE4-43E2-94BB-336A1D7B0DFA}"/>
    <cellStyle name="Normal 2 2 2" xfId="41" xr:uid="{00000000-0005-0000-0000-000011000000}"/>
    <cellStyle name="Normal 2 3" xfId="11" xr:uid="{00000000-0005-0000-0000-000012000000}"/>
    <cellStyle name="Normal 2 4" xfId="40" xr:uid="{00000000-0005-0000-0000-000013000000}"/>
    <cellStyle name="Normal 3" xfId="12" xr:uid="{00000000-0005-0000-0000-000014000000}"/>
    <cellStyle name="Normal 3 2" xfId="13" xr:uid="{00000000-0005-0000-0000-000015000000}"/>
    <cellStyle name="Normal 3 2 2" xfId="14" xr:uid="{00000000-0005-0000-0000-000016000000}"/>
    <cellStyle name="Normal 3 2 2 2" xfId="44" xr:uid="{00000000-0005-0000-0000-000017000000}"/>
    <cellStyle name="Normal 3 2 2 3" xfId="57" xr:uid="{42CDF3E5-3E71-4C99-B0B0-B2AF9D07C445}"/>
    <cellStyle name="Normal 3 2 3" xfId="43" xr:uid="{00000000-0005-0000-0000-000018000000}"/>
    <cellStyle name="Normal 3 2 4" xfId="56" xr:uid="{1CA8F1C4-C105-46CC-9AFB-D5AAA99A18C0}"/>
    <cellStyle name="Normal 3 3" xfId="15" xr:uid="{00000000-0005-0000-0000-000019000000}"/>
    <cellStyle name="Normal 3 3 2" xfId="45" xr:uid="{00000000-0005-0000-0000-00001A000000}"/>
    <cellStyle name="Normal 3 3 3" xfId="58" xr:uid="{CAA56E78-8869-4FEF-8953-B494F31532B3}"/>
    <cellStyle name="Normal 3 4" xfId="16" xr:uid="{00000000-0005-0000-0000-00001B000000}"/>
    <cellStyle name="Normal 3 4 2" xfId="46" xr:uid="{00000000-0005-0000-0000-00001C000000}"/>
    <cellStyle name="Normal 3 4 3" xfId="59" xr:uid="{561BCFD9-9921-4E9C-B6EF-69CD39E560FB}"/>
    <cellStyle name="Normal 3 5" xfId="42" xr:uid="{00000000-0005-0000-0000-00001D000000}"/>
    <cellStyle name="Normal 4" xfId="17" xr:uid="{00000000-0005-0000-0000-00001E000000}"/>
    <cellStyle name="Normal 4 2" xfId="18" xr:uid="{00000000-0005-0000-0000-00001F000000}"/>
    <cellStyle name="Normal 4 2 2" xfId="48" xr:uid="{00000000-0005-0000-0000-000020000000}"/>
    <cellStyle name="Normal 4 2 3" xfId="61" xr:uid="{112E146B-8F45-4A57-934D-D49B0605248A}"/>
    <cellStyle name="Normal 4 3" xfId="47" xr:uid="{00000000-0005-0000-0000-000021000000}"/>
    <cellStyle name="Normal 4 4" xfId="60" xr:uid="{B4F38CAE-3B75-4B21-A341-72D6A98C1843}"/>
    <cellStyle name="Normal 5" xfId="19" xr:uid="{00000000-0005-0000-0000-000022000000}"/>
    <cellStyle name="Normal 5 2" xfId="5" xr:uid="{00000000-0005-0000-0000-000023000000}"/>
    <cellStyle name="Normal 5 3" xfId="49" xr:uid="{00000000-0005-0000-0000-000024000000}"/>
    <cellStyle name="Normal 6" xfId="20" xr:uid="{00000000-0005-0000-0000-000025000000}"/>
    <cellStyle name="Normal 6 2" xfId="21" xr:uid="{00000000-0005-0000-0000-000026000000}"/>
    <cellStyle name="Normal 6 3" xfId="50" xr:uid="{00000000-0005-0000-0000-000027000000}"/>
    <cellStyle name="Normal 7" xfId="22" xr:uid="{00000000-0005-0000-0000-000028000000}"/>
    <cellStyle name="Normal 7 2" xfId="23" xr:uid="{00000000-0005-0000-0000-000029000000}"/>
    <cellStyle name="Normal 8" xfId="39" xr:uid="{00000000-0005-0000-0000-00002A000000}"/>
    <cellStyle name="Normal 9" xfId="55" xr:uid="{BD4FE19E-A5B8-4557-9FBD-56D081D372BE}"/>
    <cellStyle name="Procent" xfId="1" builtinId="5"/>
    <cellStyle name="Procent 2" xfId="24" xr:uid="{00000000-0005-0000-0000-00002C000000}"/>
    <cellStyle name="Procent 2 2" xfId="25" xr:uid="{00000000-0005-0000-0000-00002D000000}"/>
    <cellStyle name="Procent 2 3" xfId="51" xr:uid="{00000000-0005-0000-0000-00002E000000}"/>
    <cellStyle name="Procent 3" xfId="26" xr:uid="{00000000-0005-0000-0000-00002F000000}"/>
    <cellStyle name="Procent 4" xfId="27" xr:uid="{00000000-0005-0000-0000-000030000000}"/>
    <cellStyle name="Procent 4 2" xfId="52" xr:uid="{00000000-0005-0000-0000-000031000000}"/>
    <cellStyle name="Procent 5" xfId="28" xr:uid="{00000000-0005-0000-0000-000032000000}"/>
    <cellStyle name="Procent 5 2" xfId="53" xr:uid="{00000000-0005-0000-0000-000033000000}"/>
    <cellStyle name="Procent 6" xfId="68" xr:uid="{4756C003-0380-4FC5-9311-2715897BF34D}"/>
    <cellStyle name="Prosenttia 2" xfId="71" xr:uid="{C7BAC0F3-60BF-44B1-B2EF-1A9D7CEF1382}"/>
    <cellStyle name="Rubrik" xfId="72" builtinId="15"/>
    <cellStyle name="Rubrik 3 2" xfId="29" xr:uid="{00000000-0005-0000-0000-000034000000}"/>
    <cellStyle name="Rubrik 4" xfId="73" builtinId="19"/>
    <cellStyle name="Summa" xfId="35" builtinId="25"/>
    <cellStyle name="Tusental" xfId="32" builtinId="3"/>
    <cellStyle name="Tusental 2" xfId="30" xr:uid="{00000000-0005-0000-0000-000037000000}"/>
    <cellStyle name="Tusental 3" xfId="31" xr:uid="{00000000-0005-0000-0000-000038000000}"/>
    <cellStyle name="Tusental 4" xfId="67" xr:uid="{D275489E-B515-4ADD-A3B8-B25CCF2FC003}"/>
  </cellStyles>
  <dxfs count="8">
    <dxf>
      <font>
        <color rgb="FF006100"/>
      </font>
      <fill>
        <patternFill>
          <bgColor rgb="FFC6EFCE"/>
        </patternFill>
      </fill>
    </dxf>
    <dxf>
      <font>
        <u val="none"/>
      </font>
      <fill>
        <patternFill>
          <bgColor rgb="FFE1EDE1"/>
        </patternFill>
      </fill>
    </dxf>
    <dxf>
      <font>
        <b val="0"/>
        <i val="0"/>
      </font>
      <fill>
        <patternFill>
          <bgColor rgb="FFE1EDE1"/>
        </patternFill>
      </fill>
    </dxf>
    <dxf>
      <font>
        <b/>
        <i val="0"/>
      </font>
    </dxf>
    <dxf>
      <font>
        <b val="0"/>
        <i val="0"/>
      </font>
    </dxf>
    <dxf>
      <font>
        <b/>
        <i val="0"/>
      </font>
      <border>
        <top style="medium">
          <color rgb="FF659B7D"/>
        </top>
        <bottom style="medium">
          <color rgb="FF659B7D"/>
        </bottom>
      </border>
    </dxf>
    <dxf>
      <font>
        <b/>
        <i val="0"/>
      </font>
      <fill>
        <patternFill>
          <bgColor rgb="FFC2D8CC"/>
        </patternFill>
      </fill>
      <border>
        <left/>
        <right/>
        <top style="medium">
          <color rgb="FF659B7D"/>
        </top>
        <bottom style="medium">
          <color rgb="FF659B7D"/>
        </bottom>
      </border>
    </dxf>
    <dxf>
      <font>
        <b val="0"/>
        <i val="0"/>
      </font>
      <border>
        <left/>
        <right/>
        <top style="medium">
          <color rgb="FF659B7D"/>
        </top>
        <bottom style="medium">
          <color rgb="FF659B7D"/>
        </bottom>
      </border>
    </dxf>
  </dxfs>
  <tableStyles count="2" defaultTableStyle="TableStyleMedium2" defaultPivotStyle="PivotStyleLight16">
    <tableStyle name="PivotTable Style 1" table="0" count="6"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
    <tableStyle name="Vesa" table="0" count="1" xr9:uid="{00000000-0011-0000-FFFF-FFFF01000000}">
      <tableStyleElement type="wholeTable" dxfId="1"/>
    </tableStyle>
  </tableStyles>
  <colors>
    <mruColors>
      <color rgb="FFD3E3E5"/>
      <color rgb="FF456E73"/>
      <color rgb="FF273E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Landskapsandelar 2021</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FI"/>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D6C1-426B-B0B4-10A88C9DDD2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6C1-426B-B0B4-10A88C9DDD2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6C1-426B-B0B4-10A88C9DDD2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D6C1-426B-B0B4-10A88C9DDD2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D6C1-426B-B0B4-10A88C9DDD2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ADA3-4E25-A9BB-E4233C07E4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v-FI"/>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Statistik!$A$5:$A$10</c:f>
              <c:strCache>
                <c:ptCount val="6"/>
                <c:pt idx="0">
                  <c:v>Skattekomplettering</c:v>
                </c:pt>
                <c:pt idx="1">
                  <c:v>Bildningssektorn (grk+barnomsorg+str+spcfr)</c:v>
                </c:pt>
                <c:pt idx="2">
                  <c:v>Socialvård (äldreomsorg+kst)</c:v>
                </c:pt>
                <c:pt idx="3">
                  <c:v>Kultur+Medis+Extra medis</c:v>
                </c:pt>
                <c:pt idx="4">
                  <c:v>Grundvux + förberedande</c:v>
                </c:pt>
                <c:pt idx="5">
                  <c:v>Stödundervisnign i svenska</c:v>
                </c:pt>
              </c:strCache>
            </c:strRef>
          </c:cat>
          <c:val>
            <c:numRef>
              <c:f>Statistik!$B$5:$B$10</c:f>
              <c:numCache>
                <c:formatCode>#,##0</c:formatCode>
                <c:ptCount val="6"/>
                <c:pt idx="0">
                  <c:v>15265468.129999997</c:v>
                </c:pt>
                <c:pt idx="1">
                  <c:v>11347760.928780001</c:v>
                </c:pt>
                <c:pt idx="2">
                  <c:v>8868861.8599999994</c:v>
                </c:pt>
                <c:pt idx="3">
                  <c:v>667825.38</c:v>
                </c:pt>
                <c:pt idx="4">
                  <c:v>267000</c:v>
                </c:pt>
                <c:pt idx="5">
                  <c:v>407810.48</c:v>
                </c:pt>
              </c:numCache>
            </c:numRef>
          </c:val>
          <c:extLst>
            <c:ext xmlns:c16="http://schemas.microsoft.com/office/drawing/2014/chart" uri="{C3380CC4-5D6E-409C-BE32-E72D297353CC}">
              <c16:uniqueId val="{00000000-A961-4CFA-8FD5-171C65B7709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Landskapsandelar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FI"/>
        </a:p>
      </c:txPr>
    </c:title>
    <c:autoTitleDeleted val="0"/>
    <c:plotArea>
      <c:layout/>
      <c:pieChart>
        <c:varyColors val="1"/>
        <c:ser>
          <c:idx val="0"/>
          <c:order val="0"/>
          <c:tx>
            <c:strRef>
              <c:f>Statistik!$C$4</c:f>
              <c:strCache>
                <c:ptCount val="1"/>
                <c:pt idx="0">
                  <c:v>2023</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F86F-4FF5-A54B-F6D210B9DA0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F86F-4FF5-A54B-F6D210B9DA0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F86F-4FF5-A54B-F6D210B9DA0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F86F-4FF5-A54B-F6D210B9DA01}"/>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F86F-4FF5-A54B-F6D210B9DA01}"/>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F86F-4FF5-A54B-F6D210B9DA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v-FI"/>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Statistik!$A$5:$A$8</c:f>
              <c:strCache>
                <c:ptCount val="4"/>
                <c:pt idx="0">
                  <c:v>Skattekomplettering</c:v>
                </c:pt>
                <c:pt idx="1">
                  <c:v>Bildningssektorn (grk+barnomsorg+str+spcfr)</c:v>
                </c:pt>
                <c:pt idx="2">
                  <c:v>Socialvård (äldreomsorg+kst)</c:v>
                </c:pt>
                <c:pt idx="3">
                  <c:v>Kultur+Medis+Extra medis</c:v>
                </c:pt>
              </c:strCache>
            </c:strRef>
          </c:cat>
          <c:val>
            <c:numRef>
              <c:f>Statistik!$C$5:$C$8</c:f>
              <c:numCache>
                <c:formatCode>#,##0</c:formatCode>
                <c:ptCount val="4"/>
                <c:pt idx="0">
                  <c:v>15730465.460000001</c:v>
                </c:pt>
                <c:pt idx="1">
                  <c:v>13443716.200299999</c:v>
                </c:pt>
                <c:pt idx="2">
                  <c:v>9185869.6400000006</c:v>
                </c:pt>
                <c:pt idx="3">
                  <c:v>597125.78</c:v>
                </c:pt>
              </c:numCache>
            </c:numRef>
          </c:val>
          <c:extLst>
            <c:ext xmlns:c16="http://schemas.microsoft.com/office/drawing/2014/chart" uri="{C3380CC4-5D6E-409C-BE32-E72D297353CC}">
              <c16:uniqueId val="{0000000C-F86F-4FF5-A54B-F6D210B9DA01}"/>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Kompletteringstal 2023 (medel 17-21)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lineChart>
        <c:grouping val="standard"/>
        <c:varyColors val="0"/>
        <c:ser>
          <c:idx val="0"/>
          <c:order val="0"/>
          <c:tx>
            <c:strRef>
              <c:f>'Skattekompl data'!$L$92</c:f>
              <c:strCache>
                <c:ptCount val="1"/>
                <c:pt idx="0">
                  <c:v>2023</c:v>
                </c:pt>
              </c:strCache>
            </c:strRef>
          </c:tx>
          <c:spPr>
            <a:ln w="28575" cap="rnd">
              <a:solidFill>
                <a:schemeClr val="accent1"/>
              </a:solidFill>
              <a:round/>
            </a:ln>
            <a:effectLst/>
          </c:spPr>
          <c:marker>
            <c:symbol val="none"/>
          </c:marker>
          <c:dLbls>
            <c:dLbl>
              <c:idx val="1"/>
              <c:layout>
                <c:manualLayout>
                  <c:x val="1.3888888888888888E-2"/>
                  <c:y val="5.2670365183325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E-4E03-ABF6-5CEDA654282C}"/>
                </c:ext>
              </c:extLst>
            </c:dLbl>
            <c:dLbl>
              <c:idx val="2"/>
              <c:layout>
                <c:manualLayout>
                  <c:x val="-2.2222222222222272E-2"/>
                  <c:y val="-4.8618798630761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6E-4E03-ABF6-5CEDA654282C}"/>
                </c:ext>
              </c:extLst>
            </c:dLbl>
            <c:dLbl>
              <c:idx val="3"/>
              <c:layout>
                <c:manualLayout>
                  <c:x val="5.5555555555555558E-3"/>
                  <c:y val="6.4825064841015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E-4E03-ABF6-5CEDA654282C}"/>
                </c:ext>
              </c:extLst>
            </c:dLbl>
            <c:dLbl>
              <c:idx val="4"/>
              <c:layout>
                <c:manualLayout>
                  <c:x val="-4.7222222222222276E-2"/>
                  <c:y val="-8.913446415639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6E-4E03-ABF6-5CEDA654282C}"/>
                </c:ext>
              </c:extLst>
            </c:dLbl>
            <c:dLbl>
              <c:idx val="5"/>
              <c:layout>
                <c:manualLayout>
                  <c:x val="-2.7777777777777828E-2"/>
                  <c:y val="-0.12154699657690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E-4E03-ABF6-5CEDA654282C}"/>
                </c:ext>
              </c:extLst>
            </c:dLbl>
            <c:dLbl>
              <c:idx val="6"/>
              <c:layout>
                <c:manualLayout>
                  <c:x val="-5.5555555555555558E-3"/>
                  <c:y val="8.913446415639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E-4E03-ABF6-5CEDA654282C}"/>
                </c:ext>
              </c:extLst>
            </c:dLbl>
            <c:dLbl>
              <c:idx val="7"/>
              <c:layout>
                <c:manualLayout>
                  <c:x val="3.888888888888889E-2"/>
                  <c:y val="9.3186030708960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E-4E03-ABF6-5CEDA654282C}"/>
                </c:ext>
              </c:extLst>
            </c:dLbl>
            <c:dLbl>
              <c:idx val="8"/>
              <c:layout>
                <c:manualLayout>
                  <c:x val="-6.6666666666666763E-2"/>
                  <c:y val="-7.2928197946142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E-4E03-ABF6-5CEDA654282C}"/>
                </c:ext>
              </c:extLst>
            </c:dLbl>
            <c:dLbl>
              <c:idx val="9"/>
              <c:layout>
                <c:manualLayout>
                  <c:x val="1.6666666666666666E-2"/>
                  <c:y val="6.8876631393579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E-4E03-ABF6-5CEDA654282C}"/>
                </c:ext>
              </c:extLst>
            </c:dLbl>
            <c:dLbl>
              <c:idx val="10"/>
              <c:layout>
                <c:manualLayout>
                  <c:x val="-5.8333333333333334E-2"/>
                  <c:y val="-8.50828976038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6E-4E03-ABF6-5CEDA654282C}"/>
                </c:ext>
              </c:extLst>
            </c:dLbl>
            <c:dLbl>
              <c:idx val="11"/>
              <c:layout>
                <c:manualLayout>
                  <c:x val="2.7777777777777776E-2"/>
                  <c:y val="7.29281979461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E-4E03-ABF6-5CEDA654282C}"/>
                </c:ext>
              </c:extLst>
            </c:dLbl>
            <c:dLbl>
              <c:idx val="12"/>
              <c:layout>
                <c:manualLayout>
                  <c:x val="-8.8888888888888892E-2"/>
                  <c:y val="-8.50828976038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6E-4E03-ABF6-5CEDA654282C}"/>
                </c:ext>
              </c:extLst>
            </c:dLbl>
            <c:dLbl>
              <c:idx val="13"/>
              <c:layout>
                <c:manualLayout>
                  <c:x val="2.7777777777777779E-3"/>
                  <c:y val="4.861879863076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E-4E03-ABF6-5CEDA654282C}"/>
                </c:ext>
              </c:extLst>
            </c:dLbl>
            <c:dLbl>
              <c:idx val="14"/>
              <c:layout>
                <c:manualLayout>
                  <c:x val="5.5555555555554534E-3"/>
                  <c:y val="3.6464098973071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E-4E03-ABF6-5CEDA654282C}"/>
                </c:ext>
              </c:extLst>
            </c:dLbl>
            <c:dLbl>
              <c:idx val="15"/>
              <c:layout>
                <c:manualLayout>
                  <c:x val="-2.7777777777777776E-2"/>
                  <c:y val="-8.5082897603833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E-4E03-ABF6-5CEDA65428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'Skattekompl data'!$K$93:$K$108</c:f>
              <c:strCache>
                <c:ptCount val="16"/>
                <c:pt idx="0">
                  <c:v>Geta</c:v>
                </c:pt>
                <c:pt idx="1">
                  <c:v>Vårdö</c:v>
                </c:pt>
                <c:pt idx="2">
                  <c:v>Hammarland</c:v>
                </c:pt>
                <c:pt idx="3">
                  <c:v>Kökar</c:v>
                </c:pt>
                <c:pt idx="4">
                  <c:v>Eckerö</c:v>
                </c:pt>
                <c:pt idx="5">
                  <c:v>Sund</c:v>
                </c:pt>
                <c:pt idx="6">
                  <c:v>Finström</c:v>
                </c:pt>
                <c:pt idx="7">
                  <c:v>Föglö</c:v>
                </c:pt>
                <c:pt idx="8">
                  <c:v>Kumlinge</c:v>
                </c:pt>
                <c:pt idx="9">
                  <c:v>Lemland</c:v>
                </c:pt>
                <c:pt idx="10">
                  <c:v>Lumparland</c:v>
                </c:pt>
                <c:pt idx="11">
                  <c:v>Saltvik</c:v>
                </c:pt>
                <c:pt idx="12">
                  <c:v>Sottunga</c:v>
                </c:pt>
                <c:pt idx="13">
                  <c:v>Jomala</c:v>
                </c:pt>
                <c:pt idx="14">
                  <c:v>Brändö</c:v>
                </c:pt>
                <c:pt idx="15">
                  <c:v>Mariehamn</c:v>
                </c:pt>
              </c:strCache>
            </c:strRef>
          </c:cat>
          <c:val>
            <c:numRef>
              <c:f>'Skattekompl data'!$L$93:$L$108</c:f>
              <c:numCache>
                <c:formatCode>#,##0</c:formatCode>
                <c:ptCount val="16"/>
                <c:pt idx="0">
                  <c:v>12256.416267676457</c:v>
                </c:pt>
                <c:pt idx="1">
                  <c:v>15297.901948113455</c:v>
                </c:pt>
                <c:pt idx="2">
                  <c:v>15878.409694322472</c:v>
                </c:pt>
                <c:pt idx="3">
                  <c:v>15944.897865056875</c:v>
                </c:pt>
                <c:pt idx="4">
                  <c:v>16503.325401201073</c:v>
                </c:pt>
                <c:pt idx="5">
                  <c:v>17186.764346143718</c:v>
                </c:pt>
                <c:pt idx="6">
                  <c:v>17857.602327230456</c:v>
                </c:pt>
                <c:pt idx="7">
                  <c:v>18153.664039674364</c:v>
                </c:pt>
                <c:pt idx="8">
                  <c:v>18367.408165863329</c:v>
                </c:pt>
                <c:pt idx="9">
                  <c:v>18847.724975599056</c:v>
                </c:pt>
                <c:pt idx="10">
                  <c:v>18862.767624580465</c:v>
                </c:pt>
                <c:pt idx="11">
                  <c:v>19671.406826448521</c:v>
                </c:pt>
                <c:pt idx="12">
                  <c:v>20547.567482063612</c:v>
                </c:pt>
                <c:pt idx="13">
                  <c:v>21083.806757610779</c:v>
                </c:pt>
                <c:pt idx="14">
                  <c:v>22980.431421219248</c:v>
                </c:pt>
                <c:pt idx="15">
                  <c:v>23981.795680426447</c:v>
                </c:pt>
              </c:numCache>
            </c:numRef>
          </c:val>
          <c:smooth val="0"/>
          <c:extLst>
            <c:ext xmlns:c16="http://schemas.microsoft.com/office/drawing/2014/chart" uri="{C3380CC4-5D6E-409C-BE32-E72D297353CC}">
              <c16:uniqueId val="{00000000-F26E-4E03-ABF6-5CEDA654282C}"/>
            </c:ext>
          </c:extLst>
        </c:ser>
        <c:dLbls>
          <c:showLegendKey val="0"/>
          <c:showVal val="0"/>
          <c:showCatName val="0"/>
          <c:showSerName val="0"/>
          <c:showPercent val="0"/>
          <c:showBubbleSize val="0"/>
        </c:dLbls>
        <c:smooth val="0"/>
        <c:axId val="525397440"/>
        <c:axId val="525392520"/>
      </c:lineChart>
      <c:catAx>
        <c:axId val="52539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25392520"/>
        <c:crosses val="autoZero"/>
        <c:auto val="1"/>
        <c:lblAlgn val="ctr"/>
        <c:lblOffset val="100"/>
        <c:noMultiLvlLbl val="0"/>
      </c:catAx>
      <c:valAx>
        <c:axId val="525392520"/>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52539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tmp"/><Relationship Id="rId7" Type="http://schemas.openxmlformats.org/officeDocument/2006/relationships/image" Target="../media/image7.png"/><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tmp"/><Relationship Id="rId4" Type="http://schemas.openxmlformats.org/officeDocument/2006/relationships/image" Target="../media/image4.emf"/><Relationship Id="rId9" Type="http://schemas.openxmlformats.org/officeDocument/2006/relationships/image" Target="../media/image9.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12</xdr:col>
      <xdr:colOff>148590</xdr:colOff>
      <xdr:row>40</xdr:row>
      <xdr:rowOff>87630</xdr:rowOff>
    </xdr:from>
    <xdr:to>
      <xdr:col>21</xdr:col>
      <xdr:colOff>207645</xdr:colOff>
      <xdr:row>55</xdr:row>
      <xdr:rowOff>38100</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7692390" y="4773930"/>
          <a:ext cx="4145280" cy="2988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FI" sz="1100">
              <a:solidFill>
                <a:schemeClr val="dk1"/>
              </a:solidFill>
              <a:effectLst/>
              <a:latin typeface="+mn-lt"/>
              <a:ea typeface="+mn-ea"/>
              <a:cs typeface="+mn-cs"/>
            </a:rPr>
            <a:t>OBS i den slutliga fördelningen av förskottet per</a:t>
          </a:r>
          <a:r>
            <a:rPr lang="sv-FI" sz="1100" baseline="0">
              <a:solidFill>
                <a:schemeClr val="dk1"/>
              </a:solidFill>
              <a:effectLst/>
              <a:latin typeface="+mn-lt"/>
              <a:ea typeface="+mn-ea"/>
              <a:cs typeface="+mn-cs"/>
            </a:rPr>
            <a:t> kommun ska</a:t>
          </a:r>
          <a:r>
            <a:rPr lang="sv-FI" sz="1100">
              <a:solidFill>
                <a:schemeClr val="dk1"/>
              </a:solidFill>
              <a:effectLst/>
              <a:latin typeface="+mn-lt"/>
              <a:ea typeface="+mn-ea"/>
              <a:cs typeface="+mn-cs"/>
            </a:rPr>
            <a:t> senaste</a:t>
          </a:r>
          <a:r>
            <a:rPr lang="sv-FI" sz="1100" baseline="0">
              <a:solidFill>
                <a:schemeClr val="dk1"/>
              </a:solidFill>
              <a:effectLst/>
              <a:latin typeface="+mn-lt"/>
              <a:ea typeface="+mn-ea"/>
              <a:cs typeface="+mn-cs"/>
            </a:rPr>
            <a:t> kända </a:t>
          </a:r>
          <a:r>
            <a:rPr lang="sv-FI" sz="1100">
              <a:solidFill>
                <a:schemeClr val="dk1"/>
              </a:solidFill>
              <a:effectLst/>
              <a:latin typeface="+mn-lt"/>
              <a:ea typeface="+mn-ea"/>
              <a:cs typeface="+mn-cs"/>
            </a:rPr>
            <a:t>statistikuppgifter (torde bli 2021 års beskattning</a:t>
          </a:r>
          <a:r>
            <a:rPr lang="sv-FI" sz="1100" baseline="0">
              <a:solidFill>
                <a:schemeClr val="dk1"/>
              </a:solidFill>
              <a:effectLst/>
              <a:latin typeface="+mn-lt"/>
              <a:ea typeface="+mn-ea"/>
              <a:cs typeface="+mn-cs"/>
            </a:rPr>
            <a:t>) beaktas samt senaste inkomstskattesats (för år 2023).</a:t>
          </a:r>
          <a:endParaRPr lang="sv-FI">
            <a:effectLst/>
          </a:endParaRPr>
        </a:p>
        <a:p>
          <a:endParaRPr lang="sv-FI" sz="1100" baseline="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När beskattningen för år 2023 är slutförd kan det slutliga kompensationsbeloppet om 70 % av inkomstborfall till följd av grundavdraget beräknas och en avräkning görs i förhållande till det belopp som fördelats ut som förskott under år 2023.</a:t>
          </a:r>
          <a:endParaRPr lang="sv-FI">
            <a:effectLst/>
          </a:endParaRPr>
        </a:p>
        <a:p>
          <a:endParaRPr lang="sv-FI" sz="1100"/>
        </a:p>
        <a:p>
          <a:pPr marL="0" marR="0" lvl="0" indent="0" defTabSz="914400" eaLnBrk="1" fontAlgn="auto" latinLnBrk="0" hangingPunct="1">
            <a:lnSpc>
              <a:spcPct val="100000"/>
            </a:lnSpc>
            <a:spcBef>
              <a:spcPts val="0"/>
            </a:spcBef>
            <a:spcAft>
              <a:spcPts val="0"/>
            </a:spcAft>
            <a:buClrTx/>
            <a:buSzTx/>
            <a:buFontTx/>
            <a:buNone/>
            <a:tabLst/>
            <a:defRPr/>
          </a:pPr>
          <a:r>
            <a:rPr lang="sv-FI" sz="1100" baseline="0">
              <a:solidFill>
                <a:schemeClr val="dk1"/>
              </a:solidFill>
              <a:effectLst/>
              <a:latin typeface="+mn-lt"/>
              <a:ea typeface="+mn-ea"/>
              <a:cs typeface="+mn-cs"/>
            </a:rPr>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a:effectLst/>
          </a:endParaRPr>
        </a:p>
        <a:p>
          <a:endParaRPr lang="sv-FI" sz="1100"/>
        </a:p>
      </xdr:txBody>
    </xdr:sp>
    <xdr:clientData/>
  </xdr:twoCellAnchor>
  <xdr:twoCellAnchor>
    <xdr:from>
      <xdr:col>13</xdr:col>
      <xdr:colOff>0</xdr:colOff>
      <xdr:row>80</xdr:row>
      <xdr:rowOff>137158</xdr:rowOff>
    </xdr:from>
    <xdr:to>
      <xdr:col>20</xdr:col>
      <xdr:colOff>571500</xdr:colOff>
      <xdr:row>97</xdr:row>
      <xdr:rowOff>104775</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10506075" y="4423408"/>
          <a:ext cx="4067175" cy="360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t>OBS i den slutliga fördelningen av förskottet per</a:t>
          </a:r>
          <a:r>
            <a:rPr lang="sv-FI" sz="1100" baseline="0"/>
            <a:t> kommun ska</a:t>
          </a:r>
          <a:r>
            <a:rPr lang="sv-FI" sz="1100"/>
            <a:t> senaste statistikuppgifter (torde bli 2021 års beskattning</a:t>
          </a:r>
          <a:r>
            <a:rPr lang="sv-FI" sz="1100" baseline="0"/>
            <a:t>) beaktas samt senaste inkomstskattesats (för år 2023).</a:t>
          </a:r>
        </a:p>
        <a:p>
          <a:endParaRPr lang="sv-FI" sz="1100" baseline="0"/>
        </a:p>
        <a:p>
          <a:r>
            <a:rPr lang="sv-FI" sz="1100" baseline="0"/>
            <a:t>I statistiken för år 2020 angavs inte belopp för Kumlinge och Sottunga utan endast .., avdraget samt inkomstbortfallet för dessa kommuner har kalkylerats utgående från 2019 års statistuppgift.</a:t>
          </a:r>
        </a:p>
        <a:p>
          <a:endParaRPr lang="sv-FI" sz="1100" baseline="0"/>
        </a:p>
        <a:p>
          <a:r>
            <a:rPr lang="sv-FI" sz="1100" baseline="0"/>
            <a:t>När beskattningen för år 2023 är slutförd kan det slutliga kompensationsbeloppet om 70 % av inkomstborfall till följd av resekostnadsavdraget beräknas och en avräkning görs i förhållande till det belopp som fördelats ut som förskott under år 2023.</a:t>
          </a:r>
        </a:p>
        <a:p>
          <a:endParaRPr lang="sv-FI" sz="1100" baseline="0"/>
        </a:p>
        <a:p>
          <a:r>
            <a:rPr lang="sv-FI" sz="1100" baseline="0"/>
            <a:t>Avsikten är att förskottet ska betalas ut månatligen. Lagen kommer inte att kunna träda ikraft förrän en bit in på år 2023 p.g.a. lagstiftningskontrollen. För de månader som har gått före ikraftträdandet betalas förskottet på kompensationen tillsammans med den första betalningen (senast maj, förutsatt att lagtinget fattar beslut om lagen i december 2022).</a:t>
          </a:r>
          <a:endParaRPr lang="sv-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28</xdr:row>
      <xdr:rowOff>185737</xdr:rowOff>
    </xdr:from>
    <xdr:to>
      <xdr:col>3</xdr:col>
      <xdr:colOff>114300</xdr:colOff>
      <xdr:row>43</xdr:row>
      <xdr:rowOff>71437</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0</xdr:rowOff>
    </xdr:from>
    <xdr:to>
      <xdr:col>10</xdr:col>
      <xdr:colOff>342900</xdr:colOff>
      <xdr:row>43</xdr:row>
      <xdr:rowOff>76200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xdr:colOff>
      <xdr:row>142</xdr:row>
      <xdr:rowOff>45720</xdr:rowOff>
    </xdr:from>
    <xdr:to>
      <xdr:col>5</xdr:col>
      <xdr:colOff>619125</xdr:colOff>
      <xdr:row>144</xdr:row>
      <xdr:rowOff>121920</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7619" y="27763470"/>
          <a:ext cx="5402581" cy="4572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a:t>23 § Justering av uppräkningsfaktorn</a:t>
          </a:r>
        </a:p>
        <a:p>
          <a:r>
            <a:rPr lang="sv-FI"/>
            <a:t>Kompletteringsandelen</a:t>
          </a:r>
          <a:r>
            <a:rPr lang="sv-FI" baseline="0"/>
            <a:t> ska vara </a:t>
          </a:r>
          <a:r>
            <a:rPr lang="sv-FI" baseline="0">
              <a:solidFill>
                <a:sysClr val="windowText" lastClr="000000"/>
              </a:solidFill>
            </a:rPr>
            <a:t>33-50 %. A</a:t>
          </a:r>
          <a:r>
            <a:rPr lang="sv-FI" sz="1100">
              <a:solidFill>
                <a:schemeClr val="dk1"/>
              </a:solidFill>
              <a:effectLst/>
              <a:latin typeface="+mn-lt"/>
              <a:ea typeface="+mn-ea"/>
              <a:cs typeface="+mn-cs"/>
            </a:rPr>
            <a:t>lla</a:t>
          </a:r>
          <a:r>
            <a:rPr lang="sv-FI" sz="1100" baseline="0">
              <a:solidFill>
                <a:schemeClr val="dk1"/>
              </a:solidFill>
              <a:effectLst/>
              <a:latin typeface="+mn-lt"/>
              <a:ea typeface="+mn-ea"/>
              <a:cs typeface="+mn-cs"/>
            </a:rPr>
            <a:t> kommuner kan inte få skattekomplettering. </a:t>
          </a:r>
          <a:endParaRPr lang="sv-FI">
            <a:solidFill>
              <a:sysClr val="windowText" lastClr="000000"/>
            </a:solidFill>
          </a:endParaRPr>
        </a:p>
      </xdr:txBody>
    </xdr:sp>
    <xdr:clientData/>
  </xdr:twoCellAnchor>
  <xdr:twoCellAnchor>
    <xdr:from>
      <xdr:col>12</xdr:col>
      <xdr:colOff>38965</xdr:colOff>
      <xdr:row>91</xdr:row>
      <xdr:rowOff>69274</xdr:rowOff>
    </xdr:from>
    <xdr:to>
      <xdr:col>17</xdr:col>
      <xdr:colOff>627783</xdr:colOff>
      <xdr:row>107</xdr:row>
      <xdr:rowOff>155864</xdr:rowOff>
    </xdr:to>
    <xdr:grpSp>
      <xdr:nvGrpSpPr>
        <xdr:cNvPr id="10" name="Grupp 9">
          <a:extLst>
            <a:ext uri="{FF2B5EF4-FFF2-40B4-BE49-F238E27FC236}">
              <a16:creationId xmlns:a16="http://schemas.microsoft.com/office/drawing/2014/main" id="{00000000-0008-0000-0900-00000A000000}"/>
            </a:ext>
          </a:extLst>
        </xdr:cNvPr>
        <xdr:cNvGrpSpPr/>
      </xdr:nvGrpSpPr>
      <xdr:grpSpPr>
        <a:xfrm>
          <a:off x="10828192" y="17537547"/>
          <a:ext cx="4410364" cy="3042226"/>
          <a:chOff x="11252488" y="17898342"/>
          <a:chExt cx="4572000" cy="3134590"/>
        </a:xfrm>
      </xdr:grpSpPr>
      <xdr:graphicFrame macro="">
        <xdr:nvGraphicFramePr>
          <xdr:cNvPr id="3" name="Diagram 2">
            <a:extLst>
              <a:ext uri="{FF2B5EF4-FFF2-40B4-BE49-F238E27FC236}">
                <a16:creationId xmlns:a16="http://schemas.microsoft.com/office/drawing/2014/main" id="{00000000-0008-0000-0900-000003000000}"/>
              </a:ext>
            </a:extLst>
          </xdr:cNvPr>
          <xdr:cNvGraphicFramePr/>
        </xdr:nvGraphicFramePr>
        <xdr:xfrm>
          <a:off x="11252488" y="17898342"/>
          <a:ext cx="4572000" cy="313459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Rak koppling 4">
            <a:extLst>
              <a:ext uri="{FF2B5EF4-FFF2-40B4-BE49-F238E27FC236}">
                <a16:creationId xmlns:a16="http://schemas.microsoft.com/office/drawing/2014/main" id="{00000000-0008-0000-0900-000005000000}"/>
              </a:ext>
            </a:extLst>
          </xdr:cNvPr>
          <xdr:cNvCxnSpPr/>
        </xdr:nvCxnSpPr>
        <xdr:spPr>
          <a:xfrm flipV="1">
            <a:off x="11724409" y="18660341"/>
            <a:ext cx="3939887" cy="17318"/>
          </a:xfrm>
          <a:prstGeom prst="line">
            <a:avLst/>
          </a:prstGeom>
          <a:ln w="50800">
            <a:solidFill>
              <a:srgbClr val="00B05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139</xdr:row>
      <xdr:rowOff>188258</xdr:rowOff>
    </xdr:from>
    <xdr:to>
      <xdr:col>9</xdr:col>
      <xdr:colOff>43536</xdr:colOff>
      <xdr:row>159</xdr:row>
      <xdr:rowOff>2074</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471905"/>
          <a:ext cx="7629918" cy="3623816"/>
        </a:xfrm>
        <a:prstGeom prst="rect">
          <a:avLst/>
        </a:prstGeom>
      </xdr:spPr>
    </xdr:pic>
    <xdr:clientData/>
  </xdr:twoCellAnchor>
  <xdr:twoCellAnchor editAs="oneCell">
    <xdr:from>
      <xdr:col>0</xdr:col>
      <xdr:colOff>0</xdr:colOff>
      <xdr:row>159</xdr:row>
      <xdr:rowOff>141755</xdr:rowOff>
    </xdr:from>
    <xdr:to>
      <xdr:col>16</xdr:col>
      <xdr:colOff>77229</xdr:colOff>
      <xdr:row>186</xdr:row>
      <xdr:rowOff>8468</xdr:rowOff>
    </xdr:to>
    <xdr:pic>
      <xdr:nvPicPr>
        <xdr:cNvPr id="6" name="Bildobjekt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2179373"/>
          <a:ext cx="12453379" cy="5016563"/>
        </a:xfrm>
        <a:prstGeom prst="rect">
          <a:avLst/>
        </a:prstGeom>
      </xdr:spPr>
    </xdr:pic>
    <xdr:clientData/>
  </xdr:twoCellAnchor>
  <xdr:twoCellAnchor editAs="oneCell">
    <xdr:from>
      <xdr:col>0</xdr:col>
      <xdr:colOff>302559</xdr:colOff>
      <xdr:row>185</xdr:row>
      <xdr:rowOff>44824</xdr:rowOff>
    </xdr:from>
    <xdr:to>
      <xdr:col>15</xdr:col>
      <xdr:colOff>499081</xdr:colOff>
      <xdr:row>200</xdr:row>
      <xdr:rowOff>7118</xdr:rowOff>
    </xdr:to>
    <xdr:pic>
      <xdr:nvPicPr>
        <xdr:cNvPr id="8" name="Bildobjekt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2559" y="37035442"/>
          <a:ext cx="11850640" cy="2819794"/>
        </a:xfrm>
        <a:prstGeom prst="rect">
          <a:avLst/>
        </a:prstGeom>
      </xdr:spPr>
    </xdr:pic>
    <xdr:clientData/>
  </xdr:twoCellAnchor>
  <xdr:twoCellAnchor editAs="oneCell">
    <xdr:from>
      <xdr:col>16</xdr:col>
      <xdr:colOff>421342</xdr:colOff>
      <xdr:row>161</xdr:row>
      <xdr:rowOff>161511</xdr:rowOff>
    </xdr:from>
    <xdr:to>
      <xdr:col>28</xdr:col>
      <xdr:colOff>677508</xdr:colOff>
      <xdr:row>191</xdr:row>
      <xdr:rowOff>45196</xdr:rowOff>
    </xdr:to>
    <xdr:pic>
      <xdr:nvPicPr>
        <xdr:cNvPr id="9" name="Bildobjekt 8">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90077" y="32580129"/>
          <a:ext cx="8369225" cy="560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42583</xdr:colOff>
      <xdr:row>188</xdr:row>
      <xdr:rowOff>159765</xdr:rowOff>
    </xdr:from>
    <xdr:to>
      <xdr:col>30</xdr:col>
      <xdr:colOff>334085</xdr:colOff>
      <xdr:row>207</xdr:row>
      <xdr:rowOff>45867</xdr:rowOff>
    </xdr:to>
    <xdr:pic>
      <xdr:nvPicPr>
        <xdr:cNvPr id="10" name="Bildobjekt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39701" y="37721883"/>
          <a:ext cx="9424296" cy="3511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168088</xdr:colOff>
      <xdr:row>137</xdr:row>
      <xdr:rowOff>134470</xdr:rowOff>
    </xdr:from>
    <xdr:to>
      <xdr:col>30</xdr:col>
      <xdr:colOff>685240</xdr:colOff>
      <xdr:row>160</xdr:row>
      <xdr:rowOff>1120</xdr:rowOff>
    </xdr:to>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63970" y="28037117"/>
          <a:ext cx="15364946" cy="424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238125</xdr:colOff>
      <xdr:row>115</xdr:row>
      <xdr:rowOff>180975</xdr:rowOff>
    </xdr:from>
    <xdr:to>
      <xdr:col>25</xdr:col>
      <xdr:colOff>666750</xdr:colOff>
      <xdr:row>134</xdr:row>
      <xdr:rowOff>171450</xdr:rowOff>
    </xdr:to>
    <xdr:pic>
      <xdr:nvPicPr>
        <xdr:cNvPr id="11" name="Bildobjekt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344650" y="24183975"/>
          <a:ext cx="5143500"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66675</xdr:colOff>
      <xdr:row>122</xdr:row>
      <xdr:rowOff>142875</xdr:rowOff>
    </xdr:from>
    <xdr:to>
      <xdr:col>19</xdr:col>
      <xdr:colOff>28575</xdr:colOff>
      <xdr:row>135</xdr:row>
      <xdr:rowOff>152400</xdr:rowOff>
    </xdr:to>
    <xdr:pic>
      <xdr:nvPicPr>
        <xdr:cNvPr id="12" name="Bildobjekt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58100" y="25012650"/>
          <a:ext cx="647700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323850</xdr:colOff>
      <xdr:row>114</xdr:row>
      <xdr:rowOff>104775</xdr:rowOff>
    </xdr:from>
    <xdr:to>
      <xdr:col>18</xdr:col>
      <xdr:colOff>409575</xdr:colOff>
      <xdr:row>124</xdr:row>
      <xdr:rowOff>38100</xdr:rowOff>
    </xdr:to>
    <xdr:pic>
      <xdr:nvPicPr>
        <xdr:cNvPr id="13" name="Bildobjekt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15275" y="23450550"/>
          <a:ext cx="587692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276225</xdr:colOff>
      <xdr:row>124</xdr:row>
      <xdr:rowOff>95250</xdr:rowOff>
    </xdr:from>
    <xdr:to>
      <xdr:col>35</xdr:col>
      <xdr:colOff>153341</xdr:colOff>
      <xdr:row>136</xdr:row>
      <xdr:rowOff>66990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097625" y="25812750"/>
          <a:ext cx="6744641" cy="22577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12</xdr:col>
          <xdr:colOff>336550</xdr:colOff>
          <xdr:row>46</xdr:row>
          <xdr:rowOff>19050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8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10</xdr:col>
          <xdr:colOff>336550</xdr:colOff>
          <xdr:row>49</xdr:row>
          <xdr:rowOff>19050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9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ahosting-my.sharepoint.com/Finans/Lsandelar/&#197;r%202018/Grundskolan_eventuellt_fel/Redog&#246;relse_felaktigt_basbelopp_av_Dreyer_06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Dreyer"/>
      <sheetName val="Våra noteringar"/>
      <sheetName val="BE001"/>
      <sheetName val="Blad2"/>
      <sheetName val="Blad3"/>
    </sheetNames>
    <sheetDataSet>
      <sheetData sheetId="0">
        <row r="31">
          <cell r="D31">
            <v>26246.25</v>
          </cell>
        </row>
        <row r="32">
          <cell r="D32">
            <v>16331</v>
          </cell>
        </row>
        <row r="33">
          <cell r="D33">
            <v>11665</v>
          </cell>
        </row>
        <row r="34">
          <cell r="D34">
            <v>4666</v>
          </cell>
        </row>
        <row r="35">
          <cell r="D35">
            <v>2333</v>
          </cell>
        </row>
        <row r="36">
          <cell r="D36">
            <v>1458.13</v>
          </cell>
        </row>
        <row r="68">
          <cell r="D68">
            <v>40922.381249999999</v>
          </cell>
        </row>
        <row r="69">
          <cell r="D69">
            <v>25462.814999999995</v>
          </cell>
        </row>
        <row r="70">
          <cell r="D70">
            <v>18187.724999999999</v>
          </cell>
        </row>
        <row r="71">
          <cell r="D71">
            <v>7275.09</v>
          </cell>
        </row>
        <row r="72">
          <cell r="D72">
            <v>3637.5450000000001</v>
          </cell>
        </row>
        <row r="73">
          <cell r="D73">
            <v>2273.4656249999998</v>
          </cell>
        </row>
        <row r="106">
          <cell r="D106">
            <v>41249.542192704859</v>
          </cell>
        </row>
        <row r="107">
          <cell r="D107">
            <v>25666.381808794136</v>
          </cell>
        </row>
        <row r="108">
          <cell r="D108">
            <v>18333.129863424383</v>
          </cell>
        </row>
        <row r="109">
          <cell r="D109">
            <v>7333.2519453697532</v>
          </cell>
        </row>
        <row r="110">
          <cell r="D110">
            <v>3666.6259726848766</v>
          </cell>
        </row>
        <row r="111">
          <cell r="D111">
            <v>2291.6412329280479</v>
          </cell>
        </row>
        <row r="139">
          <cell r="D139">
            <v>0.2</v>
          </cell>
        </row>
        <row r="140">
          <cell r="D140">
            <v>0.34</v>
          </cell>
        </row>
        <row r="141">
          <cell r="D141">
            <v>0.39</v>
          </cell>
        </row>
      </sheetData>
      <sheetData sheetId="1"/>
      <sheetData sheetId="2"/>
      <sheetData sheetId="3"/>
      <sheetData sheetId="4"/>
    </sheetDataSet>
  </externalBook>
</externalLink>
</file>

<file path=xl/theme/theme1.xml><?xml version="1.0" encoding="utf-8"?>
<a:theme xmlns:a="http://schemas.openxmlformats.org/drawingml/2006/main" name="Office-tema">
  <a:themeElements>
    <a:clrScheme name="LR - profil">
      <a:dk1>
        <a:srgbClr val="000000"/>
      </a:dk1>
      <a:lt1>
        <a:sysClr val="window" lastClr="FFFFFF"/>
      </a:lt1>
      <a:dk2>
        <a:srgbClr val="9D9D9D"/>
      </a:dk2>
      <a:lt2>
        <a:srgbClr val="DADADA"/>
      </a:lt2>
      <a:accent1>
        <a:srgbClr val="0064AE"/>
      </a:accent1>
      <a:accent2>
        <a:srgbClr val="DB0F16"/>
      </a:accent2>
      <a:accent3>
        <a:srgbClr val="FFD300"/>
      </a:accent3>
      <a:accent4>
        <a:srgbClr val="D78A7B"/>
      </a:accent4>
      <a:accent5>
        <a:srgbClr val="9EC1C6"/>
      </a:accent5>
      <a:accent6>
        <a:srgbClr val="9D9D9D"/>
      </a:accent6>
      <a:hlink>
        <a:srgbClr val="0064AE"/>
      </a:hlink>
      <a:folHlink>
        <a:srgbClr val="D78A7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geringen.ax/sites/www.regeringen.ax/files/attachments/law/afs2021_nr136.pdf" TargetMode="External"/><Relationship Id="rId1" Type="http://schemas.openxmlformats.org/officeDocument/2006/relationships/hyperlink" Target="https://www.lagtinget.ax/dokument/lagforslag-1-2020-2021-4826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eringen.ax/sites/default/files/attachments/page/BF0120222023.pdf" TargetMode="External"/><Relationship Id="rId1" Type="http://schemas.openxmlformats.org/officeDocument/2006/relationships/hyperlink" Target="https://www.regeringen.ax/sites/www.regeringen.ax/files/attachments/law/afs2018_nr28.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lagtinget.ax/dokument/lagforslag-11-2022-2023-53175" TargetMode="External"/><Relationship Id="rId7" Type="http://schemas.openxmlformats.org/officeDocument/2006/relationships/vmlDrawing" Target="../drawings/vmlDrawing1.vml"/><Relationship Id="rId2" Type="http://schemas.openxmlformats.org/officeDocument/2006/relationships/hyperlink" Target="https://www.lagtinget.ax/dokument/lagforslag-7-2020-2021-48562" TargetMode="External"/><Relationship Id="rId1" Type="http://schemas.openxmlformats.org/officeDocument/2006/relationships/hyperlink" Target="https://www.regeringen.ax/sites/www.regeringen.ax/files/attachments/law/afs2020_nr130.pdf" TargetMode="External"/><Relationship Id="rId6" Type="http://schemas.openxmlformats.org/officeDocument/2006/relationships/drawing" Target="../drawings/drawing1.xml"/><Relationship Id="rId5" Type="http://schemas.openxmlformats.org/officeDocument/2006/relationships/hyperlink" Target="https://www.regeringen.ax/sites/default/files/attachments/page/BF0120222023.pdf" TargetMode="External"/><Relationship Id="rId4" Type="http://schemas.openxmlformats.org/officeDocument/2006/relationships/hyperlink" Target="https://www.lagtinget.ax/dokument/lagforslag-52022-2023-5273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veronsaajat.vero.fi/sv-FI/Home/Other" TargetMode="External"/><Relationship Id="rId7" Type="http://schemas.openxmlformats.org/officeDocument/2006/relationships/comments" Target="../comments2.xml"/><Relationship Id="rId2" Type="http://schemas.openxmlformats.org/officeDocument/2006/relationships/hyperlink" Target="https://www.asub.ax/sites/default/files/media/document/OF04_Skattesatser%20f%C3%B6r%20kommunal%20inkomstskatt%201998-2023.xlsx" TargetMode="External"/><Relationship Id="rId1" Type="http://schemas.openxmlformats.org/officeDocument/2006/relationships/hyperlink" Target="https://veronsaajat.vero.fi/sv-FI/Home/Other"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asub.ax/sv/statistik/prisindex-kommunala-basservicen-pa-aland-2022" TargetMode="External"/><Relationship Id="rId2" Type="http://schemas.openxmlformats.org/officeDocument/2006/relationships/hyperlink" Target="https://www.asub.ax/sites/www.asub.ax/files/statistics/prisindex_for_den_kommunala_basservicen_2021.pdf" TargetMode="External"/><Relationship Id="rId1" Type="http://schemas.openxmlformats.org/officeDocument/2006/relationships/hyperlink" Target="https://www.asub.ax/sites/www.asub.ax/files/statistics/prisindex_for_den_kommunala_basservicen_2019.pdf" TargetMode="Externa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asub.ax/sv/statistik/befolkning"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4.bin"/><Relationship Id="rId5" Type="http://schemas.openxmlformats.org/officeDocument/2006/relationships/image" Target="../media/image11.emf"/><Relationship Id="rId4" Type="http://schemas.openxmlformats.org/officeDocument/2006/relationships/oleObject" Target="../embeddings/oleObject1.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25.bin"/><Relationship Id="rId5" Type="http://schemas.openxmlformats.org/officeDocument/2006/relationships/image" Target="../media/image12.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BF7A-A627-4E54-B691-C89BB7120DEF}">
  <sheetPr>
    <tabColor rgb="FFD3E3E5"/>
  </sheetPr>
  <dimension ref="A1:N42"/>
  <sheetViews>
    <sheetView workbookViewId="0">
      <selection activeCell="E33" sqref="E33"/>
    </sheetView>
  </sheetViews>
  <sheetFormatPr defaultColWidth="8.84375" defaultRowHeight="14.5"/>
  <cols>
    <col min="1" max="1" width="11.3046875" style="378" customWidth="1"/>
    <col min="2" max="2" width="1.07421875" style="378" customWidth="1"/>
    <col min="3" max="3" width="13.765625" style="378" bestFit="1" customWidth="1"/>
    <col min="4" max="4" width="1.07421875" style="378" customWidth="1"/>
    <col min="5" max="5" width="71.765625" style="378" customWidth="1"/>
    <col min="6" max="16384" width="8.84375" style="378"/>
  </cols>
  <sheetData>
    <row r="1" spans="1:7" ht="15.5">
      <c r="A1" s="17" t="s">
        <v>200</v>
      </c>
      <c r="B1" s="17"/>
      <c r="C1" s="17"/>
      <c r="D1" s="17"/>
    </row>
    <row r="3" spans="1:7">
      <c r="A3" s="6" t="s">
        <v>198</v>
      </c>
      <c r="B3" s="6"/>
      <c r="C3" s="6" t="s">
        <v>215</v>
      </c>
      <c r="D3" s="6"/>
      <c r="E3" s="6" t="s">
        <v>199</v>
      </c>
      <c r="F3" s="389"/>
      <c r="G3" s="389"/>
    </row>
    <row r="4" spans="1:7">
      <c r="A4" s="377">
        <v>43626</v>
      </c>
      <c r="B4" s="377"/>
      <c r="C4" s="390" t="s">
        <v>88</v>
      </c>
      <c r="D4" s="390"/>
      <c r="E4" s="388" t="s">
        <v>216</v>
      </c>
      <c r="F4" s="394"/>
      <c r="G4" s="395"/>
    </row>
    <row r="5" spans="1:7">
      <c r="C5" s="388" t="s">
        <v>217</v>
      </c>
      <c r="D5" s="388"/>
      <c r="E5" s="388" t="s">
        <v>218</v>
      </c>
      <c r="F5" s="394"/>
      <c r="G5" s="395"/>
    </row>
    <row r="6" spans="1:7">
      <c r="C6" s="388" t="s">
        <v>219</v>
      </c>
      <c r="D6" s="388"/>
      <c r="E6" s="388" t="s">
        <v>220</v>
      </c>
      <c r="F6" s="394"/>
      <c r="G6" s="395"/>
    </row>
    <row r="7" spans="1:7">
      <c r="C7" s="388" t="s">
        <v>221</v>
      </c>
      <c r="D7" s="388"/>
      <c r="E7" s="393" t="s">
        <v>226</v>
      </c>
      <c r="F7" s="394"/>
      <c r="G7" s="394"/>
    </row>
    <row r="8" spans="1:7">
      <c r="A8" s="377">
        <v>43627</v>
      </c>
      <c r="B8" s="377"/>
      <c r="C8" s="388" t="s">
        <v>224</v>
      </c>
      <c r="D8" s="388"/>
      <c r="E8" s="388" t="s">
        <v>225</v>
      </c>
    </row>
    <row r="9" spans="1:7">
      <c r="A9" s="377">
        <v>43628</v>
      </c>
      <c r="B9" s="377"/>
      <c r="C9" s="393" t="s">
        <v>227</v>
      </c>
      <c r="D9" s="393"/>
      <c r="E9" s="393" t="s">
        <v>226</v>
      </c>
    </row>
    <row r="10" spans="1:7">
      <c r="A10" s="377">
        <v>43644</v>
      </c>
      <c r="E10" s="378" t="s">
        <v>235</v>
      </c>
    </row>
    <row r="11" spans="1:7">
      <c r="A11" s="377">
        <v>43647</v>
      </c>
      <c r="B11" s="377"/>
      <c r="C11" s="396" t="s">
        <v>228</v>
      </c>
      <c r="D11" s="396"/>
      <c r="E11" s="396" t="s">
        <v>231</v>
      </c>
    </row>
    <row r="12" spans="1:7">
      <c r="E12" s="396" t="s">
        <v>234</v>
      </c>
    </row>
    <row r="13" spans="1:7">
      <c r="E13" s="396" t="s">
        <v>232</v>
      </c>
    </row>
    <row r="14" spans="1:7">
      <c r="E14" s="396" t="s">
        <v>229</v>
      </c>
    </row>
    <row r="15" spans="1:7">
      <c r="E15" s="396" t="s">
        <v>233</v>
      </c>
    </row>
    <row r="16" spans="1:7">
      <c r="A16" s="377">
        <v>43647</v>
      </c>
      <c r="C16" s="396" t="s">
        <v>34</v>
      </c>
      <c r="E16" s="396" t="s">
        <v>218</v>
      </c>
    </row>
    <row r="17" spans="1:5">
      <c r="A17" s="377">
        <v>43648</v>
      </c>
      <c r="E17" s="378" t="s">
        <v>235</v>
      </c>
    </row>
    <row r="18" spans="1:5">
      <c r="A18" s="377">
        <v>43713</v>
      </c>
      <c r="C18" s="397" t="s">
        <v>236</v>
      </c>
      <c r="E18" s="397" t="s">
        <v>237</v>
      </c>
    </row>
    <row r="19" spans="1:5">
      <c r="A19" s="377">
        <v>43713</v>
      </c>
      <c r="C19" s="397" t="s">
        <v>228</v>
      </c>
      <c r="E19" s="397" t="s">
        <v>239</v>
      </c>
    </row>
    <row r="20" spans="1:5">
      <c r="A20" s="377">
        <v>43717</v>
      </c>
      <c r="C20" s="397" t="s">
        <v>240</v>
      </c>
      <c r="E20" s="397" t="s">
        <v>241</v>
      </c>
    </row>
    <row r="21" spans="1:5" ht="29">
      <c r="A21" s="377">
        <v>43717</v>
      </c>
      <c r="C21" s="400" t="s">
        <v>22</v>
      </c>
      <c r="E21" s="401" t="s">
        <v>242</v>
      </c>
    </row>
    <row r="22" spans="1:5">
      <c r="A22" s="377">
        <v>43717</v>
      </c>
      <c r="C22" s="400" t="s">
        <v>228</v>
      </c>
      <c r="E22" s="400" t="s">
        <v>243</v>
      </c>
    </row>
    <row r="23" spans="1:5">
      <c r="A23" s="377">
        <v>43717</v>
      </c>
      <c r="C23" s="400" t="s">
        <v>250</v>
      </c>
      <c r="E23" s="400" t="s">
        <v>249</v>
      </c>
    </row>
    <row r="24" spans="1:5">
      <c r="A24" s="377">
        <v>43720</v>
      </c>
      <c r="C24" s="400" t="s">
        <v>22</v>
      </c>
      <c r="E24" s="400" t="s">
        <v>254</v>
      </c>
    </row>
    <row r="25" spans="1:5">
      <c r="A25" s="377">
        <v>43783</v>
      </c>
      <c r="C25" s="417" t="s">
        <v>236</v>
      </c>
      <c r="E25" s="417" t="s">
        <v>256</v>
      </c>
    </row>
    <row r="26" spans="1:5" ht="29">
      <c r="A26" s="377">
        <v>43784</v>
      </c>
      <c r="C26" s="417" t="s">
        <v>228</v>
      </c>
      <c r="E26" s="427" t="s">
        <v>260</v>
      </c>
    </row>
    <row r="27" spans="1:5">
      <c r="A27" s="377"/>
      <c r="C27" s="417"/>
      <c r="E27" s="417" t="s">
        <v>257</v>
      </c>
    </row>
    <row r="28" spans="1:5">
      <c r="A28" s="377">
        <v>43784</v>
      </c>
      <c r="C28" s="417" t="s">
        <v>227</v>
      </c>
      <c r="E28" s="417" t="s">
        <v>258</v>
      </c>
    </row>
    <row r="29" spans="1:5">
      <c r="C29" s="417" t="s">
        <v>228</v>
      </c>
      <c r="E29" s="417" t="s">
        <v>259</v>
      </c>
    </row>
    <row r="30" spans="1:5">
      <c r="A30" s="377">
        <v>43787</v>
      </c>
      <c r="C30" s="421" t="s">
        <v>228</v>
      </c>
      <c r="E30" s="422" t="s">
        <v>261</v>
      </c>
    </row>
    <row r="31" spans="1:5" ht="29">
      <c r="A31" s="377">
        <v>43797</v>
      </c>
      <c r="C31" s="425" t="s">
        <v>264</v>
      </c>
      <c r="E31" s="426" t="s">
        <v>265</v>
      </c>
    </row>
    <row r="32" spans="1:5" ht="29">
      <c r="C32" s="425" t="s">
        <v>240</v>
      </c>
      <c r="E32" s="426" t="s">
        <v>266</v>
      </c>
    </row>
    <row r="33" spans="1:14" ht="29">
      <c r="C33" s="425" t="s">
        <v>250</v>
      </c>
      <c r="E33" s="426" t="s">
        <v>266</v>
      </c>
    </row>
    <row r="34" spans="1:14" ht="15.5">
      <c r="A34" s="378">
        <v>2021</v>
      </c>
      <c r="E34" s="602" t="s">
        <v>389</v>
      </c>
      <c r="N34" s="547" t="s">
        <v>390</v>
      </c>
    </row>
    <row r="35" spans="1:14">
      <c r="A35" s="378">
        <v>2021</v>
      </c>
      <c r="E35" s="550" t="s">
        <v>357</v>
      </c>
    </row>
    <row r="36" spans="1:14">
      <c r="A36" s="378">
        <v>2021</v>
      </c>
      <c r="E36" s="550" t="s">
        <v>358</v>
      </c>
    </row>
    <row r="37" spans="1:14" ht="15.5">
      <c r="A37" s="378">
        <v>2021</v>
      </c>
      <c r="E37" s="602" t="s">
        <v>391</v>
      </c>
      <c r="F37" s="547" t="s">
        <v>392</v>
      </c>
    </row>
    <row r="38" spans="1:14" ht="28.5" customHeight="1">
      <c r="A38" s="606" t="s">
        <v>396</v>
      </c>
      <c r="B38" s="605"/>
      <c r="C38" s="605"/>
      <c r="D38" s="605"/>
      <c r="E38" s="606" t="s">
        <v>397</v>
      </c>
      <c r="F38" s="605"/>
      <c r="G38" s="605"/>
    </row>
    <row r="39" spans="1:14">
      <c r="E39" s="602"/>
    </row>
    <row r="40" spans="1:14">
      <c r="A40" s="603">
        <v>2022</v>
      </c>
      <c r="B40" s="603"/>
      <c r="C40" s="603"/>
      <c r="D40" s="603"/>
      <c r="E40" s="604" t="s">
        <v>393</v>
      </c>
    </row>
    <row r="41" spans="1:14">
      <c r="A41" s="603">
        <v>2022</v>
      </c>
      <c r="B41" s="603"/>
      <c r="C41" s="603"/>
      <c r="D41" s="603"/>
      <c r="E41" s="604" t="s">
        <v>395</v>
      </c>
    </row>
    <row r="42" spans="1:14">
      <c r="A42" s="603">
        <v>2022</v>
      </c>
      <c r="B42" s="603"/>
      <c r="C42" s="603"/>
      <c r="D42" s="603"/>
      <c r="E42" s="604" t="s">
        <v>394</v>
      </c>
    </row>
  </sheetData>
  <hyperlinks>
    <hyperlink ref="N34" r:id="rId1" display="https://www.lagtinget.ax/dokument/lagforslag-1-2020-2021-48269" xr:uid="{62BABB25-A718-4783-9622-36EC9673B3C4}"/>
    <hyperlink ref="F37" r:id="rId2" display="https://www.regeringen.ax/sites/www.regeringen.ax/files/attachments/law/afs2021_nr136.pdf" xr:uid="{EEE94803-0DD5-43CF-B5D6-DBD86F7DCD5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73F7-7768-49B6-8468-C2133061F4AB}">
  <sheetPr>
    <tabColor rgb="FFD3E3E5"/>
  </sheetPr>
  <dimension ref="A1:R74"/>
  <sheetViews>
    <sheetView tabSelected="1" zoomScale="85" zoomScaleNormal="85" workbookViewId="0">
      <selection activeCell="G26" sqref="G26"/>
    </sheetView>
  </sheetViews>
  <sheetFormatPr defaultRowHeight="15.5"/>
  <cols>
    <col min="1" max="1" width="15.765625" customWidth="1"/>
    <col min="2" max="2" width="11.4609375" customWidth="1"/>
    <col min="3" max="3" width="12.4609375" customWidth="1"/>
    <col min="4" max="4" width="8.4609375" customWidth="1"/>
    <col min="5" max="5" width="10.4609375" customWidth="1"/>
    <col min="6" max="6" width="15.4609375" customWidth="1"/>
    <col min="7" max="9" width="15.23046875" customWidth="1"/>
    <col min="10" max="10" width="4.07421875" customWidth="1"/>
    <col min="12" max="12" width="17.4609375" customWidth="1"/>
    <col min="13" max="13" width="13.07421875" customWidth="1"/>
    <col min="14" max="14" width="17.84375" customWidth="1"/>
  </cols>
  <sheetData>
    <row r="1" spans="1:18">
      <c r="A1" s="17" t="s">
        <v>329</v>
      </c>
    </row>
    <row r="3" spans="1:18">
      <c r="A3" s="96" t="s">
        <v>405</v>
      </c>
      <c r="C3" s="547"/>
    </row>
    <row r="4" spans="1:18">
      <c r="A4" s="96"/>
      <c r="C4" s="547" t="s">
        <v>445</v>
      </c>
    </row>
    <row r="5" spans="1:18">
      <c r="A5" s="93"/>
      <c r="C5" s="482"/>
      <c r="F5" s="6"/>
      <c r="G5" s="6"/>
      <c r="H5" s="6"/>
      <c r="I5" s="6"/>
      <c r="J5" s="6"/>
      <c r="K5" s="6"/>
      <c r="L5" s="6"/>
      <c r="M5" s="6"/>
    </row>
    <row r="6" spans="1:18" ht="77.25" customHeight="1">
      <c r="A6" s="483"/>
      <c r="B6" s="484" t="s">
        <v>380</v>
      </c>
      <c r="C6" s="484" t="s">
        <v>354</v>
      </c>
      <c r="D6" s="484" t="s">
        <v>33</v>
      </c>
      <c r="E6" s="484" t="s">
        <v>332</v>
      </c>
      <c r="F6" s="484" t="s">
        <v>386</v>
      </c>
      <c r="G6" s="484" t="s">
        <v>541</v>
      </c>
      <c r="H6" s="484" t="s">
        <v>542</v>
      </c>
      <c r="I6" s="484" t="s">
        <v>546</v>
      </c>
      <c r="J6" s="484"/>
      <c r="K6" s="792" t="s">
        <v>553</v>
      </c>
      <c r="L6" s="793" t="s">
        <v>554</v>
      </c>
      <c r="M6" s="793" t="s">
        <v>555</v>
      </c>
      <c r="R6" s="549" t="s">
        <v>458</v>
      </c>
    </row>
    <row r="7" spans="1:18">
      <c r="A7" s="486" t="s">
        <v>1</v>
      </c>
      <c r="B7" s="487">
        <f>'Lsandelar totalt'!O7</f>
        <v>777085.5173999999</v>
      </c>
      <c r="C7" s="488"/>
      <c r="D7" s="488"/>
      <c r="E7" s="488"/>
      <c r="F7" s="488"/>
      <c r="G7" s="488">
        <v>79655.86563738744</v>
      </c>
      <c r="H7" s="488">
        <v>11130.433246968898</v>
      </c>
      <c r="I7" s="488"/>
      <c r="J7" s="487"/>
      <c r="K7" s="508">
        <f t="shared" ref="K7:K22" si="0">SUM(B7:J7)</f>
        <v>867871.81628435629</v>
      </c>
      <c r="L7" s="508">
        <f>SUM(B7:I7)</f>
        <v>867871.81628435629</v>
      </c>
      <c r="M7" s="508"/>
      <c r="R7" s="548">
        <v>449</v>
      </c>
    </row>
    <row r="8" spans="1:18">
      <c r="A8" s="486" t="s">
        <v>2</v>
      </c>
      <c r="B8" s="487">
        <f>'Lsandelar totalt'!O8</f>
        <v>1960720.7378</v>
      </c>
      <c r="C8" s="488"/>
      <c r="D8" s="488"/>
      <c r="E8" s="488"/>
      <c r="F8" s="488"/>
      <c r="G8" s="488">
        <v>160343.49168732311</v>
      </c>
      <c r="H8" s="488">
        <v>84108.67798667014</v>
      </c>
      <c r="I8" s="488"/>
      <c r="J8" s="487"/>
      <c r="K8" s="508">
        <f t="shared" si="0"/>
        <v>2205172.9074739935</v>
      </c>
      <c r="L8" s="508">
        <f t="shared" ref="L8:L22" si="1">SUM(B8:I8)</f>
        <v>2205172.9074739935</v>
      </c>
      <c r="M8" s="508"/>
      <c r="R8" s="548">
        <v>933</v>
      </c>
    </row>
    <row r="9" spans="1:18">
      <c r="A9" s="486" t="s">
        <v>3</v>
      </c>
      <c r="B9" s="487">
        <f>'Lsandelar totalt'!O9</f>
        <v>3981588.1645000004</v>
      </c>
      <c r="C9" s="488"/>
      <c r="D9" s="488"/>
      <c r="E9" s="488"/>
      <c r="F9" s="488"/>
      <c r="G9" s="488">
        <v>372186.10913818172</v>
      </c>
      <c r="H9" s="488">
        <v>144617.55268229247</v>
      </c>
      <c r="I9" s="488"/>
      <c r="J9" s="487"/>
      <c r="K9" s="508">
        <f t="shared" si="0"/>
        <v>4498391.826320475</v>
      </c>
      <c r="L9" s="508">
        <f t="shared" si="1"/>
        <v>4498391.826320475</v>
      </c>
      <c r="M9" s="508"/>
      <c r="R9" s="548">
        <v>2638</v>
      </c>
    </row>
    <row r="10" spans="1:18">
      <c r="A10" s="486" t="s">
        <v>4</v>
      </c>
      <c r="B10" s="487">
        <f>'Lsandelar totalt'!O10</f>
        <v>1344312.0175999999</v>
      </c>
      <c r="C10" s="488"/>
      <c r="D10" s="488"/>
      <c r="E10" s="488"/>
      <c r="F10" s="488"/>
      <c r="G10" s="488">
        <v>85207.753278042001</v>
      </c>
      <c r="H10" s="488">
        <v>22252.589450662246</v>
      </c>
      <c r="I10" s="488"/>
      <c r="J10" s="487"/>
      <c r="K10" s="508">
        <f t="shared" si="0"/>
        <v>1451772.3603287041</v>
      </c>
      <c r="L10" s="508">
        <f t="shared" si="1"/>
        <v>1451772.3603287041</v>
      </c>
      <c r="M10" s="508"/>
      <c r="R10" s="548">
        <v>501</v>
      </c>
    </row>
    <row r="11" spans="1:18">
      <c r="A11" s="486" t="s">
        <v>5</v>
      </c>
      <c r="B11" s="487">
        <f>'Lsandelar totalt'!O11</f>
        <v>1590449.1394</v>
      </c>
      <c r="C11" s="488"/>
      <c r="D11" s="488"/>
      <c r="E11" s="488"/>
      <c r="F11" s="488"/>
      <c r="G11" s="488">
        <v>93267.658370542951</v>
      </c>
      <c r="H11" s="488">
        <v>47971.911697773787</v>
      </c>
      <c r="I11" s="488"/>
      <c r="J11" s="487"/>
      <c r="K11" s="508">
        <f t="shared" si="0"/>
        <v>1731688.7094683168</v>
      </c>
      <c r="L11" s="508">
        <f t="shared" si="1"/>
        <v>1731688.7094683168</v>
      </c>
      <c r="M11" s="508"/>
      <c r="R11" s="548">
        <v>505</v>
      </c>
    </row>
    <row r="12" spans="1:18">
      <c r="A12" s="486" t="s">
        <v>6</v>
      </c>
      <c r="B12" s="487">
        <f>'Lsandelar totalt'!O12</f>
        <v>3168013.9529000004</v>
      </c>
      <c r="C12" s="488"/>
      <c r="D12" s="488"/>
      <c r="E12" s="488"/>
      <c r="F12" s="488"/>
      <c r="G12" s="488">
        <v>231216.04285794261</v>
      </c>
      <c r="H12" s="488">
        <v>100940.62396713048</v>
      </c>
      <c r="I12" s="488"/>
      <c r="J12" s="487"/>
      <c r="K12" s="508">
        <f t="shared" si="0"/>
        <v>3500170.6197250737</v>
      </c>
      <c r="L12" s="508">
        <f t="shared" si="1"/>
        <v>3500170.6197250737</v>
      </c>
      <c r="M12" s="508"/>
      <c r="R12" s="548">
        <v>1619</v>
      </c>
    </row>
    <row r="13" spans="1:18">
      <c r="A13" s="486" t="s">
        <v>7</v>
      </c>
      <c r="B13" s="487">
        <f>'Lsandelar totalt'!O13</f>
        <v>5261622.8440000005</v>
      </c>
      <c r="C13" s="488"/>
      <c r="D13" s="488"/>
      <c r="E13" s="488"/>
      <c r="F13" s="488"/>
      <c r="G13" s="488">
        <v>488161.07005011832</v>
      </c>
      <c r="H13" s="488">
        <v>84035.289362819254</v>
      </c>
      <c r="I13" s="488"/>
      <c r="J13" s="487"/>
      <c r="K13" s="508">
        <f t="shared" si="0"/>
        <v>5833819.2034129379</v>
      </c>
      <c r="L13" s="508">
        <f t="shared" si="1"/>
        <v>5833819.2034129379</v>
      </c>
      <c r="M13" s="508"/>
      <c r="R13" s="548">
        <v>5512</v>
      </c>
    </row>
    <row r="14" spans="1:18">
      <c r="A14" s="486" t="s">
        <v>8</v>
      </c>
      <c r="B14" s="487">
        <f>'Lsandelar totalt'!O14</f>
        <v>918135.23380000005</v>
      </c>
      <c r="C14" s="488"/>
      <c r="D14" s="488"/>
      <c r="E14" s="488"/>
      <c r="F14" s="488"/>
      <c r="G14" s="488">
        <v>53814.846262249019</v>
      </c>
      <c r="H14" s="488">
        <v>2789.1735171942755</v>
      </c>
      <c r="I14" s="488"/>
      <c r="J14" s="487"/>
      <c r="K14" s="508">
        <f t="shared" si="0"/>
        <v>974739.25357944332</v>
      </c>
      <c r="L14" s="508">
        <f t="shared" si="1"/>
        <v>974739.25357944332</v>
      </c>
      <c r="M14" s="508"/>
      <c r="R14" s="548">
        <v>313</v>
      </c>
    </row>
    <row r="15" spans="1:18">
      <c r="A15" s="486" t="s">
        <v>9</v>
      </c>
      <c r="B15" s="487">
        <f>'Lsandelar totalt'!O15</f>
        <v>540715.68550000002</v>
      </c>
      <c r="C15" s="488"/>
      <c r="D15" s="488"/>
      <c r="E15" s="488"/>
      <c r="F15" s="488"/>
      <c r="G15" s="488">
        <v>50003.873999873402</v>
      </c>
      <c r="H15" s="488">
        <v>2760.5483386139254</v>
      </c>
      <c r="I15" s="488"/>
      <c r="J15" s="487"/>
      <c r="K15" s="508">
        <f t="shared" si="0"/>
        <v>593480.10783848737</v>
      </c>
      <c r="L15" s="508">
        <f t="shared" si="1"/>
        <v>593480.10783848737</v>
      </c>
      <c r="M15" s="508"/>
      <c r="R15" s="548">
        <v>224</v>
      </c>
    </row>
    <row r="16" spans="1:18">
      <c r="A16" s="486" t="s">
        <v>10</v>
      </c>
      <c r="B16" s="487">
        <f>'Lsandelar totalt'!O16</f>
        <v>3126188.3364999997</v>
      </c>
      <c r="C16" s="488"/>
      <c r="D16" s="488"/>
      <c r="E16" s="488"/>
      <c r="F16" s="488"/>
      <c r="G16" s="488">
        <v>239238.55708277304</v>
      </c>
      <c r="H16" s="488">
        <v>107935.82812585917</v>
      </c>
      <c r="I16" s="488"/>
      <c r="J16" s="487"/>
      <c r="K16" s="508">
        <f t="shared" si="0"/>
        <v>3473362.7217086321</v>
      </c>
      <c r="L16" s="508">
        <f t="shared" si="1"/>
        <v>3473362.7217086321</v>
      </c>
      <c r="M16" s="508"/>
      <c r="R16" s="548">
        <v>2135</v>
      </c>
    </row>
    <row r="17" spans="1:18">
      <c r="A17" s="486" t="s">
        <v>11</v>
      </c>
      <c r="B17" s="487">
        <f>'Lsandelar totalt'!O17</f>
        <v>741491.79560000007</v>
      </c>
      <c r="C17" s="488"/>
      <c r="D17" s="488"/>
      <c r="E17" s="488"/>
      <c r="F17" s="488"/>
      <c r="G17" s="488">
        <v>66710.341953826617</v>
      </c>
      <c r="H17" s="488">
        <v>36564.45846933296</v>
      </c>
      <c r="I17" s="488"/>
      <c r="J17" s="487"/>
      <c r="K17" s="508">
        <f t="shared" si="0"/>
        <v>844766.59602315968</v>
      </c>
      <c r="L17" s="508">
        <f t="shared" si="1"/>
        <v>844766.59602315968</v>
      </c>
      <c r="M17" s="508"/>
      <c r="R17" s="548">
        <v>376</v>
      </c>
    </row>
    <row r="18" spans="1:18">
      <c r="A18" s="486" t="s">
        <v>12</v>
      </c>
      <c r="B18" s="487">
        <f>'Lsandelar totalt'!O18</f>
        <v>2674508.6958000003</v>
      </c>
      <c r="C18" s="488"/>
      <c r="D18" s="488"/>
      <c r="E18" s="488"/>
      <c r="F18" s="488"/>
      <c r="G18" s="488">
        <v>255070.66169913413</v>
      </c>
      <c r="H18" s="488">
        <v>128119.70479097878</v>
      </c>
      <c r="I18" s="488"/>
      <c r="J18" s="487"/>
      <c r="K18" s="508">
        <f t="shared" si="0"/>
        <v>3057699.062290113</v>
      </c>
      <c r="L18" s="508">
        <f t="shared" si="1"/>
        <v>3057699.062290113</v>
      </c>
      <c r="M18" s="508"/>
      <c r="R18" s="548">
        <v>1810</v>
      </c>
    </row>
    <row r="19" spans="1:18">
      <c r="A19" s="486" t="s">
        <v>13</v>
      </c>
      <c r="B19" s="487">
        <f>'Lsandelar totalt'!O19</f>
        <v>279181.44189999998</v>
      </c>
      <c r="C19" s="488"/>
      <c r="D19" s="488"/>
      <c r="E19" s="488"/>
      <c r="F19" s="488"/>
      <c r="G19" s="488">
        <v>17887.475816128575</v>
      </c>
      <c r="H19" s="488">
        <v>1012.9928677295062</v>
      </c>
      <c r="I19" s="488"/>
      <c r="J19" s="487"/>
      <c r="K19" s="508">
        <f t="shared" si="0"/>
        <v>298081.91058385809</v>
      </c>
      <c r="L19" s="508">
        <f t="shared" si="1"/>
        <v>298081.91058385809</v>
      </c>
      <c r="M19" s="508"/>
      <c r="R19" s="548">
        <v>105</v>
      </c>
    </row>
    <row r="20" spans="1:18">
      <c r="A20" s="486" t="s">
        <v>14</v>
      </c>
      <c r="B20" s="487">
        <f>'Lsandelar totalt'!O20</f>
        <v>1917222.7560000001</v>
      </c>
      <c r="C20" s="488"/>
      <c r="D20" s="488"/>
      <c r="E20" s="488"/>
      <c r="F20" s="488"/>
      <c r="G20" s="488">
        <v>155878.82801334918</v>
      </c>
      <c r="H20" s="488">
        <v>90833.982247921711</v>
      </c>
      <c r="I20" s="488"/>
      <c r="J20" s="487"/>
      <c r="K20" s="508">
        <f t="shared" si="0"/>
        <v>2163935.566261271</v>
      </c>
      <c r="L20" s="508">
        <f t="shared" si="1"/>
        <v>2163935.566261271</v>
      </c>
      <c r="M20" s="508"/>
      <c r="R20" s="548">
        <v>1019</v>
      </c>
    </row>
    <row r="21" spans="1:18">
      <c r="A21" s="486" t="s">
        <v>15</v>
      </c>
      <c r="B21" s="487">
        <f>'Lsandelar totalt'!O21</f>
        <v>1567836.9474000002</v>
      </c>
      <c r="C21" s="488"/>
      <c r="D21" s="488"/>
      <c r="E21" s="488"/>
      <c r="F21" s="488"/>
      <c r="G21" s="488">
        <v>83314.229473266649</v>
      </c>
      <c r="H21" s="488">
        <v>36647.015778010376</v>
      </c>
      <c r="I21" s="488"/>
      <c r="J21" s="487"/>
      <c r="K21" s="508">
        <f t="shared" si="0"/>
        <v>1687798.1926512774</v>
      </c>
      <c r="L21" s="508">
        <f t="shared" si="1"/>
        <v>1687798.1926512774</v>
      </c>
      <c r="M21" s="508"/>
      <c r="R21" s="548">
        <v>463</v>
      </c>
    </row>
    <row r="22" spans="1:18">
      <c r="A22" s="486" t="s">
        <v>16</v>
      </c>
      <c r="B22" s="487">
        <f>'Lsandelar totalt'!O22</f>
        <v>4915658.3142000008</v>
      </c>
      <c r="C22" s="488"/>
      <c r="D22" s="488"/>
      <c r="E22" s="488"/>
      <c r="F22" s="488"/>
      <c r="G22" s="488">
        <v>1568043.1946798605</v>
      </c>
      <c r="H22" s="488">
        <v>98279.217470041913</v>
      </c>
      <c r="I22" s="488"/>
      <c r="J22" s="487"/>
      <c r="K22" s="508">
        <f t="shared" si="0"/>
        <v>6581980.7263499023</v>
      </c>
      <c r="L22" s="508">
        <f t="shared" si="1"/>
        <v>6581980.7263499023</v>
      </c>
      <c r="M22" s="508"/>
      <c r="R22" s="548">
        <v>11742</v>
      </c>
    </row>
    <row r="23" spans="1:18" ht="25.5" customHeight="1">
      <c r="A23" s="561"/>
      <c r="B23" s="560"/>
      <c r="C23" s="559"/>
      <c r="D23" s="13"/>
      <c r="E23" s="559"/>
      <c r="F23" s="559"/>
      <c r="G23" s="559"/>
      <c r="H23" s="559"/>
      <c r="I23" s="559"/>
      <c r="J23" s="560"/>
      <c r="K23" s="508"/>
      <c r="L23" s="567"/>
      <c r="M23" s="567"/>
      <c r="P23" s="100" t="s">
        <v>188</v>
      </c>
      <c r="R23" s="548"/>
    </row>
    <row r="24" spans="1:18" ht="25.5" customHeight="1" thickBot="1">
      <c r="A24" s="489" t="s">
        <v>354</v>
      </c>
      <c r="B24" s="490"/>
      <c r="C24" s="559">
        <f>'Lsandelar totalt'!I26</f>
        <v>4092445.5</v>
      </c>
      <c r="E24" s="559"/>
      <c r="F24" s="559"/>
      <c r="G24" s="559"/>
      <c r="H24" s="559"/>
      <c r="I24" s="559"/>
      <c r="J24" s="560"/>
      <c r="K24" s="508"/>
      <c r="L24" s="508"/>
      <c r="M24" s="328">
        <f>SUM(B24:J24)</f>
        <v>4092445.5</v>
      </c>
      <c r="P24" s="100"/>
      <c r="R24" s="548"/>
    </row>
    <row r="25" spans="1:18" ht="16.5" thickTop="1" thickBot="1">
      <c r="A25" s="491" t="s">
        <v>18</v>
      </c>
      <c r="B25" s="492">
        <f>SUM(B7:B23)</f>
        <v>34764731.580300003</v>
      </c>
      <c r="C25" s="492">
        <f>'Lsandelar totalt'!I26</f>
        <v>4092445.5</v>
      </c>
      <c r="D25" s="492" t="s">
        <v>451</v>
      </c>
      <c r="E25" s="492" t="s">
        <v>452</v>
      </c>
      <c r="F25" s="492"/>
      <c r="G25" s="492">
        <f>SUM(G7:G23)</f>
        <v>3999999.9999999995</v>
      </c>
      <c r="H25" s="492">
        <f>SUM(H7:H23)</f>
        <v>1000000.0000000001</v>
      </c>
      <c r="I25" s="492">
        <v>3300000</v>
      </c>
      <c r="J25" s="492"/>
      <c r="K25" s="492">
        <f>SUM(K7:K22)</f>
        <v>39764731.580300011</v>
      </c>
      <c r="L25" s="492">
        <f>SUM(L7:L22)</f>
        <v>39764731.580300011</v>
      </c>
      <c r="M25" s="492">
        <f>SUM(B25:I25)</f>
        <v>47157177.080300003</v>
      </c>
      <c r="P25" s="493">
        <f>B25-'Lsandelar totalt'!O26</f>
        <v>0</v>
      </c>
      <c r="R25" s="548">
        <v>30344</v>
      </c>
    </row>
    <row r="26" spans="1:18" ht="20.5" customHeight="1" thickTop="1" thickBot="1">
      <c r="C26" s="511"/>
      <c r="D26" s="789">
        <v>200000</v>
      </c>
      <c r="E26" s="790" t="s">
        <v>540</v>
      </c>
      <c r="F26" s="497" t="s">
        <v>540</v>
      </c>
      <c r="G26" s="581" t="s">
        <v>556</v>
      </c>
      <c r="H26" s="581" t="s">
        <v>556</v>
      </c>
      <c r="I26" s="581" t="s">
        <v>556</v>
      </c>
      <c r="L26" s="568"/>
      <c r="P26" s="493">
        <f>B25+C25-'Lsandelar totalt'!L27</f>
        <v>0</v>
      </c>
    </row>
    <row r="27" spans="1:18" ht="30" customHeight="1" thickTop="1">
      <c r="D27" s="788"/>
      <c r="E27" s="788"/>
      <c r="G27" s="581"/>
      <c r="H27" s="581"/>
      <c r="I27" s="581"/>
    </row>
    <row r="28" spans="1:18" ht="30.75" customHeight="1">
      <c r="D28" s="788"/>
      <c r="E28" s="788"/>
      <c r="G28" s="581"/>
      <c r="H28" s="581"/>
      <c r="I28" s="581"/>
    </row>
    <row r="29" spans="1:18" ht="44.25" customHeight="1">
      <c r="B29" s="494"/>
      <c r="C29" s="495"/>
      <c r="D29" s="658"/>
      <c r="E29" s="658"/>
      <c r="F29" s="658"/>
      <c r="G29" s="659"/>
      <c r="H29" s="659"/>
      <c r="I29" s="659"/>
      <c r="J29" s="659"/>
      <c r="K29" s="658"/>
      <c r="L29" s="660"/>
      <c r="M29" s="658"/>
      <c r="N29" s="658"/>
    </row>
    <row r="30" spans="1:18">
      <c r="A30" s="495"/>
      <c r="B30" s="495"/>
      <c r="D30" s="658" t="s">
        <v>453</v>
      </c>
      <c r="E30" s="658"/>
      <c r="F30" s="658"/>
      <c r="G30" s="659"/>
      <c r="H30" s="659"/>
      <c r="I30" s="659"/>
      <c r="J30" s="659"/>
      <c r="K30" s="658"/>
      <c r="L30" s="658"/>
      <c r="M30" s="658"/>
      <c r="N30" s="658"/>
    </row>
    <row r="31" spans="1:18" ht="24.75" customHeight="1">
      <c r="A31" s="315"/>
      <c r="B31" s="579"/>
      <c r="C31" s="579"/>
      <c r="D31" s="658" t="s">
        <v>514</v>
      </c>
      <c r="E31" s="659"/>
      <c r="F31" s="659"/>
      <c r="G31" s="658"/>
      <c r="H31" s="658"/>
      <c r="I31" s="658"/>
      <c r="J31" s="658"/>
      <c r="K31" s="658"/>
      <c r="L31" s="661"/>
      <c r="M31" s="659"/>
      <c r="N31" s="661"/>
      <c r="O31" s="580"/>
    </row>
    <row r="32" spans="1:18">
      <c r="A32" s="315"/>
      <c r="B32" s="579"/>
      <c r="C32" s="579"/>
      <c r="D32" s="658"/>
      <c r="E32" s="659"/>
      <c r="F32" s="659"/>
      <c r="G32" s="658"/>
      <c r="H32" s="658"/>
      <c r="I32" s="658"/>
      <c r="J32" s="658"/>
      <c r="K32" s="658"/>
      <c r="L32" s="658"/>
      <c r="M32" s="658"/>
      <c r="N32" s="659"/>
      <c r="O32" s="580"/>
    </row>
    <row r="33" spans="1:15">
      <c r="A33" s="315"/>
      <c r="B33" s="579"/>
      <c r="C33" s="579"/>
      <c r="D33" s="658"/>
      <c r="E33" s="659"/>
      <c r="F33" s="659"/>
      <c r="G33" s="658"/>
      <c r="H33" s="658"/>
      <c r="I33" s="658"/>
      <c r="J33" s="658"/>
      <c r="K33" s="658"/>
      <c r="L33" s="658"/>
      <c r="M33" s="658"/>
      <c r="N33" s="659"/>
      <c r="O33" s="580"/>
    </row>
    <row r="34" spans="1:15">
      <c r="A34" s="315"/>
      <c r="B34" s="579"/>
      <c r="C34" s="579"/>
      <c r="D34" s="658"/>
      <c r="E34" s="659"/>
      <c r="F34" s="659"/>
      <c r="G34" s="658"/>
      <c r="H34" s="658"/>
      <c r="I34" s="658"/>
      <c r="J34" s="658"/>
      <c r="K34" s="658"/>
      <c r="L34" s="659"/>
      <c r="M34" s="659"/>
      <c r="N34" s="659"/>
      <c r="O34" s="580"/>
    </row>
    <row r="35" spans="1:15" ht="34.5" customHeight="1">
      <c r="A35" s="315"/>
      <c r="B35" s="579"/>
      <c r="C35" s="579"/>
      <c r="E35" s="580"/>
      <c r="F35" s="580"/>
      <c r="L35" s="580"/>
      <c r="M35" s="580"/>
      <c r="N35" s="580"/>
      <c r="O35" s="580"/>
    </row>
    <row r="36" spans="1:15" ht="110.25" customHeight="1">
      <c r="A36" s="315"/>
    </row>
    <row r="37" spans="1:15">
      <c r="A37" s="496"/>
    </row>
    <row r="38" spans="1:15">
      <c r="A38" s="495"/>
    </row>
    <row r="39" spans="1:15">
      <c r="A39" s="495"/>
    </row>
    <row r="40" spans="1:15">
      <c r="A40" s="495"/>
    </row>
    <row r="41" spans="1:15">
      <c r="A41" s="495"/>
    </row>
    <row r="42" spans="1:15">
      <c r="A42" s="495"/>
    </row>
    <row r="61" spans="2:6">
      <c r="B61" s="452"/>
      <c r="C61" s="98"/>
      <c r="D61" s="452"/>
      <c r="E61" s="452"/>
      <c r="F61" s="452"/>
    </row>
    <row r="62" spans="2:6">
      <c r="B62" s="452"/>
      <c r="C62" s="575"/>
      <c r="D62" s="452"/>
      <c r="E62" s="452"/>
      <c r="F62" s="452"/>
    </row>
    <row r="63" spans="2:6">
      <c r="B63" s="452"/>
      <c r="C63" s="452"/>
      <c r="D63" s="452"/>
      <c r="E63" s="452"/>
      <c r="F63" s="452"/>
    </row>
    <row r="64" spans="2:6">
      <c r="B64" s="452"/>
      <c r="C64" s="575"/>
      <c r="D64" s="452"/>
      <c r="E64" s="452"/>
      <c r="F64" s="452"/>
    </row>
    <row r="65" spans="2:6">
      <c r="B65" s="452"/>
      <c r="C65" s="575"/>
      <c r="D65" s="452"/>
      <c r="E65" s="452"/>
      <c r="F65" s="452"/>
    </row>
    <row r="66" spans="2:6">
      <c r="B66" s="452"/>
      <c r="C66" s="575"/>
      <c r="D66" s="452"/>
      <c r="E66" s="452"/>
      <c r="F66" s="452"/>
    </row>
    <row r="67" spans="2:6">
      <c r="B67" s="452"/>
      <c r="C67" s="576"/>
      <c r="D67" s="452"/>
      <c r="E67" s="452"/>
      <c r="F67" s="452"/>
    </row>
    <row r="68" spans="2:6">
      <c r="B68" s="452"/>
      <c r="C68" s="452"/>
      <c r="D68" s="452"/>
      <c r="E68" s="452"/>
      <c r="F68" s="452"/>
    </row>
    <row r="69" spans="2:6">
      <c r="B69" s="452"/>
      <c r="C69" s="575"/>
      <c r="D69" s="452"/>
      <c r="E69" s="575"/>
      <c r="F69" s="452"/>
    </row>
    <row r="70" spans="2:6">
      <c r="B70" s="452"/>
      <c r="C70" s="577"/>
      <c r="D70" s="452"/>
      <c r="E70" s="452"/>
      <c r="F70" s="452"/>
    </row>
    <row r="71" spans="2:6">
      <c r="B71" s="452"/>
      <c r="C71" s="452"/>
      <c r="D71" s="452"/>
      <c r="E71" s="452"/>
      <c r="F71" s="452"/>
    </row>
    <row r="72" spans="2:6">
      <c r="B72" s="452"/>
      <c r="C72" s="452"/>
      <c r="D72" s="452"/>
      <c r="E72" s="452"/>
      <c r="F72" s="452"/>
    </row>
    <row r="73" spans="2:6">
      <c r="B73" s="452"/>
      <c r="C73" s="452"/>
      <c r="D73" s="452"/>
      <c r="E73" s="452"/>
      <c r="F73" s="452"/>
    </row>
    <row r="74" spans="2:6">
      <c r="B74" s="452"/>
      <c r="C74" s="452"/>
      <c r="D74" s="452"/>
      <c r="E74" s="452"/>
      <c r="F74" s="452"/>
    </row>
  </sheetData>
  <conditionalFormatting sqref="E69">
    <cfRule type="cellIs" dxfId="0" priority="1" operator="equal">
      <formula>0</formula>
    </cfRule>
  </conditionalFormatting>
  <hyperlinks>
    <hyperlink ref="A29:B29" r:id="rId1" display="Kompensation av kapitalskatt" xr:uid="{A74E381D-1BA1-476E-BD13-653FB68B70C3}"/>
    <hyperlink ref="C4" r:id="rId2" xr:uid="{CD7A72BC-FB71-4114-9DD2-2BEE9AA3AE10}"/>
  </hyperlinks>
  <pageMargins left="0.7" right="0.7" top="0.75" bottom="0.75" header="0.3" footer="0.3"/>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3E3E5"/>
    <pageSetUpPr fitToPage="1"/>
  </sheetPr>
  <dimension ref="A1:Y96"/>
  <sheetViews>
    <sheetView zoomScale="70" zoomScaleNormal="70" workbookViewId="0">
      <selection activeCell="L27" sqref="L27"/>
    </sheetView>
  </sheetViews>
  <sheetFormatPr defaultRowHeight="15.5"/>
  <cols>
    <col min="1" max="1" width="12.3046875" customWidth="1"/>
    <col min="2" max="2" width="10.765625" customWidth="1"/>
    <col min="3" max="3" width="13.3046875" customWidth="1"/>
    <col min="4" max="4" width="13.07421875" customWidth="1"/>
    <col min="5" max="5" width="13" customWidth="1"/>
    <col min="6" max="6" width="15.53515625" customWidth="1"/>
    <col min="7" max="7" width="10.69140625" customWidth="1"/>
    <col min="8" max="8" width="13.07421875" customWidth="1"/>
    <col min="9" max="9" width="13.4609375" customWidth="1"/>
    <col min="10" max="10" width="12.23046875" customWidth="1"/>
    <col min="11" max="11" width="13.3046875" customWidth="1"/>
    <col min="12" max="12" width="15.53515625" customWidth="1"/>
    <col min="13" max="13" width="13.4609375" customWidth="1"/>
    <col min="14" max="14" width="3.84375" customWidth="1"/>
    <col min="15" max="15" width="11.23046875" customWidth="1"/>
    <col min="16" max="16" width="7.53515625" customWidth="1"/>
    <col min="17" max="17" width="4" customWidth="1"/>
    <col min="18" max="18" width="13.69140625" customWidth="1"/>
    <col min="19" max="19" width="10.765625" customWidth="1"/>
    <col min="20" max="20" width="11.4609375" customWidth="1"/>
    <col min="21" max="21" width="11.84375" bestFit="1" customWidth="1"/>
    <col min="22" max="22" width="10.07421875" customWidth="1"/>
    <col min="23" max="23" width="15" customWidth="1"/>
    <col min="25" max="25" width="11.765625" customWidth="1"/>
  </cols>
  <sheetData>
    <row r="1" spans="1:25">
      <c r="A1" s="17" t="s">
        <v>86</v>
      </c>
    </row>
    <row r="3" spans="1:25">
      <c r="A3" s="96" t="s">
        <v>543</v>
      </c>
    </row>
    <row r="4" spans="1:25">
      <c r="A4" s="754" t="s">
        <v>510</v>
      </c>
      <c r="F4" s="794"/>
    </row>
    <row r="5" spans="1:25" ht="60" customHeight="1">
      <c r="B5" s="472"/>
      <c r="F5" s="794"/>
      <c r="O5" t="s">
        <v>515</v>
      </c>
      <c r="W5" t="s">
        <v>437</v>
      </c>
      <c r="Y5" t="s">
        <v>404</v>
      </c>
    </row>
    <row r="6" spans="1:25" s="69" customFormat="1" ht="71.25" customHeight="1">
      <c r="A6" s="108"/>
      <c r="B6" s="109" t="s">
        <v>168</v>
      </c>
      <c r="C6" s="109" t="s">
        <v>32</v>
      </c>
      <c r="D6" s="109" t="s">
        <v>274</v>
      </c>
      <c r="E6" s="109" t="s">
        <v>34</v>
      </c>
      <c r="F6" s="109" t="s">
        <v>322</v>
      </c>
      <c r="G6" s="109" t="s">
        <v>293</v>
      </c>
      <c r="H6" s="109" t="s">
        <v>304</v>
      </c>
      <c r="I6" s="109" t="s">
        <v>302</v>
      </c>
      <c r="J6" s="109" t="s">
        <v>74</v>
      </c>
      <c r="K6" s="109" t="s">
        <v>33</v>
      </c>
      <c r="L6" s="109" t="s">
        <v>36</v>
      </c>
      <c r="M6" s="109" t="s">
        <v>305</v>
      </c>
      <c r="N6" s="109"/>
      <c r="O6" s="109" t="s">
        <v>303</v>
      </c>
      <c r="P6" s="109" t="s">
        <v>305</v>
      </c>
      <c r="R6" s="549" t="s">
        <v>458</v>
      </c>
      <c r="S6" s="453" t="s">
        <v>321</v>
      </c>
      <c r="W6" s="109" t="s">
        <v>303</v>
      </c>
      <c r="Y6" s="109" t="s">
        <v>303</v>
      </c>
    </row>
    <row r="7" spans="1:25">
      <c r="A7" s="8" t="s">
        <v>1</v>
      </c>
      <c r="B7" s="408">
        <f>Skattekomplettering!B7</f>
        <v>68628.899999999994</v>
      </c>
      <c r="C7" s="408">
        <f>'Skola, STR &amp; Spcfr'!B7</f>
        <v>348683.66</v>
      </c>
      <c r="D7" s="408">
        <f>Barnomsorg!B6</f>
        <v>64069.727399999996</v>
      </c>
      <c r="E7" s="408">
        <f>'Skola, STR &amp; Spcfr'!C7</f>
        <v>0</v>
      </c>
      <c r="F7" s="565">
        <f>'Skola, STR &amp; Spcfr'!E7+'Skola, STR &amp; Spcfr'!F7</f>
        <v>45541.36</v>
      </c>
      <c r="G7" s="408">
        <f>Specialfritids!D10</f>
        <v>0</v>
      </c>
      <c r="H7" s="408">
        <f>Sociala!B6</f>
        <v>242805.9</v>
      </c>
      <c r="I7" s="408">
        <f>Sociala!C6</f>
        <v>60555.89</v>
      </c>
      <c r="J7" s="408">
        <f>'Kultur&amp;Medis'!B6</f>
        <v>7355.97</v>
      </c>
      <c r="K7" s="408">
        <f>'Kultur&amp;Medis'!C6</f>
        <v>0</v>
      </c>
      <c r="L7" s="498">
        <f t="shared" ref="L7:L22" si="0">SUM(B7:K7)</f>
        <v>837641.40739999991</v>
      </c>
      <c r="M7" s="36">
        <f t="shared" ref="M7:M22" si="1">L7/R7</f>
        <v>1865.5710632516702</v>
      </c>
      <c r="N7" s="36"/>
      <c r="O7" s="499">
        <f>L7-I7</f>
        <v>777085.5173999999</v>
      </c>
      <c r="P7" s="36">
        <f>O7/R7</f>
        <v>1730.7027113585743</v>
      </c>
      <c r="R7" s="548">
        <v>449</v>
      </c>
      <c r="S7" s="380">
        <v>31</v>
      </c>
      <c r="W7" s="499">
        <v>939675.31767999998</v>
      </c>
      <c r="Y7" s="499">
        <f>O7-W7</f>
        <v>-162589.80028000008</v>
      </c>
    </row>
    <row r="8" spans="1:25">
      <c r="A8" s="8" t="s">
        <v>2</v>
      </c>
      <c r="B8" s="408">
        <f>Skattekomplettering!B8</f>
        <v>1146699.67</v>
      </c>
      <c r="C8" s="408">
        <f>'Skola, STR &amp; Spcfr'!B8</f>
        <v>368888.95</v>
      </c>
      <c r="D8" s="408">
        <f>Barnomsorg!B7</f>
        <v>120387.06780000002</v>
      </c>
      <c r="E8" s="408">
        <f>'Skola, STR &amp; Spcfr'!C8</f>
        <v>114174.3</v>
      </c>
      <c r="F8" s="565">
        <f>'Skola, STR &amp; Spcfr'!E8+'Skola, STR &amp; Spcfr'!F8</f>
        <v>22770.68</v>
      </c>
      <c r="G8" s="408">
        <f>Specialfritids!D11</f>
        <v>10890.82</v>
      </c>
      <c r="H8" s="408">
        <f>Sociala!B7</f>
        <v>161623.91</v>
      </c>
      <c r="I8" s="408">
        <f>Sociala!C7</f>
        <v>125832.18</v>
      </c>
      <c r="J8" s="408">
        <f>'Kultur&amp;Medis'!B7</f>
        <v>15285.34</v>
      </c>
      <c r="K8" s="408">
        <f>'Kultur&amp;Medis'!C7</f>
        <v>0</v>
      </c>
      <c r="L8" s="498">
        <f t="shared" si="0"/>
        <v>2086552.9177999999</v>
      </c>
      <c r="M8" s="36">
        <f t="shared" si="1"/>
        <v>2236.3911230439444</v>
      </c>
      <c r="N8" s="36"/>
      <c r="O8" s="499">
        <f t="shared" ref="O8:O22" si="2">L8-I8</f>
        <v>1960720.7378</v>
      </c>
      <c r="P8" s="36">
        <f t="shared" ref="P8:P21" si="3">O8/R8</f>
        <v>2101.5227629153269</v>
      </c>
      <c r="R8" s="548">
        <v>933</v>
      </c>
      <c r="S8" s="380">
        <v>93</v>
      </c>
      <c r="W8" s="499">
        <v>1923992.8688000001</v>
      </c>
      <c r="Y8" s="499">
        <f t="shared" ref="Y8:Y22" si="4">O8-W8</f>
        <v>36727.868999999948</v>
      </c>
    </row>
    <row r="9" spans="1:25">
      <c r="A9" s="8" t="s">
        <v>3</v>
      </c>
      <c r="B9" s="408">
        <f>Skattekomplettering!B9</f>
        <v>2648623.6</v>
      </c>
      <c r="C9" s="408">
        <f>'Skola, STR &amp; Spcfr'!B9</f>
        <v>462721</v>
      </c>
      <c r="D9" s="408">
        <f>Barnomsorg!B8</f>
        <v>404749.62450000003</v>
      </c>
      <c r="E9" s="408">
        <f>'Skola, STR &amp; Spcfr'!C9</f>
        <v>0</v>
      </c>
      <c r="F9" s="565">
        <f>'Skola, STR &amp; Spcfr'!E9+'Skola, STR &amp; Spcfr'!F9</f>
        <v>92546.64</v>
      </c>
      <c r="G9" s="408">
        <f>Specialfritids!D12</f>
        <v>0</v>
      </c>
      <c r="H9" s="408">
        <f>Sociala!B8</f>
        <v>329728.95</v>
      </c>
      <c r="I9" s="408">
        <f>Sociala!C8</f>
        <v>355782.73</v>
      </c>
      <c r="J9" s="408">
        <f>'Kultur&amp;Medis'!B8</f>
        <v>43218.35</v>
      </c>
      <c r="K9" s="408">
        <f>'Kultur&amp;Medis'!C8</f>
        <v>0</v>
      </c>
      <c r="L9" s="498">
        <f t="shared" si="0"/>
        <v>4337370.8945000004</v>
      </c>
      <c r="M9" s="36">
        <f t="shared" si="1"/>
        <v>1644.1891184609553</v>
      </c>
      <c r="N9" s="36"/>
      <c r="O9" s="499">
        <f t="shared" si="2"/>
        <v>3981588.1645000004</v>
      </c>
      <c r="P9" s="36">
        <f t="shared" si="3"/>
        <v>1509.3207598559516</v>
      </c>
      <c r="R9" s="548">
        <v>2638</v>
      </c>
      <c r="S9" s="380">
        <v>339</v>
      </c>
      <c r="W9" s="499">
        <v>3883568.9012000002</v>
      </c>
      <c r="Y9" s="499">
        <f t="shared" si="4"/>
        <v>98019.263300000224</v>
      </c>
    </row>
    <row r="10" spans="1:25">
      <c r="A10" s="8" t="s">
        <v>4</v>
      </c>
      <c r="B10" s="408">
        <f>Skattekomplettering!B10</f>
        <v>478372.48</v>
      </c>
      <c r="C10" s="408">
        <f>'Skola, STR &amp; Spcfr'!B10</f>
        <v>382714.17</v>
      </c>
      <c r="D10" s="408">
        <f>Barnomsorg!B9</f>
        <v>142243.79760000002</v>
      </c>
      <c r="E10" s="408">
        <f>'Skola, STR &amp; Spcfr'!C10</f>
        <v>38058.1</v>
      </c>
      <c r="F10" s="565">
        <f>'Skola, STR &amp; Spcfr'!E10+'Skola, STR &amp; Spcfr'!F10</f>
        <v>34156.019999999997</v>
      </c>
      <c r="G10" s="408">
        <f>Specialfritids!D13</f>
        <v>0</v>
      </c>
      <c r="H10" s="408">
        <f>Sociala!B9</f>
        <v>260559.57</v>
      </c>
      <c r="I10" s="408">
        <f>Sociala!C9</f>
        <v>67569.05</v>
      </c>
      <c r="J10" s="408">
        <f>'Kultur&amp;Medis'!B9</f>
        <v>8207.8799999999992</v>
      </c>
      <c r="K10" s="408">
        <f>'Kultur&amp;Medis'!C9</f>
        <v>0</v>
      </c>
      <c r="L10" s="498">
        <f t="shared" si="0"/>
        <v>1411881.0676</v>
      </c>
      <c r="M10" s="36">
        <f t="shared" si="1"/>
        <v>2818.1258834331338</v>
      </c>
      <c r="N10" s="36"/>
      <c r="O10" s="499">
        <f t="shared" si="2"/>
        <v>1344312.0175999999</v>
      </c>
      <c r="P10" s="36">
        <f t="shared" si="3"/>
        <v>2683.2575201596806</v>
      </c>
      <c r="R10" s="548">
        <v>501</v>
      </c>
      <c r="S10" s="380">
        <v>39</v>
      </c>
      <c r="W10" s="499">
        <v>1327410.24272</v>
      </c>
      <c r="Y10" s="499">
        <f t="shared" si="4"/>
        <v>16901.774879999924</v>
      </c>
    </row>
    <row r="11" spans="1:25">
      <c r="A11" s="8" t="s">
        <v>5</v>
      </c>
      <c r="B11" s="408">
        <f>Skattekomplettering!B11</f>
        <v>977016.88</v>
      </c>
      <c r="C11" s="408">
        <f>'Skola, STR &amp; Spcfr'!B11</f>
        <v>311185.65999999997</v>
      </c>
      <c r="D11" s="408">
        <f>Barnomsorg!B10</f>
        <v>70571.729400000011</v>
      </c>
      <c r="E11" s="408">
        <f>'Skola, STR &amp; Spcfr'!C11</f>
        <v>76116.2</v>
      </c>
      <c r="F11" s="565">
        <f>'Skola, STR &amp; Spcfr'!E11+'Skola, STR &amp; Spcfr'!F11</f>
        <v>56926.7</v>
      </c>
      <c r="G11" s="408">
        <f>Specialfritids!D14</f>
        <v>0</v>
      </c>
      <c r="H11" s="408">
        <f>Sociala!B10</f>
        <v>90358.55</v>
      </c>
      <c r="I11" s="408">
        <f>Sociala!C10</f>
        <v>68108.52</v>
      </c>
      <c r="J11" s="408">
        <f>'Kultur&amp;Medis'!B10</f>
        <v>8273.42</v>
      </c>
      <c r="K11" s="408">
        <f>'Kultur&amp;Medis'!C10</f>
        <v>0</v>
      </c>
      <c r="L11" s="498">
        <f t="shared" si="0"/>
        <v>1658557.6594</v>
      </c>
      <c r="M11" s="36">
        <f t="shared" si="1"/>
        <v>3284.2725928712871</v>
      </c>
      <c r="N11" s="36"/>
      <c r="O11" s="499">
        <f t="shared" si="2"/>
        <v>1590449.1394</v>
      </c>
      <c r="P11" s="36">
        <f t="shared" si="3"/>
        <v>3149.4042364356437</v>
      </c>
      <c r="R11" s="548">
        <v>505</v>
      </c>
      <c r="S11" s="380">
        <v>62</v>
      </c>
      <c r="W11" s="499">
        <v>1486563.3578399997</v>
      </c>
      <c r="Y11" s="499">
        <f t="shared" si="4"/>
        <v>103885.78156000027</v>
      </c>
    </row>
    <row r="12" spans="1:25">
      <c r="A12" s="8" t="s">
        <v>6</v>
      </c>
      <c r="B12" s="408">
        <f>Skattekomplettering!B12</f>
        <v>2157929.5</v>
      </c>
      <c r="C12" s="408">
        <f>'Skola, STR &amp; Spcfr'!B12</f>
        <v>417962.42</v>
      </c>
      <c r="D12" s="408">
        <f>Barnomsorg!B11</f>
        <v>247001.05290000004</v>
      </c>
      <c r="E12" s="408">
        <f>'Skola, STR &amp; Spcfr'!C12</f>
        <v>0</v>
      </c>
      <c r="F12" s="565">
        <f>'Skola, STR &amp; Spcfr'!E12+'Skola, STR &amp; Spcfr'!F12</f>
        <v>91082.72</v>
      </c>
      <c r="G12" s="408">
        <f>Specialfritids!D15</f>
        <v>0</v>
      </c>
      <c r="H12" s="408">
        <f>Sociala!B11</f>
        <v>227514.18</v>
      </c>
      <c r="I12" s="408">
        <f>Sociala!C11</f>
        <v>218351.87</v>
      </c>
      <c r="J12" s="408">
        <f>'Kultur&amp;Medis'!B11</f>
        <v>26524.080000000002</v>
      </c>
      <c r="K12" s="408">
        <f>'Kultur&amp;Medis'!C11</f>
        <v>0</v>
      </c>
      <c r="L12" s="498">
        <f t="shared" si="0"/>
        <v>3386365.8229000005</v>
      </c>
      <c r="M12" s="36">
        <f t="shared" si="1"/>
        <v>2091.6404094502782</v>
      </c>
      <c r="N12" s="36"/>
      <c r="O12" s="499">
        <f t="shared" si="2"/>
        <v>3168013.9529000004</v>
      </c>
      <c r="P12" s="36">
        <f t="shared" si="3"/>
        <v>1956.7720524397778</v>
      </c>
      <c r="R12" s="548">
        <v>1619</v>
      </c>
      <c r="S12" s="380">
        <v>200</v>
      </c>
      <c r="U12" s="539"/>
      <c r="V12" s="539"/>
      <c r="W12" s="499">
        <v>3089392.02104</v>
      </c>
      <c r="Y12" s="499">
        <f t="shared" si="4"/>
        <v>78621.931860000361</v>
      </c>
    </row>
    <row r="13" spans="1:25">
      <c r="A13" s="8" t="s">
        <v>7</v>
      </c>
      <c r="B13" s="408">
        <f>Skattekomplettering!B13</f>
        <v>2433511</v>
      </c>
      <c r="C13" s="408">
        <f>'Skola, STR &amp; Spcfr'!B13</f>
        <v>600860.78</v>
      </c>
      <c r="D13" s="408">
        <f>Barnomsorg!B12</f>
        <v>1120845.1140000001</v>
      </c>
      <c r="E13" s="408">
        <f>'Skola, STR &amp; Spcfr'!C13</f>
        <v>380581</v>
      </c>
      <c r="F13" s="565">
        <f>'Skola, STR &amp; Spcfr'!E13+'Skola, STR &amp; Spcfr'!F13</f>
        <v>79697.38</v>
      </c>
      <c r="G13" s="408">
        <f>Specialfritids!D16</f>
        <v>108908.2</v>
      </c>
      <c r="H13" s="408">
        <f>Sociala!B12</f>
        <v>446916.27</v>
      </c>
      <c r="I13" s="408">
        <f>Sociala!C12</f>
        <v>743394.4</v>
      </c>
      <c r="J13" s="408">
        <f>'Kultur&amp;Medis'!B12</f>
        <v>90303.1</v>
      </c>
      <c r="K13" s="408">
        <f>'Kultur&amp;Medis'!C12</f>
        <v>0</v>
      </c>
      <c r="L13" s="498">
        <f t="shared" si="0"/>
        <v>6005017.2440000009</v>
      </c>
      <c r="M13" s="36">
        <f t="shared" si="1"/>
        <v>1089.4443476052252</v>
      </c>
      <c r="N13" s="36"/>
      <c r="O13" s="499">
        <f t="shared" si="2"/>
        <v>5261622.8440000005</v>
      </c>
      <c r="P13" s="36">
        <f t="shared" si="3"/>
        <v>954.57598766328022</v>
      </c>
      <c r="R13" s="548">
        <v>5512</v>
      </c>
      <c r="S13" s="379">
        <v>768</v>
      </c>
      <c r="U13" s="3"/>
      <c r="V13" s="3"/>
      <c r="W13" s="499">
        <v>4758682.578879999</v>
      </c>
      <c r="Y13" s="499">
        <f t="shared" si="4"/>
        <v>502940.26512000151</v>
      </c>
    </row>
    <row r="14" spans="1:25">
      <c r="A14" s="8" t="s">
        <v>8</v>
      </c>
      <c r="B14" s="408">
        <f>Skattekomplettering!B14</f>
        <v>287747.42</v>
      </c>
      <c r="C14" s="408">
        <f>'Skola, STR &amp; Spcfr'!B14</f>
        <v>213709.34</v>
      </c>
      <c r="D14" s="408">
        <f>Barnomsorg!B13</f>
        <v>82375.363799999992</v>
      </c>
      <c r="E14" s="408">
        <f>'Skola, STR &amp; Spcfr'!C14</f>
        <v>0</v>
      </c>
      <c r="F14" s="565">
        <f>'Skola, STR &amp; Spcfr'!E14+'Skola, STR &amp; Spcfr'!F14</f>
        <v>94010.559999999998</v>
      </c>
      <c r="G14" s="408">
        <f>Specialfritids!D17</f>
        <v>0</v>
      </c>
      <c r="H14" s="408">
        <f>Sociala!B13</f>
        <v>235164.67</v>
      </c>
      <c r="I14" s="408">
        <f>Sociala!C13</f>
        <v>42213.8</v>
      </c>
      <c r="J14" s="408">
        <f>'Kultur&amp;Medis'!B13</f>
        <v>5127.88</v>
      </c>
      <c r="K14" s="408">
        <f>'Kultur&amp;Medis'!C13</f>
        <v>0</v>
      </c>
      <c r="L14" s="498">
        <f t="shared" si="0"/>
        <v>960349.03380000009</v>
      </c>
      <c r="M14" s="36">
        <f t="shared" si="1"/>
        <v>3068.2077757188499</v>
      </c>
      <c r="N14" s="36"/>
      <c r="O14" s="499">
        <f t="shared" si="2"/>
        <v>918135.23380000005</v>
      </c>
      <c r="P14" s="36">
        <f t="shared" si="3"/>
        <v>2933.3394051118212</v>
      </c>
      <c r="R14" s="548">
        <v>313</v>
      </c>
      <c r="S14" s="379">
        <v>19</v>
      </c>
      <c r="W14" s="499">
        <v>832806.81816000002</v>
      </c>
      <c r="Y14" s="499">
        <f t="shared" si="4"/>
        <v>85328.415640000021</v>
      </c>
    </row>
    <row r="15" spans="1:25">
      <c r="A15" s="8" t="s">
        <v>9</v>
      </c>
      <c r="B15" s="408">
        <f>Skattekomplettering!B15</f>
        <v>296090.08</v>
      </c>
      <c r="C15" s="408">
        <f>'Skola, STR &amp; Spcfr'!B15</f>
        <v>67487.16</v>
      </c>
      <c r="D15" s="408">
        <f>Barnomsorg!B14</f>
        <v>22882.0455</v>
      </c>
      <c r="E15" s="408">
        <f>'Skola, STR &amp; Spcfr'!C15</f>
        <v>0</v>
      </c>
      <c r="F15" s="565">
        <f>'Skola, STR &amp; Spcfr'!E15+'Skola, STR &amp; Spcfr'!F15</f>
        <v>0</v>
      </c>
      <c r="G15" s="408">
        <f>Specialfritids!D18</f>
        <v>0</v>
      </c>
      <c r="H15" s="408">
        <f>Sociala!B14</f>
        <v>150586.60999999999</v>
      </c>
      <c r="I15" s="408">
        <f>Sociala!C14</f>
        <v>30210.51</v>
      </c>
      <c r="J15" s="408">
        <f>'Kultur&amp;Medis'!B14</f>
        <v>3669.79</v>
      </c>
      <c r="K15" s="408">
        <f>'Kultur&amp;Medis'!C14</f>
        <v>0</v>
      </c>
      <c r="L15" s="498">
        <f t="shared" si="0"/>
        <v>570926.19550000003</v>
      </c>
      <c r="M15" s="36">
        <f t="shared" si="1"/>
        <v>2548.7776584821431</v>
      </c>
      <c r="N15" s="36"/>
      <c r="O15" s="499">
        <f t="shared" si="2"/>
        <v>540715.68550000002</v>
      </c>
      <c r="P15" s="36">
        <f t="shared" si="3"/>
        <v>2413.9093102678571</v>
      </c>
      <c r="R15" s="548">
        <v>224</v>
      </c>
      <c r="S15" s="379">
        <v>6</v>
      </c>
      <c r="W15" s="499">
        <v>568787.31047999999</v>
      </c>
      <c r="Y15" s="499">
        <f t="shared" si="4"/>
        <v>-28071.624979999964</v>
      </c>
    </row>
    <row r="16" spans="1:25">
      <c r="A16" s="8" t="s">
        <v>10</v>
      </c>
      <c r="B16" s="408">
        <f>Skattekomplettering!B16</f>
        <v>1792362.93</v>
      </c>
      <c r="C16" s="408">
        <f>'Skola, STR &amp; Spcfr'!B16</f>
        <v>449518.83</v>
      </c>
      <c r="D16" s="408">
        <f>Barnomsorg!B15</f>
        <v>446262.40650000004</v>
      </c>
      <c r="E16" s="408">
        <f>'Skola, STR &amp; Spcfr'!C16</f>
        <v>114174.3</v>
      </c>
      <c r="F16" s="565">
        <f>'Skola, STR &amp; Spcfr'!E16+'Skola, STR &amp; Spcfr'!F16</f>
        <v>45541.36</v>
      </c>
      <c r="G16" s="408">
        <f>Specialfritids!D19</f>
        <v>21781.64</v>
      </c>
      <c r="H16" s="408">
        <f>Sociala!B15</f>
        <v>221569.16</v>
      </c>
      <c r="I16" s="408">
        <f>Sociala!C15</f>
        <v>287943.95</v>
      </c>
      <c r="J16" s="408">
        <f>'Kultur&amp;Medis'!B15</f>
        <v>34977.71</v>
      </c>
      <c r="K16" s="408">
        <f>'Kultur&amp;Medis'!C15</f>
        <v>0</v>
      </c>
      <c r="L16" s="498">
        <f t="shared" si="0"/>
        <v>3414132.2864999999</v>
      </c>
      <c r="M16" s="36">
        <f t="shared" si="1"/>
        <v>1599.1251927400467</v>
      </c>
      <c r="N16" s="36"/>
      <c r="O16" s="499">
        <f t="shared" si="2"/>
        <v>3126188.3364999997</v>
      </c>
      <c r="P16" s="36">
        <f t="shared" si="3"/>
        <v>1464.2568320843091</v>
      </c>
      <c r="R16" s="548">
        <v>2135</v>
      </c>
      <c r="S16" s="379">
        <v>298</v>
      </c>
      <c r="W16" s="499">
        <v>2862690.9597599995</v>
      </c>
      <c r="Y16" s="499">
        <f t="shared" si="4"/>
        <v>263497.37674000021</v>
      </c>
    </row>
    <row r="17" spans="1:25">
      <c r="A17" s="8" t="s">
        <v>11</v>
      </c>
      <c r="B17" s="408">
        <f>Skattekomplettering!B17</f>
        <v>314717.59000000003</v>
      </c>
      <c r="C17" s="408">
        <f>'Skola, STR &amp; Spcfr'!B17</f>
        <v>246269.46</v>
      </c>
      <c r="D17" s="408">
        <f>Barnomsorg!B16</f>
        <v>33210.225600000005</v>
      </c>
      <c r="E17" s="408">
        <f>'Skola, STR &amp; Spcfr'!C17</f>
        <v>38058.1</v>
      </c>
      <c r="F17" s="565">
        <f>'Skola, STR &amp; Spcfr'!E17+'Skola, STR &amp; Spcfr'!F17</f>
        <v>34156.019999999997</v>
      </c>
      <c r="G17" s="408">
        <f>Specialfritids!D20</f>
        <v>0</v>
      </c>
      <c r="H17" s="408">
        <f>Sociala!B16</f>
        <v>68920.39</v>
      </c>
      <c r="I17" s="408">
        <f>Sociala!C16</f>
        <v>50710.5</v>
      </c>
      <c r="J17" s="408">
        <f>'Kultur&amp;Medis'!B16</f>
        <v>6160.01</v>
      </c>
      <c r="K17" s="408">
        <f>'Kultur&amp;Medis'!C16</f>
        <v>0</v>
      </c>
      <c r="L17" s="498">
        <f t="shared" si="0"/>
        <v>792202.29560000007</v>
      </c>
      <c r="M17" s="36">
        <f t="shared" si="1"/>
        <v>2106.9209989361702</v>
      </c>
      <c r="N17" s="36"/>
      <c r="O17" s="499">
        <f t="shared" si="2"/>
        <v>741491.79560000007</v>
      </c>
      <c r="P17" s="36">
        <f t="shared" si="3"/>
        <v>1972.0526478723407</v>
      </c>
      <c r="R17" s="548">
        <v>376</v>
      </c>
      <c r="S17" s="379">
        <v>44</v>
      </c>
      <c r="W17" s="499">
        <v>688905.40167999989</v>
      </c>
      <c r="Y17" s="499">
        <f t="shared" si="4"/>
        <v>52586.393920000177</v>
      </c>
    </row>
    <row r="18" spans="1:25">
      <c r="A18" s="8" t="s">
        <v>12</v>
      </c>
      <c r="B18" s="408">
        <f>Skattekomplettering!B18</f>
        <v>1271807.68</v>
      </c>
      <c r="C18" s="408">
        <f>'Skola, STR &amp; Spcfr'!B18</f>
        <v>425690.52</v>
      </c>
      <c r="D18" s="408">
        <f>Barnomsorg!B17</f>
        <v>286438.19580000004</v>
      </c>
      <c r="E18" s="408">
        <f>'Skola, STR &amp; Spcfr'!C18</f>
        <v>152232.4</v>
      </c>
      <c r="F18" s="565">
        <f>'Skola, STR &amp; Spcfr'!E18+'Skola, STR &amp; Spcfr'!F18</f>
        <v>159394.76</v>
      </c>
      <c r="G18" s="408">
        <f>Specialfritids!D21</f>
        <v>32672.46</v>
      </c>
      <c r="H18" s="408">
        <f>Sociala!B17</f>
        <v>316619.45</v>
      </c>
      <c r="I18" s="408">
        <f>Sociala!C17</f>
        <v>244111.73</v>
      </c>
      <c r="J18" s="408">
        <f>'Kultur&amp;Medis'!B17</f>
        <v>29653.23</v>
      </c>
      <c r="K18" s="408">
        <f>'Kultur&amp;Medis'!C17</f>
        <v>0</v>
      </c>
      <c r="L18" s="498">
        <f t="shared" si="0"/>
        <v>2918620.4258000003</v>
      </c>
      <c r="M18" s="36">
        <f t="shared" si="1"/>
        <v>1612.4974728176796</v>
      </c>
      <c r="N18" s="36"/>
      <c r="O18" s="499">
        <f t="shared" si="2"/>
        <v>2674508.6958000003</v>
      </c>
      <c r="P18" s="36">
        <f t="shared" si="3"/>
        <v>1477.6291137016576</v>
      </c>
      <c r="R18" s="548">
        <v>1810</v>
      </c>
      <c r="S18" s="379">
        <v>224</v>
      </c>
      <c r="W18" s="499">
        <v>2342531.7779200003</v>
      </c>
      <c r="Y18" s="499">
        <f t="shared" si="4"/>
        <v>331976.91788000008</v>
      </c>
    </row>
    <row r="19" spans="1:25">
      <c r="A19" s="8" t="s">
        <v>13</v>
      </c>
      <c r="B19" s="408">
        <f>Skattekomplettering!B19</f>
        <v>58493.25</v>
      </c>
      <c r="C19" s="408">
        <f>'Skola, STR &amp; Spcfr'!B19</f>
        <v>112478.6</v>
      </c>
      <c r="D19" s="408">
        <f>Barnomsorg!B18</f>
        <v>41187.681899999996</v>
      </c>
      <c r="E19" s="408">
        <f>'Skola, STR &amp; Spcfr'!C19</f>
        <v>0</v>
      </c>
      <c r="F19" s="565">
        <f>'Skola, STR &amp; Spcfr'!E19+'Skola, STR &amp; Spcfr'!F19</f>
        <v>0</v>
      </c>
      <c r="G19" s="408">
        <f>Specialfritids!D22</f>
        <v>0</v>
      </c>
      <c r="H19" s="408">
        <f>Sociala!B18</f>
        <v>65301.69</v>
      </c>
      <c r="I19" s="408">
        <f>Sociala!C18</f>
        <v>14161.18</v>
      </c>
      <c r="J19" s="408">
        <f>'Kultur&amp;Medis'!B18</f>
        <v>1720.22</v>
      </c>
      <c r="K19" s="408">
        <f>'Kultur&amp;Medis'!C18</f>
        <v>0</v>
      </c>
      <c r="L19" s="498">
        <f t="shared" si="0"/>
        <v>293342.62189999997</v>
      </c>
      <c r="M19" s="36">
        <f t="shared" si="1"/>
        <v>2793.7392561904758</v>
      </c>
      <c r="N19" s="36"/>
      <c r="O19" s="499">
        <f t="shared" si="2"/>
        <v>279181.44189999998</v>
      </c>
      <c r="P19" s="36">
        <f t="shared" si="3"/>
        <v>2658.8708752380949</v>
      </c>
      <c r="R19" s="548">
        <v>105</v>
      </c>
      <c r="S19" s="379">
        <v>10</v>
      </c>
      <c r="W19" s="499">
        <v>198008.18288000001</v>
      </c>
      <c r="Y19" s="499">
        <f t="shared" si="4"/>
        <v>81173.259019999969</v>
      </c>
    </row>
    <row r="20" spans="1:25">
      <c r="A20" s="8" t="s">
        <v>14</v>
      </c>
      <c r="B20" s="408">
        <f>Skattekomplettering!B20</f>
        <v>1136683.8899999999</v>
      </c>
      <c r="C20" s="408">
        <f>'Skola, STR &amp; Spcfr'!B20</f>
        <v>384860.38</v>
      </c>
      <c r="D20" s="408">
        <f>Barnomsorg!B19</f>
        <v>124538.34600000001</v>
      </c>
      <c r="E20" s="408">
        <f>'Skola, STR &amp; Spcfr'!C20</f>
        <v>76116.2</v>
      </c>
      <c r="F20" s="565">
        <f>'Skola, STR &amp; Spcfr'!E20+'Skola, STR &amp; Spcfr'!F20</f>
        <v>11385.34</v>
      </c>
      <c r="G20" s="408">
        <f>Specialfritids!D23</f>
        <v>10890.82</v>
      </c>
      <c r="H20" s="408">
        <f>Sociala!B19</f>
        <v>156053.5</v>
      </c>
      <c r="I20" s="408">
        <f>Sociala!C19</f>
        <v>137430.85999999999</v>
      </c>
      <c r="J20" s="408">
        <f>'Kultur&amp;Medis'!B19</f>
        <v>16694.28</v>
      </c>
      <c r="K20" s="408">
        <f>'Kultur&amp;Medis'!C19</f>
        <v>0</v>
      </c>
      <c r="L20" s="498">
        <f t="shared" si="0"/>
        <v>2054653.6160000002</v>
      </c>
      <c r="M20" s="36">
        <f t="shared" si="1"/>
        <v>2016.3430971540727</v>
      </c>
      <c r="N20" s="36"/>
      <c r="O20" s="499">
        <f t="shared" si="2"/>
        <v>1917222.7560000001</v>
      </c>
      <c r="P20" s="36">
        <f t="shared" si="3"/>
        <v>1881.4747360157016</v>
      </c>
      <c r="R20" s="548">
        <v>1019</v>
      </c>
      <c r="S20" s="379">
        <v>117</v>
      </c>
      <c r="U20" s="3"/>
      <c r="V20" s="3"/>
      <c r="W20" s="499">
        <v>1794487.65536</v>
      </c>
      <c r="Y20" s="499">
        <f t="shared" si="4"/>
        <v>122735.10064000008</v>
      </c>
    </row>
    <row r="21" spans="1:25">
      <c r="A21" s="8" t="s">
        <v>15</v>
      </c>
      <c r="B21" s="408">
        <f>Skattekomplettering!B21</f>
        <v>661780.59</v>
      </c>
      <c r="C21" s="408">
        <f>'Skola, STR &amp; Spcfr'!B21</f>
        <v>435269.21</v>
      </c>
      <c r="D21" s="408">
        <f>Barnomsorg!B20</f>
        <v>154097.4474</v>
      </c>
      <c r="E21" s="408">
        <f>'Skola, STR &amp; Spcfr'!C21</f>
        <v>38058.1</v>
      </c>
      <c r="F21" s="565">
        <f>'Skola, STR &amp; Spcfr'!E21+'Skola, STR &amp; Spcfr'!F21</f>
        <v>22770.68</v>
      </c>
      <c r="G21" s="408">
        <f>Specialfritids!D24</f>
        <v>10890.82</v>
      </c>
      <c r="H21" s="408">
        <f>Sociala!B20</f>
        <v>237384.77</v>
      </c>
      <c r="I21" s="408">
        <f>Sociala!C20</f>
        <v>62444.05</v>
      </c>
      <c r="J21" s="408">
        <f>'Kultur&amp;Medis'!B20</f>
        <v>7585.33</v>
      </c>
      <c r="K21" s="408">
        <f>'Kultur&amp;Medis'!C20</f>
        <v>0</v>
      </c>
      <c r="L21" s="498">
        <f t="shared" si="0"/>
        <v>1630280.9974000002</v>
      </c>
      <c r="M21" s="36">
        <f t="shared" si="1"/>
        <v>3521.1252643628513</v>
      </c>
      <c r="N21" s="36"/>
      <c r="O21" s="499">
        <f t="shared" si="2"/>
        <v>1567836.9474000002</v>
      </c>
      <c r="P21" s="36">
        <f t="shared" si="3"/>
        <v>3386.2569058315339</v>
      </c>
      <c r="R21" s="548">
        <v>463</v>
      </c>
      <c r="S21" s="379">
        <v>47</v>
      </c>
      <c r="W21" s="499">
        <v>1499499.2897600001</v>
      </c>
      <c r="Y21" s="499">
        <f t="shared" si="4"/>
        <v>68337.657640000107</v>
      </c>
    </row>
    <row r="22" spans="1:25">
      <c r="A22" s="8" t="s">
        <v>16</v>
      </c>
      <c r="B22" s="410">
        <f>Skattekomplettering!B22</f>
        <v>0</v>
      </c>
      <c r="C22" s="408">
        <f>'Skola, STR &amp; Spcfr'!B22</f>
        <v>748016.69</v>
      </c>
      <c r="D22" s="408">
        <f>Barnomsorg!B21</f>
        <v>1374073.0842000002</v>
      </c>
      <c r="E22" s="408">
        <f>'Skola, STR &amp; Spcfr'!C22</f>
        <v>190290.5</v>
      </c>
      <c r="F22" s="565">
        <f>'Skola, STR &amp; Spcfr'!E22+'Skola, STR &amp; Spcfr'!F22</f>
        <v>506810.63999999996</v>
      </c>
      <c r="G22" s="408">
        <f>Specialfritids!D25</f>
        <v>21781.64</v>
      </c>
      <c r="H22" s="408">
        <f>Sociala!B21</f>
        <v>1882316.57</v>
      </c>
      <c r="I22" s="408">
        <f>Sociala!C21</f>
        <v>1583624.28</v>
      </c>
      <c r="J22" s="410">
        <f>'Kultur&amp;Medis'!B21</f>
        <v>192369.19</v>
      </c>
      <c r="K22" s="410"/>
      <c r="L22" s="500">
        <f t="shared" si="0"/>
        <v>6499282.5942000011</v>
      </c>
      <c r="M22" s="36">
        <f t="shared" si="1"/>
        <v>553.5072895758816</v>
      </c>
      <c r="N22" s="36"/>
      <c r="O22" s="499">
        <f t="shared" si="2"/>
        <v>4915658.3142000008</v>
      </c>
      <c r="P22" s="36">
        <f>O22/R22</f>
        <v>418.63892984159435</v>
      </c>
      <c r="R22" s="548">
        <v>11742</v>
      </c>
      <c r="S22" s="381">
        <v>1225</v>
      </c>
      <c r="W22" s="499">
        <v>4657327.2063200008</v>
      </c>
      <c r="Y22" s="499">
        <f t="shared" si="4"/>
        <v>258331.10788000003</v>
      </c>
    </row>
    <row r="23" spans="1:25">
      <c r="A23" s="8"/>
      <c r="B23" s="410"/>
      <c r="C23" s="408"/>
      <c r="D23" s="408"/>
      <c r="E23" s="408"/>
      <c r="F23" s="565"/>
      <c r="G23" s="408"/>
      <c r="H23" s="408"/>
      <c r="I23" s="408"/>
      <c r="J23" s="410"/>
      <c r="K23" s="410"/>
      <c r="L23" s="500"/>
      <c r="M23" s="36"/>
      <c r="N23" s="36"/>
      <c r="O23" s="499"/>
      <c r="P23" s="36"/>
      <c r="R23" s="454"/>
      <c r="S23" s="125"/>
      <c r="W23" s="499"/>
      <c r="Y23" s="499"/>
    </row>
    <row r="24" spans="1:25">
      <c r="A24" s="98"/>
      <c r="B24" s="410"/>
      <c r="C24" s="408"/>
      <c r="D24" s="408"/>
      <c r="E24" s="408"/>
      <c r="F24" s="565"/>
      <c r="G24" s="408"/>
      <c r="H24" s="408"/>
      <c r="I24" s="408"/>
      <c r="J24" s="410"/>
      <c r="K24" s="410"/>
      <c r="L24" s="500"/>
      <c r="M24" s="36"/>
      <c r="N24" s="36"/>
      <c r="O24" s="499"/>
      <c r="P24" s="36"/>
      <c r="R24" s="454"/>
      <c r="S24" s="451"/>
      <c r="W24" s="499"/>
      <c r="Y24" s="499"/>
    </row>
    <row r="25" spans="1:25">
      <c r="A25" s="98"/>
      <c r="B25" s="501"/>
      <c r="C25" s="501"/>
      <c r="D25" s="501"/>
      <c r="E25" s="501"/>
      <c r="F25" s="566"/>
      <c r="G25" s="501"/>
      <c r="H25" s="501"/>
      <c r="I25" s="502"/>
      <c r="J25" s="501"/>
      <c r="K25" s="501"/>
      <c r="L25" s="503"/>
      <c r="M25" s="357"/>
      <c r="N25" s="38"/>
      <c r="O25" s="504"/>
      <c r="P25" s="502"/>
      <c r="R25" s="454"/>
      <c r="S25" s="452"/>
      <c r="W25" s="504"/>
      <c r="Y25" s="504"/>
    </row>
    <row r="26" spans="1:25">
      <c r="A26" s="12" t="s">
        <v>18</v>
      </c>
      <c r="B26" s="409">
        <f t="shared" ref="B26:C26" si="5">SUM(B7:B22)</f>
        <v>15730465.460000001</v>
      </c>
      <c r="C26" s="409">
        <f t="shared" si="5"/>
        <v>5976316.8299999982</v>
      </c>
      <c r="D26" s="409">
        <f>Barnomsorg!B22</f>
        <v>4734932.9103000006</v>
      </c>
      <c r="E26" s="409">
        <f>SUM(E7:E22)</f>
        <v>1217859.2</v>
      </c>
      <c r="F26" s="645">
        <f>SUM(F7:F22)</f>
        <v>1296790.8600000001</v>
      </c>
      <c r="G26" s="409">
        <f>Specialfritids!D26</f>
        <v>217816.39999999997</v>
      </c>
      <c r="H26" s="409">
        <f>Sociala!B22</f>
        <v>5093424.1400000006</v>
      </c>
      <c r="I26" s="409">
        <f>Sociala!C22</f>
        <v>4092445.5</v>
      </c>
      <c r="J26" s="409">
        <f>SUM(J7:J22)</f>
        <v>497125.78</v>
      </c>
      <c r="K26" s="409">
        <f>SUM(K7:K22)</f>
        <v>0</v>
      </c>
      <c r="L26" s="505">
        <f>SUM(L7:L25)</f>
        <v>38857177.080300003</v>
      </c>
      <c r="M26" s="36">
        <f>L26/R26</f>
        <v>1280.5555325698656</v>
      </c>
      <c r="N26" s="20"/>
      <c r="O26" s="116">
        <f>SUM(O7:O22)</f>
        <v>34764731.580300003</v>
      </c>
      <c r="P26" s="36"/>
      <c r="R26" s="454">
        <f>SUM(R7:R22)</f>
        <v>30344</v>
      </c>
      <c r="S26" s="125">
        <f>SUM(S7:S22)</f>
        <v>3522</v>
      </c>
      <c r="U26" s="3"/>
      <c r="V26" s="3"/>
      <c r="W26" s="116">
        <v>32854329.890479997</v>
      </c>
      <c r="Y26" s="116">
        <f>O26-W26</f>
        <v>1910401.6898200065</v>
      </c>
    </row>
    <row r="27" spans="1:25">
      <c r="B27" s="3"/>
      <c r="C27" s="3"/>
      <c r="D27" s="3"/>
      <c r="E27" s="506" t="s">
        <v>439</v>
      </c>
      <c r="F27" s="654" t="s">
        <v>440</v>
      </c>
      <c r="G27" s="506" t="s">
        <v>439</v>
      </c>
      <c r="H27" s="3"/>
      <c r="I27" s="3"/>
      <c r="J27" s="3"/>
      <c r="K27" s="3"/>
      <c r="L27" s="505">
        <f>SUM(B26:K26)</f>
        <v>38857177.080300003</v>
      </c>
      <c r="M27" s="3"/>
      <c r="N27" s="507"/>
      <c r="O27" s="507"/>
      <c r="P27" s="3"/>
      <c r="R27" s="20"/>
    </row>
    <row r="28" spans="1:25">
      <c r="C28" s="450"/>
      <c r="F28" s="315"/>
      <c r="O28" s="647">
        <f>L26-O26</f>
        <v>4092445.5</v>
      </c>
      <c r="Y28" s="643">
        <f>1970370/2000000</f>
        <v>0.98518499999999998</v>
      </c>
    </row>
    <row r="29" spans="1:25">
      <c r="C29" s="450"/>
      <c r="D29" s="450"/>
      <c r="F29" s="315"/>
      <c r="H29" s="450"/>
    </row>
    <row r="30" spans="1:25" ht="23">
      <c r="A30" t="s">
        <v>449</v>
      </c>
      <c r="B30" s="3">
        <f>B60</f>
        <v>340602.65000000037</v>
      </c>
      <c r="C30" s="3">
        <f t="shared" ref="C30:O30" si="6">C60</f>
        <v>389624.29999999795</v>
      </c>
      <c r="D30" s="3">
        <f t="shared" si="6"/>
        <v>154874.00982000027</v>
      </c>
      <c r="E30" s="3">
        <f t="shared" si="6"/>
        <v>240800.28000000003</v>
      </c>
      <c r="F30" s="655">
        <f t="shared" si="6"/>
        <v>461796.02000000025</v>
      </c>
      <c r="G30" s="3">
        <f t="shared" si="6"/>
        <v>27634.999999999942</v>
      </c>
      <c r="H30" s="3">
        <f t="shared" si="6"/>
        <v>14110.009999999776</v>
      </c>
      <c r="I30" s="3">
        <f t="shared" si="6"/>
        <v>772740.71</v>
      </c>
      <c r="J30" s="3">
        <f t="shared" si="6"/>
        <v>20876.670000000042</v>
      </c>
      <c r="K30" s="3"/>
      <c r="L30" s="657">
        <f t="shared" si="6"/>
        <v>2423059.6498199999</v>
      </c>
      <c r="M30" s="36"/>
      <c r="N30" s="3">
        <f t="shared" si="6"/>
        <v>0</v>
      </c>
      <c r="O30" s="3">
        <f t="shared" si="6"/>
        <v>1542306.4298200086</v>
      </c>
    </row>
    <row r="31" spans="1:25" ht="90" customHeight="1">
      <c r="A31" s="497" t="s">
        <v>457</v>
      </c>
      <c r="C31" s="644"/>
      <c r="D31" s="644"/>
      <c r="E31" s="644"/>
      <c r="F31" s="656" t="s">
        <v>450</v>
      </c>
      <c r="K31" s="656" t="s">
        <v>454</v>
      </c>
      <c r="O31" t="s">
        <v>441</v>
      </c>
      <c r="R31" t="s">
        <v>403</v>
      </c>
      <c r="T31" t="s">
        <v>404</v>
      </c>
    </row>
    <row r="32" spans="1:25" ht="29">
      <c r="C32" s="644"/>
      <c r="D32" s="644"/>
      <c r="E32" s="644"/>
      <c r="F32" s="644"/>
      <c r="O32" s="109" t="s">
        <v>303</v>
      </c>
      <c r="R32" s="109" t="s">
        <v>303</v>
      </c>
      <c r="S32" s="69"/>
      <c r="T32" s="109" t="s">
        <v>303</v>
      </c>
    </row>
    <row r="33" spans="3:20">
      <c r="C33" s="477"/>
      <c r="D33" s="69"/>
      <c r="E33" s="69"/>
      <c r="F33" s="69"/>
      <c r="H33" s="450">
        <v>5237896.8199999994</v>
      </c>
      <c r="O33" s="499">
        <v>777085.5173999999</v>
      </c>
      <c r="R33" s="499">
        <v>939675.31767999998</v>
      </c>
      <c r="T33" s="499">
        <f>O33-R33</f>
        <v>-162589.80028000008</v>
      </c>
    </row>
    <row r="34" spans="3:20">
      <c r="C34" s="69"/>
      <c r="D34" s="69"/>
      <c r="E34" s="69"/>
      <c r="F34" s="69"/>
      <c r="O34" s="499">
        <v>1960720.7378</v>
      </c>
      <c r="R34" s="499">
        <v>1923992.8688000001</v>
      </c>
      <c r="T34" s="499">
        <f t="shared" ref="T34:T48" si="7">O34-R34</f>
        <v>36727.868999999948</v>
      </c>
    </row>
    <row r="35" spans="3:20">
      <c r="D35" s="450"/>
      <c r="H35" s="450"/>
      <c r="O35" s="499">
        <v>3981588.1645000004</v>
      </c>
      <c r="R35" s="499">
        <v>3883568.9012000002</v>
      </c>
      <c r="T35" s="499">
        <f t="shared" si="7"/>
        <v>98019.263300000224</v>
      </c>
    </row>
    <row r="36" spans="3:20">
      <c r="C36" s="8"/>
      <c r="D36" s="450"/>
      <c r="F36" s="481"/>
      <c r="O36" s="499">
        <v>1344312.0175999999</v>
      </c>
      <c r="R36" s="499">
        <v>1327410.24272</v>
      </c>
      <c r="T36" s="499">
        <f t="shared" si="7"/>
        <v>16901.774879999924</v>
      </c>
    </row>
    <row r="37" spans="3:20">
      <c r="C37" s="8"/>
      <c r="D37" s="450"/>
      <c r="F37" s="481"/>
      <c r="O37" s="499">
        <v>1590449.1394</v>
      </c>
      <c r="R37" s="499">
        <v>1486563.3578399997</v>
      </c>
      <c r="T37" s="499">
        <f t="shared" si="7"/>
        <v>103885.78156000027</v>
      </c>
    </row>
    <row r="38" spans="3:20">
      <c r="C38" s="8"/>
      <c r="D38" s="450"/>
      <c r="F38" s="3"/>
      <c r="H38" s="450"/>
      <c r="O38" s="499">
        <v>3168013.9529000004</v>
      </c>
      <c r="R38" s="499">
        <v>3089392.02104</v>
      </c>
      <c r="T38" s="499">
        <f t="shared" si="7"/>
        <v>78621.931860000361</v>
      </c>
    </row>
    <row r="39" spans="3:20">
      <c r="C39" s="8"/>
      <c r="D39" s="450"/>
      <c r="F39" s="450"/>
      <c r="O39" s="499">
        <v>5261622.8440000005</v>
      </c>
      <c r="R39" s="499">
        <v>4758682.578879999</v>
      </c>
      <c r="T39" s="499">
        <f t="shared" si="7"/>
        <v>502940.26512000151</v>
      </c>
    </row>
    <row r="40" spans="3:20">
      <c r="D40" s="450"/>
      <c r="F40" s="450"/>
      <c r="O40" s="499">
        <v>918135.23380000005</v>
      </c>
      <c r="R40" s="499">
        <v>832806.81816000002</v>
      </c>
      <c r="T40" s="499">
        <f t="shared" si="7"/>
        <v>85328.415640000021</v>
      </c>
    </row>
    <row r="41" spans="3:20">
      <c r="D41" s="450"/>
      <c r="F41" s="450"/>
      <c r="O41" s="499">
        <v>540715.68550000002</v>
      </c>
      <c r="R41" s="499">
        <v>568787.31047999999</v>
      </c>
      <c r="T41" s="499">
        <f t="shared" si="7"/>
        <v>-28071.624979999964</v>
      </c>
    </row>
    <row r="42" spans="3:20">
      <c r="D42" s="450"/>
      <c r="F42" s="450"/>
      <c r="O42" s="499">
        <v>3126188.3364999997</v>
      </c>
      <c r="R42" s="499">
        <v>2862690.9597599995</v>
      </c>
      <c r="T42" s="499">
        <f t="shared" si="7"/>
        <v>263497.37674000021</v>
      </c>
    </row>
    <row r="43" spans="3:20">
      <c r="D43" s="450"/>
      <c r="F43" s="450"/>
      <c r="O43" s="499">
        <v>741491.79560000007</v>
      </c>
      <c r="R43" s="499">
        <v>688905.40167999989</v>
      </c>
      <c r="T43" s="499">
        <f t="shared" si="7"/>
        <v>52586.393920000177</v>
      </c>
    </row>
    <row r="44" spans="3:20">
      <c r="D44" s="450"/>
      <c r="F44" s="450"/>
      <c r="O44" s="499">
        <v>2674508.6958000003</v>
      </c>
      <c r="R44" s="499">
        <v>2342531.7779200003</v>
      </c>
      <c r="T44" s="499">
        <f t="shared" si="7"/>
        <v>331976.91788000008</v>
      </c>
    </row>
    <row r="45" spans="3:20">
      <c r="D45" s="450"/>
      <c r="F45" s="450"/>
      <c r="O45" s="499">
        <v>279181.44189999998</v>
      </c>
      <c r="R45" s="499">
        <v>198008.18288000001</v>
      </c>
      <c r="T45" s="499">
        <f t="shared" si="7"/>
        <v>81173.259019999969</v>
      </c>
    </row>
    <row r="46" spans="3:20">
      <c r="D46" s="450"/>
      <c r="F46" s="450"/>
      <c r="O46" s="499">
        <v>1917222.7560000001</v>
      </c>
      <c r="R46" s="499">
        <v>1794487.65536</v>
      </c>
      <c r="T46" s="499">
        <f t="shared" si="7"/>
        <v>122735.10064000008</v>
      </c>
    </row>
    <row r="47" spans="3:20">
      <c r="D47" s="450"/>
      <c r="F47" s="450"/>
      <c r="O47" s="499">
        <v>1567836.9474000002</v>
      </c>
      <c r="R47" s="499">
        <v>1499499.2897600001</v>
      </c>
      <c r="T47" s="499">
        <f t="shared" si="7"/>
        <v>68337.657640000107</v>
      </c>
    </row>
    <row r="48" spans="3:20">
      <c r="D48" s="450"/>
      <c r="F48" s="450"/>
      <c r="O48" s="499">
        <v>4915658.3142000008</v>
      </c>
      <c r="R48" s="499">
        <v>4657327.2063200008</v>
      </c>
      <c r="T48" s="499">
        <f t="shared" si="7"/>
        <v>258331.10788000003</v>
      </c>
    </row>
    <row r="49" spans="1:20">
      <c r="D49" s="450"/>
      <c r="F49" s="450"/>
      <c r="O49" s="499"/>
      <c r="R49" s="499"/>
      <c r="T49" s="499"/>
    </row>
    <row r="50" spans="1:20">
      <c r="C50" s="19"/>
      <c r="D50" s="509"/>
      <c r="F50" s="450"/>
      <c r="O50" s="499"/>
      <c r="R50" s="499"/>
      <c r="T50" s="499"/>
    </row>
    <row r="51" spans="1:20">
      <c r="C51" s="19"/>
      <c r="D51" s="509"/>
      <c r="F51" s="450"/>
      <c r="O51" s="504"/>
      <c r="R51" s="504"/>
      <c r="T51" s="504"/>
    </row>
    <row r="52" spans="1:20">
      <c r="C52" s="19"/>
      <c r="D52" s="509"/>
      <c r="O52" s="116">
        <f>SUM(O33:O48)</f>
        <v>34764731.580300003</v>
      </c>
      <c r="R52" s="116">
        <v>32854329.890479997</v>
      </c>
      <c r="T52" s="116">
        <f>O52-R52</f>
        <v>1910401.6898200065</v>
      </c>
    </row>
    <row r="53" spans="1:20">
      <c r="C53" s="19"/>
      <c r="D53" s="509"/>
    </row>
    <row r="54" spans="1:20">
      <c r="C54" s="19"/>
      <c r="D54" s="509"/>
    </row>
    <row r="55" spans="1:20">
      <c r="C55" s="19"/>
      <c r="D55" s="509"/>
    </row>
    <row r="56" spans="1:20">
      <c r="A56" s="12" t="s">
        <v>18</v>
      </c>
      <c r="B56" s="409">
        <v>15389862.810000001</v>
      </c>
      <c r="C56" s="409">
        <v>5586692.5300000003</v>
      </c>
      <c r="D56" s="409">
        <v>4580058.9004800003</v>
      </c>
      <c r="E56" s="409">
        <v>977058.91999999993</v>
      </c>
      <c r="F56" s="409">
        <v>834994.83999999985</v>
      </c>
      <c r="G56" s="409">
        <v>190181.40000000002</v>
      </c>
      <c r="H56" s="409">
        <v>5079314.1300000008</v>
      </c>
      <c r="I56" s="409">
        <v>3319704.79</v>
      </c>
      <c r="J56" s="409">
        <v>476249.11</v>
      </c>
      <c r="K56" s="409">
        <v>108012.51000000001</v>
      </c>
      <c r="L56" s="505">
        <f>36542129.94048-K56</f>
        <v>36434117.430480003</v>
      </c>
      <c r="M56" s="646">
        <v>1212.855718426765</v>
      </c>
      <c r="N56" s="20"/>
      <c r="O56" s="20">
        <v>33222425.150479995</v>
      </c>
      <c r="P56" s="646"/>
    </row>
    <row r="57" spans="1:20">
      <c r="B57" s="3"/>
      <c r="C57" s="3"/>
      <c r="D57" s="3"/>
      <c r="E57" s="506" t="s">
        <v>351</v>
      </c>
      <c r="F57" s="506" t="s">
        <v>377</v>
      </c>
      <c r="G57" s="506" t="s">
        <v>351</v>
      </c>
      <c r="H57" s="3"/>
      <c r="I57" s="3"/>
      <c r="J57" s="3"/>
      <c r="K57" s="3"/>
      <c r="L57" s="505">
        <v>36174034.680479996</v>
      </c>
      <c r="M57" s="3"/>
      <c r="N57" s="3"/>
      <c r="O57" s="3"/>
      <c r="P57" s="3"/>
    </row>
    <row r="58" spans="1:20">
      <c r="C58" s="19"/>
    </row>
    <row r="59" spans="1:20">
      <c r="C59" s="19"/>
    </row>
    <row r="60" spans="1:20">
      <c r="B60" s="3">
        <f>B26-B56</f>
        <v>340602.65000000037</v>
      </c>
      <c r="C60" s="3">
        <f t="shared" ref="C60:O60" si="8">C26-C56</f>
        <v>389624.29999999795</v>
      </c>
      <c r="D60" s="3">
        <f t="shared" si="8"/>
        <v>154874.00982000027</v>
      </c>
      <c r="E60" s="3">
        <f t="shared" si="8"/>
        <v>240800.28000000003</v>
      </c>
      <c r="F60" s="3">
        <f t="shared" si="8"/>
        <v>461796.02000000025</v>
      </c>
      <c r="G60" s="3">
        <f t="shared" si="8"/>
        <v>27634.999999999942</v>
      </c>
      <c r="H60" s="3">
        <f t="shared" si="8"/>
        <v>14110.009999999776</v>
      </c>
      <c r="I60" s="3">
        <f t="shared" si="8"/>
        <v>772740.71</v>
      </c>
      <c r="J60" s="3">
        <f t="shared" si="8"/>
        <v>20876.670000000042</v>
      </c>
      <c r="K60" s="3">
        <f t="shared" si="8"/>
        <v>-108012.51000000001</v>
      </c>
      <c r="L60" s="3">
        <f t="shared" si="8"/>
        <v>2423059.6498199999</v>
      </c>
      <c r="M60" s="3">
        <f t="shared" si="8"/>
        <v>67.699814143100639</v>
      </c>
      <c r="N60" s="3">
        <f t="shared" si="8"/>
        <v>0</v>
      </c>
      <c r="O60" s="3">
        <f t="shared" si="8"/>
        <v>1542306.4298200086</v>
      </c>
    </row>
    <row r="61" spans="1:20">
      <c r="C61" s="19"/>
    </row>
    <row r="62" spans="1:20">
      <c r="C62" s="19"/>
    </row>
    <row r="70" spans="1:16">
      <c r="A70" s="96" t="s">
        <v>446</v>
      </c>
    </row>
    <row r="71" spans="1:16">
      <c r="A71" s="97"/>
      <c r="F71" s="794"/>
    </row>
    <row r="72" spans="1:16">
      <c r="B72" s="472"/>
      <c r="F72" s="794"/>
    </row>
    <row r="73" spans="1:16" ht="43.5">
      <c r="A73" s="649"/>
      <c r="B73" s="109" t="s">
        <v>168</v>
      </c>
      <c r="C73" s="109" t="s">
        <v>32</v>
      </c>
      <c r="D73" s="109" t="s">
        <v>274</v>
      </c>
      <c r="E73" s="109" t="s">
        <v>34</v>
      </c>
      <c r="F73" s="109" t="s">
        <v>322</v>
      </c>
      <c r="G73" s="109" t="s">
        <v>293</v>
      </c>
      <c r="H73" s="109" t="s">
        <v>304</v>
      </c>
      <c r="I73" s="109" t="s">
        <v>302</v>
      </c>
      <c r="J73" s="109" t="s">
        <v>74</v>
      </c>
      <c r="K73" s="109" t="s">
        <v>33</v>
      </c>
      <c r="L73" s="109" t="s">
        <v>36</v>
      </c>
      <c r="M73" s="109" t="s">
        <v>305</v>
      </c>
      <c r="N73" s="109"/>
      <c r="O73" s="109" t="s">
        <v>303</v>
      </c>
      <c r="P73" s="109" t="s">
        <v>305</v>
      </c>
    </row>
    <row r="74" spans="1:16">
      <c r="A74" s="8" t="s">
        <v>1</v>
      </c>
      <c r="B74" s="408">
        <v>216981.09</v>
      </c>
      <c r="C74" s="408">
        <v>346401.24</v>
      </c>
      <c r="D74" s="408">
        <v>70466.88768</v>
      </c>
      <c r="E74" s="408">
        <v>0</v>
      </c>
      <c r="F74" s="408">
        <v>38356.35</v>
      </c>
      <c r="G74" s="408">
        <v>0</v>
      </c>
      <c r="H74" s="408">
        <v>265050.01</v>
      </c>
      <c r="I74" s="408">
        <v>49472.18</v>
      </c>
      <c r="J74" s="408">
        <v>7097.34</v>
      </c>
      <c r="K74" s="408">
        <v>0</v>
      </c>
      <c r="L74" s="650">
        <v>993825.09768000001</v>
      </c>
      <c r="M74" s="651">
        <v>2213.418925790646</v>
      </c>
      <c r="N74" s="651"/>
      <c r="O74" s="652">
        <v>944352.91767999995</v>
      </c>
      <c r="P74" s="651">
        <v>2103.2358968374165</v>
      </c>
    </row>
    <row r="75" spans="1:16">
      <c r="A75" s="8" t="s">
        <v>2</v>
      </c>
      <c r="B75" s="408">
        <v>1206607.57</v>
      </c>
      <c r="C75" s="408">
        <v>344263.78</v>
      </c>
      <c r="D75" s="408">
        <v>119851.46880000002</v>
      </c>
      <c r="E75" s="408">
        <v>79591.88</v>
      </c>
      <c r="F75" s="408">
        <v>9355.2099999999991</v>
      </c>
      <c r="G75" s="408">
        <v>4638.57</v>
      </c>
      <c r="H75" s="408">
        <v>172257.8</v>
      </c>
      <c r="I75" s="408">
        <v>105555.35</v>
      </c>
      <c r="J75" s="408">
        <v>15143.11</v>
      </c>
      <c r="K75" s="408">
        <v>0</v>
      </c>
      <c r="L75" s="650">
        <v>2057264.7388000002</v>
      </c>
      <c r="M75" s="651">
        <v>2147.4579736951987</v>
      </c>
      <c r="N75" s="651"/>
      <c r="O75" s="652">
        <v>1951709.3888000001</v>
      </c>
      <c r="P75" s="651">
        <v>2037.2749361169103</v>
      </c>
    </row>
    <row r="76" spans="1:16">
      <c r="A76" s="8" t="s">
        <v>3</v>
      </c>
      <c r="B76" s="408">
        <v>2545236.81</v>
      </c>
      <c r="C76" s="408">
        <v>431231.17</v>
      </c>
      <c r="D76" s="408">
        <v>379529.65120000002</v>
      </c>
      <c r="E76" s="408">
        <v>19211.830000000002</v>
      </c>
      <c r="F76" s="408">
        <v>98970.81</v>
      </c>
      <c r="G76" s="408">
        <v>0</v>
      </c>
      <c r="H76" s="408">
        <v>345165.06</v>
      </c>
      <c r="I76" s="408">
        <v>286806.45</v>
      </c>
      <c r="J76" s="408">
        <v>41145.620000000003</v>
      </c>
      <c r="K76" s="408">
        <v>0</v>
      </c>
      <c r="L76" s="650">
        <v>4147297.4012000007</v>
      </c>
      <c r="M76" s="651">
        <v>1593.2759897041876</v>
      </c>
      <c r="N76" s="651"/>
      <c r="O76" s="652">
        <v>3860490.9512000005</v>
      </c>
      <c r="P76" s="651">
        <v>1483.0929509028047</v>
      </c>
    </row>
    <row r="77" spans="1:16">
      <c r="A77" s="8" t="s">
        <v>4</v>
      </c>
      <c r="B77" s="408">
        <v>476366.81</v>
      </c>
      <c r="C77" s="408">
        <v>389117.64</v>
      </c>
      <c r="D77" s="408">
        <v>148298.14272</v>
      </c>
      <c r="E77" s="408">
        <v>32934.57</v>
      </c>
      <c r="F77" s="408">
        <v>14032.81</v>
      </c>
      <c r="G77" s="408">
        <v>0</v>
      </c>
      <c r="H77" s="408">
        <v>272378.59999999998</v>
      </c>
      <c r="I77" s="408">
        <v>57956.28</v>
      </c>
      <c r="J77" s="408">
        <v>8314.48</v>
      </c>
      <c r="K77" s="408">
        <v>0</v>
      </c>
      <c r="L77" s="650">
        <v>1399399.3327200001</v>
      </c>
      <c r="M77" s="651">
        <v>2660.4550051711026</v>
      </c>
      <c r="N77" s="651"/>
      <c r="O77" s="652">
        <v>1341443.05272</v>
      </c>
      <c r="P77" s="651">
        <v>2550.2719633460079</v>
      </c>
    </row>
    <row r="78" spans="1:16">
      <c r="A78" s="8" t="s">
        <v>5</v>
      </c>
      <c r="B78" s="408">
        <v>954328.62</v>
      </c>
      <c r="C78" s="408">
        <v>293778.17</v>
      </c>
      <c r="D78" s="408">
        <v>65918.307840000009</v>
      </c>
      <c r="E78" s="408">
        <v>65869.14</v>
      </c>
      <c r="F78" s="408">
        <v>29936.67</v>
      </c>
      <c r="G78" s="408">
        <v>0</v>
      </c>
      <c r="H78" s="408">
        <v>87365.49</v>
      </c>
      <c r="I78" s="408">
        <v>56303.53</v>
      </c>
      <c r="J78" s="408">
        <v>8077.38</v>
      </c>
      <c r="K78" s="408">
        <v>0</v>
      </c>
      <c r="L78" s="650">
        <v>1561577.3078399997</v>
      </c>
      <c r="M78" s="651">
        <v>3055.9242814872791</v>
      </c>
      <c r="N78" s="651"/>
      <c r="O78" s="652">
        <v>1505273.7778399996</v>
      </c>
      <c r="P78" s="651">
        <v>2945.7412482191776</v>
      </c>
    </row>
    <row r="79" spans="1:16">
      <c r="A79" s="8" t="s">
        <v>6</v>
      </c>
      <c r="B79" s="408">
        <v>2056521.35</v>
      </c>
      <c r="C79" s="408">
        <v>393367</v>
      </c>
      <c r="D79" s="408">
        <v>245695.51104000004</v>
      </c>
      <c r="E79" s="408">
        <v>19211.830000000002</v>
      </c>
      <c r="F79" s="408">
        <v>96358.65</v>
      </c>
      <c r="G79" s="408">
        <v>6494</v>
      </c>
      <c r="H79" s="408">
        <v>223429.38</v>
      </c>
      <c r="I79" s="408">
        <v>176182.68</v>
      </c>
      <c r="J79" s="408">
        <v>25275.39</v>
      </c>
      <c r="K79" s="408">
        <v>0</v>
      </c>
      <c r="L79" s="650">
        <v>3242535.7910400005</v>
      </c>
      <c r="M79" s="651">
        <v>2027.8522770731711</v>
      </c>
      <c r="N79" s="651"/>
      <c r="O79" s="652">
        <v>3066353.1110400003</v>
      </c>
      <c r="P79" s="651">
        <v>1917.6692376735461</v>
      </c>
    </row>
    <row r="80" spans="1:16">
      <c r="A80" s="8" t="s">
        <v>7</v>
      </c>
      <c r="B80" s="408">
        <v>2209239.21</v>
      </c>
      <c r="C80" s="408">
        <v>562854.26</v>
      </c>
      <c r="D80" s="408">
        <v>1060685.4988800001</v>
      </c>
      <c r="E80" s="408">
        <v>329345.7</v>
      </c>
      <c r="F80" s="408">
        <v>32743.23</v>
      </c>
      <c r="G80" s="408">
        <v>98337.7</v>
      </c>
      <c r="H80" s="408">
        <v>422360.85</v>
      </c>
      <c r="I80" s="408">
        <v>593445.85</v>
      </c>
      <c r="J80" s="408">
        <v>85136.5</v>
      </c>
      <c r="K80" s="408">
        <v>0</v>
      </c>
      <c r="L80" s="650">
        <v>5394148.7988799997</v>
      </c>
      <c r="M80" s="651">
        <v>1001.512959316747</v>
      </c>
      <c r="N80" s="651"/>
      <c r="O80" s="652">
        <v>4800702.94888</v>
      </c>
      <c r="P80" s="651">
        <v>891.32991995544</v>
      </c>
    </row>
    <row r="81" spans="1:16">
      <c r="A81" s="8" t="s">
        <v>8</v>
      </c>
      <c r="B81" s="408">
        <v>290024.40000000002</v>
      </c>
      <c r="C81" s="408">
        <v>178449.13</v>
      </c>
      <c r="D81" s="408">
        <v>74871.068159999995</v>
      </c>
      <c r="E81" s="408">
        <v>0</v>
      </c>
      <c r="F81" s="408">
        <v>62291.1</v>
      </c>
      <c r="G81" s="408">
        <v>0</v>
      </c>
      <c r="H81" s="408">
        <v>236351.18</v>
      </c>
      <c r="I81" s="408">
        <v>33826.19</v>
      </c>
      <c r="J81" s="408">
        <v>4852.75</v>
      </c>
      <c r="K81" s="408">
        <v>0</v>
      </c>
      <c r="L81" s="650">
        <v>880665.81816000002</v>
      </c>
      <c r="M81" s="651">
        <v>2868.61830019544</v>
      </c>
      <c r="N81" s="651"/>
      <c r="O81" s="652">
        <v>846839.62816000008</v>
      </c>
      <c r="P81" s="651">
        <v>2758.435270879479</v>
      </c>
    </row>
    <row r="82" spans="1:16">
      <c r="A82" s="8" t="s">
        <v>9</v>
      </c>
      <c r="B82" s="408">
        <v>312692.25</v>
      </c>
      <c r="C82" s="408">
        <v>94473.07</v>
      </c>
      <c r="D82" s="408">
        <v>4404.18048</v>
      </c>
      <c r="E82" s="408">
        <v>0</v>
      </c>
      <c r="F82" s="408">
        <v>0</v>
      </c>
      <c r="G82" s="408">
        <v>0</v>
      </c>
      <c r="H82" s="408">
        <v>153661.23000000001</v>
      </c>
      <c r="I82" s="408">
        <v>24791.18</v>
      </c>
      <c r="J82" s="408">
        <v>3556.58</v>
      </c>
      <c r="K82" s="408">
        <v>0</v>
      </c>
      <c r="L82" s="650">
        <v>593578.49048000004</v>
      </c>
      <c r="M82" s="651">
        <v>2638.1266243555556</v>
      </c>
      <c r="N82" s="651"/>
      <c r="O82" s="652">
        <v>568787.31047999999</v>
      </c>
      <c r="P82" s="651">
        <v>2527.9436021333331</v>
      </c>
    </row>
    <row r="83" spans="1:16">
      <c r="A83" s="8" t="s">
        <v>10</v>
      </c>
      <c r="B83" s="408">
        <v>1731484.94</v>
      </c>
      <c r="C83" s="408">
        <v>417407.74</v>
      </c>
      <c r="D83" s="408">
        <v>423475.1897600001</v>
      </c>
      <c r="E83" s="408">
        <v>60380.05</v>
      </c>
      <c r="F83" s="408">
        <v>22962.789999999997</v>
      </c>
      <c r="G83" s="408">
        <v>15771.14</v>
      </c>
      <c r="H83" s="408">
        <v>205550.18</v>
      </c>
      <c r="I83" s="408">
        <v>232926.95</v>
      </c>
      <c r="J83" s="408">
        <v>33416</v>
      </c>
      <c r="K83" s="408">
        <v>0</v>
      </c>
      <c r="L83" s="650">
        <v>3143374.97976</v>
      </c>
      <c r="M83" s="651">
        <v>1486.9323461494796</v>
      </c>
      <c r="N83" s="651"/>
      <c r="O83" s="652">
        <v>2910448.0297599998</v>
      </c>
      <c r="P83" s="651">
        <v>1376.7493045222327</v>
      </c>
    </row>
    <row r="84" spans="1:16">
      <c r="A84" s="8" t="s">
        <v>11</v>
      </c>
      <c r="B84" s="408">
        <v>318862.11</v>
      </c>
      <c r="C84" s="408">
        <v>233195.43</v>
      </c>
      <c r="D84" s="408">
        <v>31960.391680000004</v>
      </c>
      <c r="E84" s="408">
        <v>32934.57</v>
      </c>
      <c r="F84" s="408">
        <v>14032.81</v>
      </c>
      <c r="G84" s="408">
        <v>0</v>
      </c>
      <c r="H84" s="408">
        <v>66072.7</v>
      </c>
      <c r="I84" s="408">
        <v>40988.089999999997</v>
      </c>
      <c r="J84" s="408">
        <v>5880.2</v>
      </c>
      <c r="K84" s="408">
        <v>0</v>
      </c>
      <c r="L84" s="650">
        <v>743926.30167999992</v>
      </c>
      <c r="M84" s="651">
        <v>1999.8018862365589</v>
      </c>
      <c r="N84" s="651"/>
      <c r="O84" s="652">
        <v>702938.21167999995</v>
      </c>
      <c r="P84" s="651">
        <v>1889.6188486021504</v>
      </c>
    </row>
    <row r="85" spans="1:16">
      <c r="A85" s="8" t="s">
        <v>12</v>
      </c>
      <c r="B85" s="408">
        <v>1261547.3600000001</v>
      </c>
      <c r="C85" s="408">
        <v>390662.41</v>
      </c>
      <c r="D85" s="408">
        <v>257680.65792000003</v>
      </c>
      <c r="E85" s="408">
        <v>93314.62</v>
      </c>
      <c r="F85" s="408">
        <v>72035.100000000006</v>
      </c>
      <c r="G85" s="408">
        <v>20409.71</v>
      </c>
      <c r="H85" s="408">
        <v>315865.95</v>
      </c>
      <c r="I85" s="408">
        <v>198990.57</v>
      </c>
      <c r="J85" s="408">
        <v>28547.439999999999</v>
      </c>
      <c r="K85" s="408">
        <v>0</v>
      </c>
      <c r="L85" s="650">
        <v>2639053.8179200003</v>
      </c>
      <c r="M85" s="651">
        <v>1461.2701095902548</v>
      </c>
      <c r="N85" s="651"/>
      <c r="O85" s="652">
        <v>2440063.2479200005</v>
      </c>
      <c r="P85" s="651">
        <v>1351.0870697231453</v>
      </c>
    </row>
    <row r="86" spans="1:16">
      <c r="A86" s="8" t="s">
        <v>13</v>
      </c>
      <c r="B86" s="408">
        <v>45327.6</v>
      </c>
      <c r="C86" s="408">
        <v>52485.04</v>
      </c>
      <c r="D86" s="408">
        <v>26425.082880000002</v>
      </c>
      <c r="E86" s="408">
        <v>0</v>
      </c>
      <c r="F86" s="408">
        <v>0</v>
      </c>
      <c r="G86" s="408">
        <v>0</v>
      </c>
      <c r="H86" s="408">
        <v>72173.95</v>
      </c>
      <c r="I86" s="408">
        <v>11128.49</v>
      </c>
      <c r="J86" s="408">
        <v>1596.51</v>
      </c>
      <c r="K86" s="408">
        <v>0</v>
      </c>
      <c r="L86" s="650">
        <v>209136.67288</v>
      </c>
      <c r="M86" s="651">
        <v>2070.6601275247526</v>
      </c>
      <c r="N86" s="651"/>
      <c r="O86" s="652">
        <v>198008.18288000001</v>
      </c>
      <c r="P86" s="651">
        <v>1960.4770582178219</v>
      </c>
    </row>
    <row r="87" spans="1:16">
      <c r="A87" s="8" t="s">
        <v>14</v>
      </c>
      <c r="B87" s="408">
        <v>1122068.55</v>
      </c>
      <c r="C87" s="408">
        <v>360130.68</v>
      </c>
      <c r="D87" s="408">
        <v>113858.89536000002</v>
      </c>
      <c r="E87" s="408">
        <v>46657.31</v>
      </c>
      <c r="F87" s="408">
        <v>4677.6000000000004</v>
      </c>
      <c r="G87" s="408">
        <v>4638.57</v>
      </c>
      <c r="H87" s="408">
        <v>149577.31</v>
      </c>
      <c r="I87" s="408">
        <v>110954.32</v>
      </c>
      <c r="J87" s="408">
        <v>15917.65</v>
      </c>
      <c r="K87" s="408">
        <v>0</v>
      </c>
      <c r="L87" s="650">
        <v>1928480.8853600002</v>
      </c>
      <c r="M87" s="651">
        <v>1915.075357855015</v>
      </c>
      <c r="N87" s="651"/>
      <c r="O87" s="652">
        <v>1817526.5653600001</v>
      </c>
      <c r="P87" s="651">
        <v>1804.8923191261174</v>
      </c>
    </row>
    <row r="88" spans="1:16">
      <c r="A88" s="8" t="s">
        <v>15</v>
      </c>
      <c r="B88" s="408">
        <v>642574.14</v>
      </c>
      <c r="C88" s="408">
        <v>411911.15</v>
      </c>
      <c r="D88" s="408">
        <v>140693.10976000002</v>
      </c>
      <c r="E88" s="408">
        <v>32934.57</v>
      </c>
      <c r="F88" s="408">
        <v>15903.85</v>
      </c>
      <c r="G88" s="408">
        <v>11132.57</v>
      </c>
      <c r="H88" s="408">
        <v>241756.28</v>
      </c>
      <c r="I88" s="408">
        <v>50684.2</v>
      </c>
      <c r="J88" s="408">
        <v>7271.22</v>
      </c>
      <c r="K88" s="408">
        <v>0</v>
      </c>
      <c r="L88" s="650">
        <v>1554861.0897600001</v>
      </c>
      <c r="M88" s="651">
        <v>3380.1328038260872</v>
      </c>
      <c r="N88" s="651"/>
      <c r="O88" s="652">
        <v>1504176.8897600002</v>
      </c>
      <c r="P88" s="651">
        <v>3269.9497603478267</v>
      </c>
    </row>
    <row r="89" spans="1:16">
      <c r="A89" s="8" t="s">
        <v>16</v>
      </c>
      <c r="B89" s="408">
        <v>0</v>
      </c>
      <c r="C89" s="408">
        <v>686964.62</v>
      </c>
      <c r="D89" s="408">
        <v>1416244.85632</v>
      </c>
      <c r="E89" s="408">
        <v>164672.85</v>
      </c>
      <c r="F89" s="408">
        <v>323337.86000000004</v>
      </c>
      <c r="G89" s="408">
        <v>28759.14</v>
      </c>
      <c r="H89" s="408">
        <v>1850298.16</v>
      </c>
      <c r="I89" s="408">
        <v>1289692.48</v>
      </c>
      <c r="J89" s="408">
        <v>185020.94</v>
      </c>
      <c r="K89" s="408">
        <v>108012.51000000001</v>
      </c>
      <c r="L89" s="650">
        <v>6053003.4163200008</v>
      </c>
      <c r="M89" s="651">
        <v>517.12972373515595</v>
      </c>
      <c r="N89" s="651"/>
      <c r="O89" s="652">
        <v>4763310.9363200013</v>
      </c>
      <c r="P89" s="651">
        <v>406.94668400854346</v>
      </c>
    </row>
    <row r="90" spans="1:16">
      <c r="A90" s="8"/>
      <c r="B90" s="408"/>
      <c r="C90" s="408"/>
      <c r="D90" s="408"/>
      <c r="E90" s="408"/>
      <c r="F90" s="408"/>
      <c r="G90" s="408"/>
      <c r="H90" s="408"/>
      <c r="I90" s="408"/>
      <c r="J90" s="408"/>
      <c r="K90" s="408"/>
      <c r="L90" s="650"/>
      <c r="M90" s="651"/>
      <c r="N90" s="651"/>
      <c r="O90" s="652"/>
      <c r="P90" s="651"/>
    </row>
    <row r="91" spans="1:16">
      <c r="A91" s="98"/>
      <c r="B91" s="408"/>
      <c r="C91" s="408"/>
      <c r="D91" s="408"/>
      <c r="E91" s="408"/>
      <c r="F91" s="408"/>
      <c r="G91" s="408"/>
      <c r="H91" s="408"/>
      <c r="I91" s="408"/>
      <c r="J91" s="408"/>
      <c r="K91" s="408"/>
      <c r="L91" s="650"/>
      <c r="M91" s="651"/>
      <c r="N91" s="651"/>
      <c r="O91" s="652"/>
      <c r="P91" s="651"/>
    </row>
    <row r="92" spans="1:16">
      <c r="A92" s="98"/>
      <c r="B92" s="501"/>
      <c r="C92" s="501"/>
      <c r="D92" s="501"/>
      <c r="E92" s="501"/>
      <c r="F92" s="501"/>
      <c r="G92" s="501"/>
      <c r="H92" s="501"/>
      <c r="I92" s="502"/>
      <c r="J92" s="501"/>
      <c r="K92" s="501"/>
      <c r="L92" s="503"/>
      <c r="M92" s="357"/>
      <c r="N92" s="653"/>
      <c r="O92" s="357"/>
      <c r="P92" s="502"/>
    </row>
    <row r="93" spans="1:16">
      <c r="A93" s="12" t="s">
        <v>18</v>
      </c>
      <c r="B93" s="409">
        <v>15389862.810000001</v>
      </c>
      <c r="C93" s="409">
        <v>5586692.5300000003</v>
      </c>
      <c r="D93" s="409">
        <v>4580058.9004800003</v>
      </c>
      <c r="E93" s="409">
        <v>977058.91999999993</v>
      </c>
      <c r="F93" s="409">
        <v>834994.83999999985</v>
      </c>
      <c r="G93" s="409">
        <v>190181.40000000002</v>
      </c>
      <c r="H93" s="409">
        <v>5079314.1300000008</v>
      </c>
      <c r="I93" s="409">
        <v>3319704.79</v>
      </c>
      <c r="J93" s="409">
        <v>476249.11</v>
      </c>
      <c r="K93" s="409">
        <v>108012.51000000001</v>
      </c>
      <c r="L93" s="505">
        <v>36542129.940480001</v>
      </c>
      <c r="M93" s="651">
        <v>1212.855718426765</v>
      </c>
      <c r="N93" s="20"/>
      <c r="O93" s="20">
        <v>33222425.150479995</v>
      </c>
      <c r="P93" s="651"/>
    </row>
    <row r="94" spans="1:16">
      <c r="B94" s="3"/>
      <c r="C94" s="3"/>
      <c r="D94" s="3"/>
      <c r="E94" s="506" t="s">
        <v>447</v>
      </c>
      <c r="F94" s="506" t="s">
        <v>447</v>
      </c>
      <c r="G94" s="506" t="s">
        <v>447</v>
      </c>
      <c r="H94" s="506" t="s">
        <v>448</v>
      </c>
      <c r="I94" s="3"/>
      <c r="J94" s="3"/>
      <c r="K94" s="3"/>
      <c r="L94" s="505">
        <v>36542129.940479994</v>
      </c>
      <c r="M94" s="3"/>
      <c r="N94" s="3"/>
      <c r="O94" s="3"/>
      <c r="P94" s="3"/>
    </row>
    <row r="95" spans="1:16">
      <c r="C95" s="450"/>
      <c r="O95" s="3">
        <v>3319704.7900000066</v>
      </c>
    </row>
    <row r="96" spans="1:16">
      <c r="C96" s="450"/>
      <c r="D96" s="450"/>
      <c r="H96" s="450"/>
    </row>
  </sheetData>
  <mergeCells count="2">
    <mergeCell ref="F4:F5"/>
    <mergeCell ref="F71:F72"/>
  </mergeCells>
  <pageMargins left="0.7" right="0.7" top="0.75" bottom="0.75" header="0.3" footer="0.3"/>
  <pageSetup paperSize="25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D849-48BB-401A-9A72-68C14B34B51D}">
  <sheetPr>
    <tabColor rgb="FFD3E3E5"/>
  </sheetPr>
  <dimension ref="B4:M139"/>
  <sheetViews>
    <sheetView workbookViewId="0">
      <selection activeCell="N24" sqref="N24"/>
    </sheetView>
  </sheetViews>
  <sheetFormatPr defaultRowHeight="15.5"/>
  <sheetData>
    <row r="4" spans="2:12">
      <c r="D4" s="547" t="s">
        <v>445</v>
      </c>
    </row>
    <row r="5" spans="2:12">
      <c r="B5" s="93"/>
      <c r="D5" s="482"/>
      <c r="G5" s="6"/>
      <c r="H5" s="6"/>
      <c r="I5" s="6"/>
      <c r="J5" s="6"/>
      <c r="K5" s="6"/>
      <c r="L5" s="6"/>
    </row>
    <row r="6" spans="2:12" ht="58">
      <c r="B6" s="483"/>
      <c r="C6" s="484"/>
      <c r="D6" s="484" t="s">
        <v>539</v>
      </c>
      <c r="E6" s="484" t="s">
        <v>538</v>
      </c>
      <c r="F6" s="484"/>
      <c r="G6" s="484" t="s">
        <v>546</v>
      </c>
      <c r="H6" s="484"/>
      <c r="I6" s="484"/>
      <c r="J6" s="484"/>
      <c r="K6" s="485" t="s">
        <v>330</v>
      </c>
      <c r="L6" s="648" t="s">
        <v>330</v>
      </c>
    </row>
    <row r="7" spans="2:12">
      <c r="B7" s="486" t="s">
        <v>1</v>
      </c>
      <c r="C7" s="487"/>
      <c r="D7" s="488">
        <v>79655.86563738744</v>
      </c>
      <c r="E7" s="488">
        <v>11130.433246968898</v>
      </c>
      <c r="F7" s="488"/>
      <c r="G7" s="488"/>
      <c r="H7" s="488"/>
      <c r="I7" s="488"/>
      <c r="J7" s="487"/>
      <c r="K7" s="508">
        <f>SUM(D7:E7)</f>
        <v>90786.298884356336</v>
      </c>
      <c r="L7" s="508"/>
    </row>
    <row r="8" spans="2:12">
      <c r="B8" s="486" t="s">
        <v>2</v>
      </c>
      <c r="C8" s="487"/>
      <c r="D8" s="488">
        <v>160343.49168732311</v>
      </c>
      <c r="E8" s="488">
        <v>84108.67798667014</v>
      </c>
      <c r="F8" s="488"/>
      <c r="G8" s="488"/>
      <c r="H8" s="488"/>
      <c r="I8" s="488"/>
      <c r="J8" s="487"/>
      <c r="K8" s="508">
        <f t="shared" ref="K8:K22" si="0">SUM(D8:E8)</f>
        <v>244452.16967399325</v>
      </c>
      <c r="L8" s="508"/>
    </row>
    <row r="9" spans="2:12">
      <c r="B9" s="486" t="s">
        <v>3</v>
      </c>
      <c r="C9" s="487"/>
      <c r="D9" s="488">
        <v>372186.10913818172</v>
      </c>
      <c r="E9" s="488">
        <v>144617.55268229247</v>
      </c>
      <c r="F9" s="488"/>
      <c r="G9" s="488"/>
      <c r="H9" s="488"/>
      <c r="I9" s="488"/>
      <c r="J9" s="487"/>
      <c r="K9" s="508">
        <f t="shared" si="0"/>
        <v>516803.6618204742</v>
      </c>
      <c r="L9" s="508"/>
    </row>
    <row r="10" spans="2:12">
      <c r="B10" s="486" t="s">
        <v>4</v>
      </c>
      <c r="C10" s="487"/>
      <c r="D10" s="488">
        <v>85207.753278042001</v>
      </c>
      <c r="E10" s="488">
        <v>22252.589450662246</v>
      </c>
      <c r="F10" s="488"/>
      <c r="G10" s="488"/>
      <c r="H10" s="488"/>
      <c r="I10" s="488"/>
      <c r="J10" s="487"/>
      <c r="K10" s="508">
        <f t="shared" si="0"/>
        <v>107460.34272870424</v>
      </c>
      <c r="L10" s="508"/>
    </row>
    <row r="11" spans="2:12">
      <c r="B11" s="486" t="s">
        <v>5</v>
      </c>
      <c r="C11" s="487"/>
      <c r="D11" s="488">
        <v>93267.658370542951</v>
      </c>
      <c r="E11" s="488">
        <v>47971.911697773787</v>
      </c>
      <c r="F11" s="488"/>
      <c r="G11" s="488"/>
      <c r="H11" s="488"/>
      <c r="I11" s="488"/>
      <c r="J11" s="487"/>
      <c r="K11" s="508">
        <f t="shared" si="0"/>
        <v>141239.57006831674</v>
      </c>
      <c r="L11" s="508"/>
    </row>
    <row r="12" spans="2:12">
      <c r="B12" s="486" t="s">
        <v>6</v>
      </c>
      <c r="C12" s="487"/>
      <c r="D12" s="488">
        <v>231216.04285794261</v>
      </c>
      <c r="E12" s="488">
        <v>100940.62396713048</v>
      </c>
      <c r="F12" s="488"/>
      <c r="G12" s="488"/>
      <c r="H12" s="488"/>
      <c r="I12" s="488"/>
      <c r="J12" s="487"/>
      <c r="K12" s="508">
        <f t="shared" si="0"/>
        <v>332156.66682507307</v>
      </c>
      <c r="L12" s="508"/>
    </row>
    <row r="13" spans="2:12">
      <c r="B13" s="486" t="s">
        <v>7</v>
      </c>
      <c r="C13" s="487"/>
      <c r="D13" s="488">
        <v>488161.07005011832</v>
      </c>
      <c r="E13" s="488">
        <v>84035.289362819254</v>
      </c>
      <c r="F13" s="488"/>
      <c r="G13" s="488"/>
      <c r="H13" s="488"/>
      <c r="I13" s="488"/>
      <c r="J13" s="487"/>
      <c r="K13" s="508">
        <f t="shared" si="0"/>
        <v>572196.35941293754</v>
      </c>
      <c r="L13" s="508"/>
    </row>
    <row r="14" spans="2:12">
      <c r="B14" s="486" t="s">
        <v>8</v>
      </c>
      <c r="C14" s="487"/>
      <c r="D14" s="488">
        <v>53814.846262249019</v>
      </c>
      <c r="E14" s="488">
        <v>2789.1735171942755</v>
      </c>
      <c r="F14" s="488"/>
      <c r="G14" s="488"/>
      <c r="H14" s="488"/>
      <c r="I14" s="488"/>
      <c r="J14" s="487"/>
      <c r="K14" s="508">
        <f t="shared" si="0"/>
        <v>56604.019779443297</v>
      </c>
      <c r="L14" s="508"/>
    </row>
    <row r="15" spans="2:12">
      <c r="B15" s="486" t="s">
        <v>9</v>
      </c>
      <c r="C15" s="487"/>
      <c r="D15" s="488">
        <v>50003.873999873402</v>
      </c>
      <c r="E15" s="488">
        <v>2760.5483386139254</v>
      </c>
      <c r="F15" s="488"/>
      <c r="G15" s="488"/>
      <c r="H15" s="488"/>
      <c r="I15" s="488"/>
      <c r="J15" s="487"/>
      <c r="K15" s="508">
        <f t="shared" si="0"/>
        <v>52764.422338487326</v>
      </c>
      <c r="L15" s="508"/>
    </row>
    <row r="16" spans="2:12">
      <c r="B16" s="486" t="s">
        <v>10</v>
      </c>
      <c r="C16" s="487"/>
      <c r="D16" s="488">
        <v>239238.55708277304</v>
      </c>
      <c r="E16" s="488">
        <v>107935.82812585917</v>
      </c>
      <c r="F16" s="488"/>
      <c r="G16" s="488"/>
      <c r="H16" s="488"/>
      <c r="I16" s="488"/>
      <c r="J16" s="487"/>
      <c r="K16" s="508">
        <f t="shared" si="0"/>
        <v>347174.38520863221</v>
      </c>
      <c r="L16" s="508"/>
    </row>
    <row r="17" spans="2:12">
      <c r="B17" s="486" t="s">
        <v>11</v>
      </c>
      <c r="C17" s="487"/>
      <c r="D17" s="488">
        <v>66710.341953826617</v>
      </c>
      <c r="E17" s="488">
        <v>36564.45846933296</v>
      </c>
      <c r="F17" s="488"/>
      <c r="G17" s="488"/>
      <c r="H17" s="488"/>
      <c r="I17" s="488"/>
      <c r="J17" s="487"/>
      <c r="K17" s="508">
        <f t="shared" si="0"/>
        <v>103274.80042315958</v>
      </c>
      <c r="L17" s="508"/>
    </row>
    <row r="18" spans="2:12">
      <c r="B18" s="486" t="s">
        <v>12</v>
      </c>
      <c r="C18" s="487"/>
      <c r="D18" s="488">
        <v>255070.66169913413</v>
      </c>
      <c r="E18" s="488">
        <v>128119.70479097878</v>
      </c>
      <c r="F18" s="488"/>
      <c r="G18" s="488"/>
      <c r="H18" s="488"/>
      <c r="I18" s="488"/>
      <c r="J18" s="487"/>
      <c r="K18" s="508">
        <f t="shared" si="0"/>
        <v>383190.36649011291</v>
      </c>
      <c r="L18" s="508"/>
    </row>
    <row r="19" spans="2:12">
      <c r="B19" s="486" t="s">
        <v>13</v>
      </c>
      <c r="C19" s="487"/>
      <c r="D19" s="488">
        <v>17887.475816128575</v>
      </c>
      <c r="E19" s="488">
        <v>1012.9928677295062</v>
      </c>
      <c r="F19" s="488"/>
      <c r="G19" s="488"/>
      <c r="H19" s="488"/>
      <c r="I19" s="488"/>
      <c r="J19" s="487"/>
      <c r="K19" s="508">
        <f t="shared" si="0"/>
        <v>18900.468683858082</v>
      </c>
      <c r="L19" s="508"/>
    </row>
    <row r="20" spans="2:12">
      <c r="B20" s="486" t="s">
        <v>14</v>
      </c>
      <c r="C20" s="487"/>
      <c r="D20" s="488">
        <v>155878.82801334918</v>
      </c>
      <c r="E20" s="488">
        <v>90833.982247921711</v>
      </c>
      <c r="F20" s="488"/>
      <c r="G20" s="488"/>
      <c r="H20" s="488"/>
      <c r="I20" s="488"/>
      <c r="J20" s="487"/>
      <c r="K20" s="508">
        <f t="shared" si="0"/>
        <v>246712.8102612709</v>
      </c>
      <c r="L20" s="508"/>
    </row>
    <row r="21" spans="2:12">
      <c r="B21" s="486" t="s">
        <v>15</v>
      </c>
      <c r="C21" s="487"/>
      <c r="D21" s="488">
        <v>83314.229473266649</v>
      </c>
      <c r="E21" s="488">
        <v>36647.015778010376</v>
      </c>
      <c r="F21" s="488"/>
      <c r="G21" s="488"/>
      <c r="H21" s="488"/>
      <c r="I21" s="488"/>
      <c r="J21" s="487"/>
      <c r="K21" s="508">
        <f t="shared" si="0"/>
        <v>119961.24525127703</v>
      </c>
      <c r="L21" s="508"/>
    </row>
    <row r="22" spans="2:12">
      <c r="B22" s="486" t="s">
        <v>16</v>
      </c>
      <c r="C22" s="487"/>
      <c r="D22" s="488">
        <v>1568043.1946798605</v>
      </c>
      <c r="E22" s="488">
        <v>98279.217470041913</v>
      </c>
      <c r="F22" s="488"/>
      <c r="G22" s="488"/>
      <c r="H22" s="488"/>
      <c r="I22" s="488"/>
      <c r="J22" s="487"/>
      <c r="K22" s="508">
        <f t="shared" si="0"/>
        <v>1666322.4121499024</v>
      </c>
      <c r="L22" s="508"/>
    </row>
    <row r="23" spans="2:12">
      <c r="B23" s="561"/>
      <c r="C23" s="560"/>
      <c r="D23" s="559"/>
      <c r="E23" s="13"/>
      <c r="F23" s="559"/>
      <c r="G23" s="559"/>
      <c r="H23" s="559"/>
      <c r="I23" s="559"/>
      <c r="J23" s="560"/>
      <c r="K23" s="508"/>
      <c r="L23" s="567"/>
    </row>
    <row r="24" spans="2:12">
      <c r="B24" s="489"/>
      <c r="C24" s="490"/>
      <c r="D24" s="559"/>
      <c r="F24" s="559"/>
      <c r="G24" s="559"/>
      <c r="H24" s="559"/>
      <c r="I24" s="559"/>
      <c r="J24" s="560"/>
      <c r="K24" s="508"/>
      <c r="L24" s="508"/>
    </row>
    <row r="25" spans="2:12">
      <c r="B25" s="491" t="s">
        <v>18</v>
      </c>
      <c r="C25" s="492"/>
      <c r="D25" s="492">
        <f>SUM(D7:D22)</f>
        <v>3999999.9999999995</v>
      </c>
      <c r="E25" s="492">
        <f>SUM(E7:E22)</f>
        <v>1000000.0000000001</v>
      </c>
      <c r="F25" s="492"/>
      <c r="G25" s="492">
        <v>3300000</v>
      </c>
      <c r="H25" s="492"/>
      <c r="I25" s="492"/>
      <c r="J25" s="492"/>
      <c r="K25" s="492">
        <f>SUM(D25:H25)</f>
        <v>8300000</v>
      </c>
      <c r="L25" s="492"/>
    </row>
    <row r="26" spans="2:12">
      <c r="B26" s="581" t="s">
        <v>557</v>
      </c>
    </row>
    <row r="29" spans="2:12">
      <c r="B29" t="s">
        <v>552</v>
      </c>
      <c r="C29" t="s">
        <v>550</v>
      </c>
      <c r="D29" t="s">
        <v>544</v>
      </c>
    </row>
    <row r="30" spans="2:12">
      <c r="B30" t="s">
        <v>552</v>
      </c>
      <c r="C30" t="s">
        <v>549</v>
      </c>
      <c r="D30" s="547" t="s">
        <v>545</v>
      </c>
    </row>
    <row r="31" spans="2:12">
      <c r="B31" t="s">
        <v>552</v>
      </c>
      <c r="C31" t="s">
        <v>548</v>
      </c>
      <c r="D31" s="547" t="s">
        <v>547</v>
      </c>
    </row>
    <row r="32" spans="2:12">
      <c r="C32" s="581"/>
    </row>
    <row r="34" spans="2:13" s="791" customFormat="1">
      <c r="B34" s="791" t="s">
        <v>551</v>
      </c>
    </row>
    <row r="38" spans="2:13" ht="16" thickBot="1"/>
    <row r="39" spans="2:13" ht="23.5" thickTop="1" thickBot="1">
      <c r="D39" s="760" t="s">
        <v>517</v>
      </c>
      <c r="H39" s="760" t="s">
        <v>518</v>
      </c>
      <c r="K39" s="761" t="s">
        <v>519</v>
      </c>
      <c r="L39" s="762">
        <v>4000000</v>
      </c>
    </row>
    <row r="40" spans="2:13" ht="44.5" thickTop="1" thickBot="1">
      <c r="B40" s="763"/>
      <c r="C40" s="764"/>
      <c r="D40" s="765"/>
      <c r="E40" s="766" t="s">
        <v>520</v>
      </c>
      <c r="F40" s="767" t="s">
        <v>521</v>
      </c>
      <c r="H40" s="765" t="s">
        <v>522</v>
      </c>
      <c r="I40" s="766" t="s">
        <v>523</v>
      </c>
      <c r="J40" s="767" t="s">
        <v>521</v>
      </c>
      <c r="K40" s="768" t="s">
        <v>524</v>
      </c>
      <c r="L40" s="768" t="s">
        <v>525</v>
      </c>
    </row>
    <row r="41" spans="2:13" ht="16" thickBot="1">
      <c r="B41" s="769" t="s">
        <v>18</v>
      </c>
      <c r="C41" s="770" t="s">
        <v>526</v>
      </c>
      <c r="D41" s="771"/>
      <c r="E41" s="772">
        <v>17.37</v>
      </c>
      <c r="F41" s="773">
        <v>0</v>
      </c>
      <c r="H41" s="771">
        <v>15319126</v>
      </c>
      <c r="I41" s="772">
        <v>17.420000000000002</v>
      </c>
      <c r="J41" s="773">
        <v>2689694.2025000006</v>
      </c>
      <c r="K41" s="6">
        <v>0.99999999999999978</v>
      </c>
      <c r="L41" s="20">
        <v>3999999.9999999991</v>
      </c>
      <c r="M41" s="3"/>
    </row>
    <row r="42" spans="2:13" ht="16" thickBot="1">
      <c r="B42" s="774"/>
      <c r="C42" s="770" t="s">
        <v>527</v>
      </c>
      <c r="D42" s="771"/>
      <c r="E42" s="775"/>
      <c r="F42" s="776"/>
      <c r="H42" s="771">
        <v>10048</v>
      </c>
      <c r="I42" s="775"/>
      <c r="J42" s="776"/>
    </row>
    <row r="43" spans="2:13" ht="16" thickBot="1">
      <c r="B43" s="769" t="s">
        <v>1</v>
      </c>
      <c r="C43" s="770" t="s">
        <v>526</v>
      </c>
      <c r="D43" s="771"/>
      <c r="E43" s="772">
        <v>16.75</v>
      </c>
      <c r="F43" s="773">
        <v>0</v>
      </c>
      <c r="H43" s="771">
        <v>319776</v>
      </c>
      <c r="I43" s="772">
        <v>16.75</v>
      </c>
      <c r="J43" s="773">
        <v>53562.48</v>
      </c>
      <c r="K43">
        <v>1.991396640934686E-2</v>
      </c>
      <c r="L43" s="3">
        <v>79655.86563738744</v>
      </c>
      <c r="M43" s="3"/>
    </row>
    <row r="44" spans="2:13" ht="16" thickBot="1">
      <c r="B44" s="774"/>
      <c r="C44" s="770" t="s">
        <v>527</v>
      </c>
      <c r="D44" s="777"/>
      <c r="E44" s="775"/>
      <c r="F44" s="776"/>
      <c r="H44" s="777">
        <v>185</v>
      </c>
      <c r="I44" s="775"/>
      <c r="J44" s="776"/>
    </row>
    <row r="45" spans="2:13" ht="16" thickBot="1">
      <c r="B45" s="769" t="s">
        <v>2</v>
      </c>
      <c r="C45" s="770" t="s">
        <v>526</v>
      </c>
      <c r="D45" s="771"/>
      <c r="E45" s="772">
        <v>18.5</v>
      </c>
      <c r="F45" s="773">
        <v>0</v>
      </c>
      <c r="H45" s="771">
        <v>582804</v>
      </c>
      <c r="I45" s="772">
        <v>18.5</v>
      </c>
      <c r="J45" s="773">
        <v>107818.74</v>
      </c>
      <c r="K45">
        <v>4.008587292183078E-2</v>
      </c>
      <c r="L45" s="3">
        <v>160343.49168732311</v>
      </c>
    </row>
    <row r="46" spans="2:13" ht="16" thickBot="1">
      <c r="B46" s="774"/>
      <c r="C46" s="770" t="s">
        <v>527</v>
      </c>
      <c r="D46" s="777"/>
      <c r="E46" s="775"/>
      <c r="F46" s="776"/>
      <c r="H46" s="777">
        <v>372</v>
      </c>
      <c r="I46" s="775"/>
      <c r="J46" s="776"/>
    </row>
    <row r="47" spans="2:13" ht="16" thickBot="1">
      <c r="B47" s="769" t="s">
        <v>3</v>
      </c>
      <c r="C47" s="770" t="s">
        <v>526</v>
      </c>
      <c r="D47" s="771"/>
      <c r="E47" s="772">
        <v>18.5</v>
      </c>
      <c r="F47" s="773">
        <v>0</v>
      </c>
      <c r="H47" s="771">
        <v>1352793</v>
      </c>
      <c r="I47" s="772">
        <v>18.5</v>
      </c>
      <c r="J47" s="773">
        <v>250266.70499999999</v>
      </c>
      <c r="K47">
        <v>9.3046527284545433E-2</v>
      </c>
      <c r="L47" s="3">
        <v>372186.10913818172</v>
      </c>
    </row>
    <row r="48" spans="2:13" ht="16" thickBot="1">
      <c r="B48" s="774"/>
      <c r="C48" s="770" t="s">
        <v>527</v>
      </c>
      <c r="D48" s="777"/>
      <c r="E48" s="775"/>
      <c r="F48" s="776"/>
      <c r="H48" s="777">
        <v>892</v>
      </c>
      <c r="I48" s="775"/>
      <c r="J48" s="776"/>
    </row>
    <row r="49" spans="2:12" ht="16" thickBot="1">
      <c r="B49" s="769" t="s">
        <v>4</v>
      </c>
      <c r="C49" s="770" t="s">
        <v>526</v>
      </c>
      <c r="D49" s="771"/>
      <c r="E49" s="772">
        <v>17.5</v>
      </c>
      <c r="F49" s="773">
        <v>0</v>
      </c>
      <c r="H49" s="771">
        <v>327404</v>
      </c>
      <c r="I49" s="772">
        <v>17.5</v>
      </c>
      <c r="J49" s="773">
        <v>57295.7</v>
      </c>
      <c r="K49">
        <v>2.1301938319510501E-2</v>
      </c>
      <c r="L49" s="3">
        <v>85207.753278042001</v>
      </c>
    </row>
    <row r="50" spans="2:12" ht="16" thickBot="1">
      <c r="B50" s="774"/>
      <c r="C50" s="770" t="s">
        <v>527</v>
      </c>
      <c r="D50" s="777"/>
      <c r="E50" s="775"/>
      <c r="F50" s="776"/>
      <c r="H50" s="777">
        <v>209</v>
      </c>
      <c r="I50" s="775"/>
      <c r="J50" s="776"/>
    </row>
    <row r="51" spans="2:12" ht="16" thickBot="1">
      <c r="B51" s="769" t="s">
        <v>5</v>
      </c>
      <c r="C51" s="770" t="s">
        <v>526</v>
      </c>
      <c r="D51" s="771"/>
      <c r="E51" s="772">
        <v>18.5</v>
      </c>
      <c r="F51" s="773">
        <v>0</v>
      </c>
      <c r="H51" s="771">
        <v>339002</v>
      </c>
      <c r="I51" s="772">
        <v>18.5</v>
      </c>
      <c r="J51" s="773">
        <v>62715.37</v>
      </c>
      <c r="K51">
        <v>2.3316914592635737E-2</v>
      </c>
      <c r="L51" s="3">
        <v>93267.658370542951</v>
      </c>
    </row>
    <row r="52" spans="2:12" ht="16" thickBot="1">
      <c r="B52" s="774"/>
      <c r="C52" s="770" t="s">
        <v>527</v>
      </c>
      <c r="D52" s="777"/>
      <c r="E52" s="775"/>
      <c r="F52" s="776"/>
      <c r="H52" s="777">
        <v>210</v>
      </c>
      <c r="I52" s="775"/>
      <c r="J52" s="776"/>
    </row>
    <row r="53" spans="2:12" ht="16" thickBot="1">
      <c r="B53" s="769" t="s">
        <v>6</v>
      </c>
      <c r="C53" s="770" t="s">
        <v>526</v>
      </c>
      <c r="D53" s="771"/>
      <c r="E53" s="772">
        <v>17.25</v>
      </c>
      <c r="F53" s="773">
        <v>0</v>
      </c>
      <c r="H53" s="771">
        <v>901305</v>
      </c>
      <c r="I53" s="772">
        <v>17.25</v>
      </c>
      <c r="J53" s="773">
        <v>155475.11249999999</v>
      </c>
      <c r="K53">
        <v>5.7804010714485654E-2</v>
      </c>
      <c r="L53" s="3">
        <v>231216.04285794261</v>
      </c>
    </row>
    <row r="54" spans="2:12" ht="16" thickBot="1">
      <c r="B54" s="774"/>
      <c r="C54" s="770" t="s">
        <v>527</v>
      </c>
      <c r="D54" s="777"/>
      <c r="E54" s="775"/>
      <c r="F54" s="776"/>
      <c r="H54" s="777">
        <v>594</v>
      </c>
      <c r="I54" s="775"/>
      <c r="J54" s="776"/>
    </row>
    <row r="55" spans="2:12" ht="16" thickBot="1">
      <c r="B55" s="769" t="s">
        <v>7</v>
      </c>
      <c r="C55" s="770" t="s">
        <v>526</v>
      </c>
      <c r="D55" s="771"/>
      <c r="E55" s="772">
        <v>16.5</v>
      </c>
      <c r="F55" s="773">
        <v>0</v>
      </c>
      <c r="H55" s="771">
        <v>1989400</v>
      </c>
      <c r="I55" s="772">
        <v>16.5</v>
      </c>
      <c r="J55" s="773">
        <v>328251</v>
      </c>
      <c r="K55">
        <v>0.12204026751252958</v>
      </c>
      <c r="L55" s="3">
        <v>488161.07005011832</v>
      </c>
    </row>
    <row r="56" spans="2:12" ht="16" thickBot="1">
      <c r="B56" s="774"/>
      <c r="C56" s="770" t="s">
        <v>527</v>
      </c>
      <c r="D56" s="777"/>
      <c r="E56" s="775"/>
      <c r="F56" s="776"/>
      <c r="H56" s="777">
        <v>1376</v>
      </c>
      <c r="I56" s="775"/>
      <c r="J56" s="776"/>
    </row>
    <row r="57" spans="2:12" ht="16" thickBot="1">
      <c r="B57" s="769" t="s">
        <v>8</v>
      </c>
      <c r="C57" s="770" t="s">
        <v>526</v>
      </c>
      <c r="D57" s="771"/>
      <c r="E57" s="772">
        <v>18.5</v>
      </c>
      <c r="F57" s="773">
        <v>0</v>
      </c>
      <c r="H57" s="771">
        <v>195602</v>
      </c>
      <c r="I57" s="772">
        <v>18.5</v>
      </c>
      <c r="J57" s="773">
        <v>36186.370000000003</v>
      </c>
      <c r="K57">
        <v>1.3453711565562255E-2</v>
      </c>
      <c r="L57" s="3">
        <v>53814.846262249019</v>
      </c>
    </row>
    <row r="58" spans="2:12" ht="16" thickBot="1">
      <c r="B58" s="774"/>
      <c r="C58" s="770" t="s">
        <v>527</v>
      </c>
      <c r="D58" s="777"/>
      <c r="E58" s="775"/>
      <c r="F58" s="776"/>
      <c r="H58" s="777">
        <v>114</v>
      </c>
      <c r="I58" s="775"/>
      <c r="J58" s="776"/>
    </row>
    <row r="59" spans="2:12" ht="16" thickBot="1">
      <c r="B59" s="769" t="s">
        <v>9</v>
      </c>
      <c r="C59" s="770" t="s">
        <v>526</v>
      </c>
      <c r="D59" s="771"/>
      <c r="E59" s="772">
        <v>19.75</v>
      </c>
      <c r="F59" s="773">
        <v>0</v>
      </c>
      <c r="H59" s="771">
        <v>170247</v>
      </c>
      <c r="I59" s="772">
        <v>19.75</v>
      </c>
      <c r="J59" s="773">
        <v>33623.782500000001</v>
      </c>
      <c r="K59">
        <v>1.2500968499968351E-2</v>
      </c>
      <c r="L59" s="3">
        <v>50003.873999873402</v>
      </c>
    </row>
    <row r="60" spans="2:12" ht="16" thickBot="1">
      <c r="B60" s="774"/>
      <c r="C60" s="770" t="s">
        <v>527</v>
      </c>
      <c r="D60" s="777"/>
      <c r="E60" s="775"/>
      <c r="F60" s="776"/>
      <c r="H60" s="777">
        <v>112</v>
      </c>
      <c r="I60" s="775"/>
      <c r="J60" s="776"/>
    </row>
    <row r="61" spans="2:12" ht="16" thickBot="1">
      <c r="B61" s="769" t="s">
        <v>10</v>
      </c>
      <c r="C61" s="770" t="s">
        <v>526</v>
      </c>
      <c r="D61" s="771"/>
      <c r="E61" s="772">
        <v>16.75</v>
      </c>
      <c r="F61" s="773">
        <v>0</v>
      </c>
      <c r="H61" s="771">
        <v>946292</v>
      </c>
      <c r="I61" s="772">
        <v>17</v>
      </c>
      <c r="J61" s="773">
        <v>160869.64000000001</v>
      </c>
      <c r="K61">
        <v>5.9809639270693257E-2</v>
      </c>
      <c r="L61" s="3">
        <v>239238.55708277304</v>
      </c>
    </row>
    <row r="62" spans="2:12" ht="16" thickBot="1">
      <c r="B62" s="774"/>
      <c r="C62" s="770" t="s">
        <v>527</v>
      </c>
      <c r="D62" s="777"/>
      <c r="E62" s="775"/>
      <c r="F62" s="776"/>
      <c r="H62" s="777">
        <v>615</v>
      </c>
      <c r="I62" s="775"/>
      <c r="J62" s="776"/>
    </row>
    <row r="63" spans="2:12" ht="16" thickBot="1">
      <c r="B63" s="769" t="s">
        <v>11</v>
      </c>
      <c r="C63" s="770" t="s">
        <v>526</v>
      </c>
      <c r="D63" s="771"/>
      <c r="E63" s="772">
        <v>19.5</v>
      </c>
      <c r="F63" s="773">
        <v>0</v>
      </c>
      <c r="H63" s="771">
        <v>230039</v>
      </c>
      <c r="I63" s="772">
        <v>19.5</v>
      </c>
      <c r="J63" s="773">
        <v>44857.605000000003</v>
      </c>
      <c r="K63">
        <v>1.6677585488456655E-2</v>
      </c>
      <c r="L63" s="3">
        <v>66710.341953826617</v>
      </c>
    </row>
    <row r="64" spans="2:12" ht="16" thickBot="1">
      <c r="B64" s="774"/>
      <c r="C64" s="770" t="s">
        <v>527</v>
      </c>
      <c r="D64" s="777"/>
      <c r="E64" s="775"/>
      <c r="F64" s="776"/>
      <c r="H64" s="777">
        <v>142</v>
      </c>
      <c r="I64" s="775"/>
      <c r="J64" s="776"/>
    </row>
    <row r="65" spans="2:12" ht="16" thickBot="1">
      <c r="B65" s="769" t="s">
        <v>16</v>
      </c>
      <c r="C65" s="770" t="s">
        <v>526</v>
      </c>
      <c r="D65" s="771"/>
      <c r="E65" s="772">
        <v>17.25</v>
      </c>
      <c r="F65" s="773">
        <v>0</v>
      </c>
      <c r="H65" s="771">
        <v>6112401</v>
      </c>
      <c r="I65" s="772">
        <v>17.25</v>
      </c>
      <c r="J65" s="773">
        <v>1054389.1725000001</v>
      </c>
      <c r="K65">
        <v>0.39201079866996513</v>
      </c>
      <c r="L65" s="3">
        <v>1568043.1946798605</v>
      </c>
    </row>
    <row r="66" spans="2:12" ht="16" thickBot="1">
      <c r="B66" s="774"/>
      <c r="C66" s="770" t="s">
        <v>527</v>
      </c>
      <c r="D66" s="777"/>
      <c r="E66" s="775"/>
      <c r="F66" s="776"/>
      <c r="H66" s="777">
        <v>4030</v>
      </c>
      <c r="I66" s="775"/>
      <c r="J66" s="776"/>
    </row>
    <row r="67" spans="2:12" ht="16" thickBot="1">
      <c r="B67" s="769" t="s">
        <v>12</v>
      </c>
      <c r="C67" s="770" t="s">
        <v>526</v>
      </c>
      <c r="D67" s="771"/>
      <c r="E67" s="772">
        <v>17.25</v>
      </c>
      <c r="F67" s="773">
        <v>0</v>
      </c>
      <c r="H67" s="771">
        <v>952864</v>
      </c>
      <c r="I67" s="772">
        <v>18</v>
      </c>
      <c r="J67" s="773">
        <v>171515.51999999999</v>
      </c>
      <c r="K67">
        <v>6.3767665424783529E-2</v>
      </c>
      <c r="L67" s="3">
        <v>255070.66169913413</v>
      </c>
    </row>
    <row r="68" spans="2:12" ht="16" thickBot="1">
      <c r="B68" s="774"/>
      <c r="C68" s="770" t="s">
        <v>527</v>
      </c>
      <c r="D68" s="777"/>
      <c r="E68" s="775"/>
      <c r="F68" s="776"/>
      <c r="H68" s="777">
        <v>615</v>
      </c>
      <c r="I68" s="775"/>
      <c r="J68" s="776"/>
    </row>
    <row r="69" spans="2:12" ht="16" thickBot="1">
      <c r="B69" s="769" t="s">
        <v>13</v>
      </c>
      <c r="C69" s="770" t="s">
        <v>526</v>
      </c>
      <c r="D69" s="771"/>
      <c r="E69" s="772">
        <v>18</v>
      </c>
      <c r="F69" s="773">
        <v>0</v>
      </c>
      <c r="H69" s="771">
        <v>66822</v>
      </c>
      <c r="I69" s="772">
        <v>18</v>
      </c>
      <c r="J69" s="773">
        <v>12027.96</v>
      </c>
      <c r="K69">
        <v>4.4718689540321436E-3</v>
      </c>
      <c r="L69" s="3">
        <v>17887.475816128575</v>
      </c>
    </row>
    <row r="70" spans="2:12" ht="16" thickBot="1">
      <c r="B70" s="774"/>
      <c r="C70" s="770" t="s">
        <v>527</v>
      </c>
      <c r="D70" s="777"/>
      <c r="E70" s="775"/>
      <c r="F70" s="776"/>
      <c r="H70" s="777">
        <v>42</v>
      </c>
      <c r="I70" s="775"/>
      <c r="J70" s="776"/>
    </row>
    <row r="71" spans="2:12" ht="16" thickBot="1">
      <c r="B71" s="769" t="s">
        <v>14</v>
      </c>
      <c r="C71" s="770" t="s">
        <v>526</v>
      </c>
      <c r="D71" s="771"/>
      <c r="E71" s="772">
        <v>19.5</v>
      </c>
      <c r="F71" s="773">
        <v>0</v>
      </c>
      <c r="H71" s="771">
        <v>537521</v>
      </c>
      <c r="I71" s="772">
        <v>19.5</v>
      </c>
      <c r="J71" s="773">
        <v>104816.595</v>
      </c>
      <c r="K71">
        <v>3.8969707003337295E-2</v>
      </c>
      <c r="L71" s="3">
        <v>155878.82801334918</v>
      </c>
    </row>
    <row r="72" spans="2:12" ht="16" thickBot="1">
      <c r="B72" s="774"/>
      <c r="C72" s="770" t="s">
        <v>527</v>
      </c>
      <c r="D72" s="777"/>
      <c r="E72" s="775"/>
      <c r="F72" s="776"/>
      <c r="H72" s="777">
        <v>360</v>
      </c>
      <c r="I72" s="775"/>
      <c r="J72" s="776"/>
    </row>
    <row r="73" spans="2:12" ht="16" thickBot="1">
      <c r="B73" s="769" t="s">
        <v>15</v>
      </c>
      <c r="C73" s="770" t="s">
        <v>526</v>
      </c>
      <c r="D73" s="771"/>
      <c r="E73" s="772">
        <v>19</v>
      </c>
      <c r="F73" s="773">
        <v>0</v>
      </c>
      <c r="H73" s="771">
        <v>294855</v>
      </c>
      <c r="I73" s="772">
        <v>19</v>
      </c>
      <c r="J73" s="773">
        <v>56022.45</v>
      </c>
      <c r="K73">
        <v>2.0828557368316663E-2</v>
      </c>
      <c r="L73" s="3">
        <v>83314.229473266649</v>
      </c>
    </row>
    <row r="74" spans="2:12" ht="16" thickBot="1">
      <c r="B74" s="778"/>
      <c r="C74" s="769" t="s">
        <v>527</v>
      </c>
      <c r="D74" s="779"/>
      <c r="E74" s="780"/>
      <c r="F74" s="781"/>
      <c r="H74" s="779">
        <v>180</v>
      </c>
      <c r="I74" s="780"/>
      <c r="J74" s="781"/>
    </row>
    <row r="79" spans="2:12" ht="16" thickBot="1"/>
    <row r="80" spans="2:12" ht="23.5" thickTop="1" thickBot="1">
      <c r="B80" s="760" t="s">
        <v>517</v>
      </c>
      <c r="H80" s="760" t="s">
        <v>518</v>
      </c>
      <c r="K80" s="761" t="s">
        <v>519</v>
      </c>
      <c r="L80" s="762">
        <v>1000000</v>
      </c>
    </row>
    <row r="81" spans="2:12" ht="55" thickTop="1" thickBot="1">
      <c r="B81" s="763"/>
      <c r="C81" s="764"/>
      <c r="D81" s="765" t="s">
        <v>528</v>
      </c>
      <c r="E81" s="766" t="s">
        <v>520</v>
      </c>
      <c r="F81" s="767" t="s">
        <v>521</v>
      </c>
      <c r="H81" s="765" t="s">
        <v>528</v>
      </c>
      <c r="I81" s="766" t="s">
        <v>523</v>
      </c>
      <c r="J81" s="767" t="s">
        <v>521</v>
      </c>
      <c r="K81" s="768" t="s">
        <v>524</v>
      </c>
      <c r="L81" s="768" t="s">
        <v>525</v>
      </c>
    </row>
    <row r="82" spans="2:12" ht="16" thickBot="1">
      <c r="B82" s="769" t="s">
        <v>18</v>
      </c>
      <c r="C82" s="770" t="s">
        <v>526</v>
      </c>
      <c r="D82" s="771">
        <v>6626142</v>
      </c>
      <c r="E82" s="772">
        <v>17.37</v>
      </c>
      <c r="F82" s="773">
        <v>1150960.8654</v>
      </c>
      <c r="H82" s="771">
        <v>6415786</v>
      </c>
      <c r="I82" s="772">
        <v>17.420000000000002</v>
      </c>
      <c r="J82" s="773">
        <v>1149565.0902434054</v>
      </c>
      <c r="K82" s="6">
        <v>0.99999999999999989</v>
      </c>
      <c r="L82" s="20">
        <v>1000000.0000000001</v>
      </c>
    </row>
    <row r="83" spans="2:12" ht="16" thickBot="1">
      <c r="B83" s="774"/>
      <c r="C83" s="770" t="s">
        <v>527</v>
      </c>
      <c r="D83" s="771">
        <v>4336</v>
      </c>
      <c r="E83" s="775"/>
      <c r="F83" s="776"/>
      <c r="H83" s="771">
        <v>4287</v>
      </c>
      <c r="I83" s="775"/>
      <c r="J83" s="776"/>
    </row>
    <row r="84" spans="2:12" ht="16" thickBot="1">
      <c r="B84" s="769" t="s">
        <v>1</v>
      </c>
      <c r="C84" s="770" t="s">
        <v>526</v>
      </c>
      <c r="D84" s="771">
        <v>60952</v>
      </c>
      <c r="E84" s="772">
        <v>16.75</v>
      </c>
      <c r="F84" s="773">
        <v>10209.459999999999</v>
      </c>
      <c r="H84" s="771">
        <v>76389</v>
      </c>
      <c r="I84" s="772">
        <v>16.75</v>
      </c>
      <c r="J84" s="773">
        <v>12795.157499999999</v>
      </c>
      <c r="K84">
        <v>1.1130433246968897E-2</v>
      </c>
      <c r="L84" s="3">
        <v>11130.433246968898</v>
      </c>
    </row>
    <row r="85" spans="2:12" ht="16" thickBot="1">
      <c r="B85" s="774"/>
      <c r="C85" s="770" t="s">
        <v>527</v>
      </c>
      <c r="D85" s="777">
        <v>41</v>
      </c>
      <c r="E85" s="775"/>
      <c r="F85" s="776"/>
      <c r="H85" s="777">
        <v>43</v>
      </c>
      <c r="I85" s="775"/>
      <c r="J85" s="776"/>
    </row>
    <row r="86" spans="2:12" ht="16" thickBot="1">
      <c r="B86" s="769" t="s">
        <v>2</v>
      </c>
      <c r="C86" s="770" t="s">
        <v>526</v>
      </c>
      <c r="D86" s="771">
        <v>537363</v>
      </c>
      <c r="E86" s="772">
        <v>18.5</v>
      </c>
      <c r="F86" s="773">
        <v>99412.154999999999</v>
      </c>
      <c r="H86" s="771">
        <v>522640</v>
      </c>
      <c r="I86" s="772">
        <v>18.5</v>
      </c>
      <c r="J86" s="773">
        <v>96688.4</v>
      </c>
      <c r="K86">
        <v>8.4108677986670141E-2</v>
      </c>
      <c r="L86" s="3">
        <v>84108.67798667014</v>
      </c>
    </row>
    <row r="87" spans="2:12" ht="16" thickBot="1">
      <c r="B87" s="774"/>
      <c r="C87" s="770" t="s">
        <v>527</v>
      </c>
      <c r="D87" s="777">
        <v>211</v>
      </c>
      <c r="E87" s="775"/>
      <c r="F87" s="776"/>
      <c r="H87" s="777">
        <v>221</v>
      </c>
      <c r="I87" s="775"/>
      <c r="J87" s="776"/>
    </row>
    <row r="88" spans="2:12" ht="16" thickBot="1">
      <c r="B88" s="769" t="s">
        <v>3</v>
      </c>
      <c r="C88" s="770" t="s">
        <v>526</v>
      </c>
      <c r="D88" s="771">
        <v>968669</v>
      </c>
      <c r="E88" s="772">
        <v>18.5</v>
      </c>
      <c r="F88" s="773">
        <v>179203.76500000001</v>
      </c>
      <c r="H88" s="771">
        <v>898634</v>
      </c>
      <c r="I88" s="772">
        <v>18.5</v>
      </c>
      <c r="J88" s="773">
        <v>166247.29</v>
      </c>
      <c r="K88">
        <v>0.14461755268229248</v>
      </c>
      <c r="L88" s="3">
        <v>144617.55268229247</v>
      </c>
    </row>
    <row r="89" spans="2:12" ht="16" thickBot="1">
      <c r="B89" s="774"/>
      <c r="C89" s="770" t="s">
        <v>527</v>
      </c>
      <c r="D89" s="777">
        <v>687</v>
      </c>
      <c r="E89" s="775"/>
      <c r="F89" s="776"/>
      <c r="H89" s="777">
        <v>672</v>
      </c>
      <c r="I89" s="775"/>
      <c r="J89" s="776"/>
    </row>
    <row r="90" spans="2:12" ht="16" thickBot="1">
      <c r="B90" s="769" t="s">
        <v>4</v>
      </c>
      <c r="C90" s="770" t="s">
        <v>526</v>
      </c>
      <c r="D90" s="771">
        <v>151425</v>
      </c>
      <c r="E90" s="772">
        <v>17.5</v>
      </c>
      <c r="F90" s="773">
        <v>26499.375</v>
      </c>
      <c r="H90" s="771">
        <v>146176</v>
      </c>
      <c r="I90" s="772">
        <v>17.5</v>
      </c>
      <c r="J90" s="773">
        <v>25580.799999999999</v>
      </c>
      <c r="K90">
        <v>2.2252589450662247E-2</v>
      </c>
      <c r="L90" s="3">
        <v>22252.589450662246</v>
      </c>
    </row>
    <row r="91" spans="2:12" ht="16" thickBot="1">
      <c r="B91" s="774"/>
      <c r="C91" s="770" t="s">
        <v>527</v>
      </c>
      <c r="D91" s="777">
        <v>81</v>
      </c>
      <c r="E91" s="775"/>
      <c r="F91" s="776"/>
      <c r="H91" s="777">
        <v>86</v>
      </c>
      <c r="I91" s="775"/>
      <c r="J91" s="776"/>
    </row>
    <row r="92" spans="2:12" ht="16" thickBot="1">
      <c r="B92" s="769" t="s">
        <v>5</v>
      </c>
      <c r="C92" s="770" t="s">
        <v>526</v>
      </c>
      <c r="D92" s="771">
        <v>321812</v>
      </c>
      <c r="E92" s="772">
        <v>18.5</v>
      </c>
      <c r="F92" s="773">
        <v>59535.22</v>
      </c>
      <c r="H92" s="771">
        <v>298091</v>
      </c>
      <c r="I92" s="772">
        <v>18.5</v>
      </c>
      <c r="J92" s="773">
        <v>55146.834999999999</v>
      </c>
      <c r="K92">
        <v>4.7971911697773789E-2</v>
      </c>
      <c r="L92" s="3">
        <v>47971.911697773787</v>
      </c>
    </row>
    <row r="93" spans="2:12" ht="16" thickBot="1">
      <c r="B93" s="774"/>
      <c r="C93" s="770" t="s">
        <v>527</v>
      </c>
      <c r="D93" s="777">
        <v>121</v>
      </c>
      <c r="E93" s="775"/>
      <c r="F93" s="776"/>
      <c r="H93" s="777">
        <v>114</v>
      </c>
      <c r="I93" s="775"/>
      <c r="J93" s="776"/>
    </row>
    <row r="94" spans="2:12" ht="16" thickBot="1">
      <c r="B94" s="769" t="s">
        <v>6</v>
      </c>
      <c r="C94" s="770" t="s">
        <v>526</v>
      </c>
      <c r="D94" s="771">
        <v>707821</v>
      </c>
      <c r="E94" s="772">
        <v>17.25</v>
      </c>
      <c r="F94" s="773">
        <v>122099.1225</v>
      </c>
      <c r="H94" s="771">
        <v>672683</v>
      </c>
      <c r="I94" s="772">
        <v>17.25</v>
      </c>
      <c r="J94" s="773">
        <v>116037.8175</v>
      </c>
      <c r="K94">
        <v>0.10094062396713048</v>
      </c>
      <c r="L94" s="3">
        <v>100940.62396713048</v>
      </c>
    </row>
    <row r="95" spans="2:12" ht="16" thickBot="1">
      <c r="B95" s="774"/>
      <c r="C95" s="770" t="s">
        <v>527</v>
      </c>
      <c r="D95" s="777">
        <v>413</v>
      </c>
      <c r="E95" s="775"/>
      <c r="F95" s="776"/>
      <c r="H95" s="777">
        <v>406</v>
      </c>
      <c r="I95" s="775"/>
      <c r="J95" s="776"/>
    </row>
    <row r="96" spans="2:12" ht="16" thickBot="1">
      <c r="B96" s="769" t="s">
        <v>7</v>
      </c>
      <c r="C96" s="770" t="s">
        <v>526</v>
      </c>
      <c r="D96" s="771">
        <v>563703</v>
      </c>
      <c r="E96" s="772">
        <v>16.5</v>
      </c>
      <c r="F96" s="773">
        <v>93010.994999999995</v>
      </c>
      <c r="H96" s="771">
        <v>585479</v>
      </c>
      <c r="I96" s="772">
        <v>16.5</v>
      </c>
      <c r="J96" s="773">
        <v>96604.035000000003</v>
      </c>
      <c r="K96">
        <v>8.403528936281926E-2</v>
      </c>
      <c r="L96" s="3">
        <v>84035.289362819254</v>
      </c>
    </row>
    <row r="97" spans="2:12" ht="16" thickBot="1">
      <c r="B97" s="774"/>
      <c r="C97" s="770" t="s">
        <v>527</v>
      </c>
      <c r="D97" s="777">
        <v>701</v>
      </c>
      <c r="E97" s="775"/>
      <c r="F97" s="776"/>
      <c r="H97" s="777">
        <v>681</v>
      </c>
      <c r="I97" s="775"/>
      <c r="J97" s="776"/>
    </row>
    <row r="98" spans="2:12" ht="16" thickBot="1">
      <c r="B98" s="769" t="s">
        <v>8</v>
      </c>
      <c r="C98" s="770" t="s">
        <v>526</v>
      </c>
      <c r="D98" s="771">
        <v>23492</v>
      </c>
      <c r="E98" s="772">
        <v>18.5</v>
      </c>
      <c r="F98" s="773">
        <v>4346.0200000000004</v>
      </c>
      <c r="H98" s="782">
        <v>17331.54868107002</v>
      </c>
      <c r="I98" s="772">
        <v>18.5</v>
      </c>
      <c r="J98" s="783">
        <v>3206.3365059979537</v>
      </c>
      <c r="K98">
        <v>2.7891735171942755E-3</v>
      </c>
      <c r="L98" s="3">
        <v>2789.1735171942755</v>
      </c>
    </row>
    <row r="99" spans="2:12" ht="16" thickBot="1">
      <c r="B99" s="774"/>
      <c r="C99" s="770" t="s">
        <v>527</v>
      </c>
      <c r="D99" s="777">
        <v>13</v>
      </c>
      <c r="E99" s="775"/>
      <c r="F99" s="776"/>
      <c r="H99" s="777" t="s">
        <v>529</v>
      </c>
      <c r="I99" s="775"/>
      <c r="J99" s="776"/>
    </row>
    <row r="100" spans="2:12" ht="16" thickBot="1">
      <c r="B100" s="769" t="s">
        <v>9</v>
      </c>
      <c r="C100" s="770" t="s">
        <v>526</v>
      </c>
      <c r="D100" s="771">
        <v>12599</v>
      </c>
      <c r="E100" s="772">
        <v>19.75</v>
      </c>
      <c r="F100" s="773">
        <v>2488.3024999999998</v>
      </c>
      <c r="H100" s="771">
        <v>16068</v>
      </c>
      <c r="I100" s="772">
        <v>19.75</v>
      </c>
      <c r="J100" s="773">
        <v>3173.43</v>
      </c>
      <c r="K100">
        <v>2.7605483386139253E-3</v>
      </c>
      <c r="L100" s="3">
        <v>2760.5483386139254</v>
      </c>
    </row>
    <row r="101" spans="2:12" ht="16" thickBot="1">
      <c r="B101" s="774"/>
      <c r="C101" s="770" t="s">
        <v>527</v>
      </c>
      <c r="D101" s="777">
        <v>8</v>
      </c>
      <c r="E101" s="775"/>
      <c r="F101" s="776"/>
      <c r="H101" s="777">
        <v>14</v>
      </c>
      <c r="I101" s="775"/>
      <c r="J101" s="776"/>
    </row>
    <row r="102" spans="2:12" ht="16" thickBot="1">
      <c r="B102" s="769" t="s">
        <v>10</v>
      </c>
      <c r="C102" s="770" t="s">
        <v>526</v>
      </c>
      <c r="D102" s="771">
        <v>775068</v>
      </c>
      <c r="E102" s="772">
        <v>16.75</v>
      </c>
      <c r="F102" s="773">
        <v>129823.89</v>
      </c>
      <c r="H102" s="771">
        <v>729878</v>
      </c>
      <c r="I102" s="772">
        <v>17</v>
      </c>
      <c r="J102" s="773">
        <v>124079.26</v>
      </c>
      <c r="K102">
        <v>0.10793582812585917</v>
      </c>
      <c r="L102" s="3">
        <v>107935.82812585917</v>
      </c>
    </row>
    <row r="103" spans="2:12" ht="16" thickBot="1">
      <c r="B103" s="774"/>
      <c r="C103" s="770" t="s">
        <v>527</v>
      </c>
      <c r="D103" s="777">
        <v>553</v>
      </c>
      <c r="E103" s="775"/>
      <c r="F103" s="776"/>
      <c r="H103" s="777">
        <v>534</v>
      </c>
      <c r="I103" s="775"/>
      <c r="J103" s="776"/>
    </row>
    <row r="104" spans="2:12" ht="16" thickBot="1">
      <c r="B104" s="769" t="s">
        <v>11</v>
      </c>
      <c r="C104" s="770" t="s">
        <v>526</v>
      </c>
      <c r="D104" s="771">
        <v>225752</v>
      </c>
      <c r="E104" s="772">
        <v>19.5</v>
      </c>
      <c r="F104" s="773">
        <v>44021.64</v>
      </c>
      <c r="H104" s="771">
        <v>215555</v>
      </c>
      <c r="I104" s="772">
        <v>19.5</v>
      </c>
      <c r="J104" s="773">
        <v>42033.224999999999</v>
      </c>
      <c r="K104">
        <v>3.6564458469332962E-2</v>
      </c>
      <c r="L104" s="3">
        <v>36564.45846933296</v>
      </c>
    </row>
    <row r="105" spans="2:12" ht="16" thickBot="1">
      <c r="B105" s="774"/>
      <c r="C105" s="770" t="s">
        <v>527</v>
      </c>
      <c r="D105" s="777">
        <v>99</v>
      </c>
      <c r="E105" s="775"/>
      <c r="F105" s="776"/>
      <c r="H105" s="777">
        <v>100</v>
      </c>
      <c r="I105" s="775"/>
      <c r="J105" s="776"/>
    </row>
    <row r="106" spans="2:12" ht="16" thickBot="1">
      <c r="B106" s="769" t="s">
        <v>16</v>
      </c>
      <c r="C106" s="770" t="s">
        <v>526</v>
      </c>
      <c r="D106" s="771">
        <v>685598</v>
      </c>
      <c r="E106" s="772">
        <v>17.25</v>
      </c>
      <c r="F106" s="773">
        <v>118265.655</v>
      </c>
      <c r="H106" s="771">
        <v>654947</v>
      </c>
      <c r="I106" s="772">
        <v>17.25</v>
      </c>
      <c r="J106" s="773">
        <v>112978.3575</v>
      </c>
      <c r="K106">
        <v>9.827921747004191E-2</v>
      </c>
      <c r="L106" s="3">
        <v>98279.217470041913</v>
      </c>
    </row>
    <row r="107" spans="2:12" ht="16" thickBot="1">
      <c r="B107" s="774"/>
      <c r="C107" s="770" t="s">
        <v>527</v>
      </c>
      <c r="D107" s="777">
        <v>592</v>
      </c>
      <c r="E107" s="775"/>
      <c r="F107" s="776"/>
      <c r="H107" s="777">
        <v>570</v>
      </c>
      <c r="I107" s="775"/>
      <c r="J107" s="776"/>
    </row>
    <row r="108" spans="2:12" ht="16" thickBot="1">
      <c r="B108" s="769" t="s">
        <v>12</v>
      </c>
      <c r="C108" s="770" t="s">
        <v>526</v>
      </c>
      <c r="D108" s="771">
        <v>843036</v>
      </c>
      <c r="E108" s="772">
        <v>17.25</v>
      </c>
      <c r="F108" s="773">
        <v>145423.71</v>
      </c>
      <c r="H108" s="771">
        <v>818233</v>
      </c>
      <c r="I108" s="772">
        <v>18</v>
      </c>
      <c r="J108" s="773">
        <v>147281.94</v>
      </c>
      <c r="K108">
        <v>0.12811970479097878</v>
      </c>
      <c r="L108" s="3">
        <v>128119.70479097878</v>
      </c>
    </row>
    <row r="109" spans="2:12" ht="16" thickBot="1">
      <c r="B109" s="774"/>
      <c r="C109" s="770" t="s">
        <v>527</v>
      </c>
      <c r="D109" s="777">
        <v>460</v>
      </c>
      <c r="E109" s="775"/>
      <c r="F109" s="776"/>
      <c r="H109" s="777">
        <v>476</v>
      </c>
      <c r="I109" s="775"/>
      <c r="J109" s="776"/>
    </row>
    <row r="110" spans="2:12" ht="16" thickBot="1">
      <c r="B110" s="769" t="s">
        <v>13</v>
      </c>
      <c r="C110" s="770" t="s">
        <v>526</v>
      </c>
      <c r="D110" s="771">
        <v>8769</v>
      </c>
      <c r="E110" s="772">
        <v>18</v>
      </c>
      <c r="F110" s="773">
        <v>1578.42</v>
      </c>
      <c r="H110" s="782">
        <v>6469.4513189299769</v>
      </c>
      <c r="I110" s="772">
        <v>18</v>
      </c>
      <c r="J110" s="783">
        <v>1164.5012374073958</v>
      </c>
      <c r="K110">
        <v>1.0129928677295062E-3</v>
      </c>
      <c r="L110" s="3">
        <v>1012.9928677295062</v>
      </c>
    </row>
    <row r="111" spans="2:12" ht="16" thickBot="1">
      <c r="B111" s="774"/>
      <c r="C111" s="770" t="s">
        <v>527</v>
      </c>
      <c r="D111" s="777">
        <v>5</v>
      </c>
      <c r="E111" s="775"/>
      <c r="F111" s="776"/>
      <c r="H111" s="777" t="s">
        <v>529</v>
      </c>
      <c r="I111" s="775"/>
      <c r="J111" s="776"/>
    </row>
    <row r="112" spans="2:12" ht="16" thickBot="1">
      <c r="B112" s="769" t="s">
        <v>14</v>
      </c>
      <c r="C112" s="770" t="s">
        <v>526</v>
      </c>
      <c r="D112" s="771">
        <v>540236</v>
      </c>
      <c r="E112" s="772">
        <v>19.5</v>
      </c>
      <c r="F112" s="773">
        <v>105346.02</v>
      </c>
      <c r="H112" s="771">
        <v>535485</v>
      </c>
      <c r="I112" s="772">
        <v>19.5</v>
      </c>
      <c r="J112" s="773">
        <v>104419.575</v>
      </c>
      <c r="K112">
        <v>9.0833982247921705E-2</v>
      </c>
      <c r="L112" s="3">
        <v>90833.982247921711</v>
      </c>
    </row>
    <row r="113" spans="2:12" ht="16" thickBot="1">
      <c r="B113" s="774"/>
      <c r="C113" s="770" t="s">
        <v>527</v>
      </c>
      <c r="D113" s="777">
        <v>280</v>
      </c>
      <c r="E113" s="775"/>
      <c r="F113" s="776"/>
      <c r="H113" s="777">
        <v>272</v>
      </c>
      <c r="I113" s="775"/>
      <c r="J113" s="776"/>
    </row>
    <row r="114" spans="2:12" ht="16" thickBot="1">
      <c r="B114" s="769" t="s">
        <v>15</v>
      </c>
      <c r="C114" s="770" t="s">
        <v>526</v>
      </c>
      <c r="D114" s="771">
        <v>199847</v>
      </c>
      <c r="E114" s="772">
        <v>19</v>
      </c>
      <c r="F114" s="773">
        <v>37970.93</v>
      </c>
      <c r="H114" s="771">
        <v>221727</v>
      </c>
      <c r="I114" s="772">
        <v>19</v>
      </c>
      <c r="J114" s="773">
        <v>42128.13</v>
      </c>
      <c r="K114">
        <v>3.6647015778010376E-2</v>
      </c>
      <c r="L114" s="3">
        <v>36647.015778010376</v>
      </c>
    </row>
    <row r="115" spans="2:12" ht="16" thickBot="1">
      <c r="B115" s="778"/>
      <c r="C115" s="769" t="s">
        <v>527</v>
      </c>
      <c r="D115" s="779">
        <v>71</v>
      </c>
      <c r="E115" s="780"/>
      <c r="F115" s="781"/>
      <c r="H115" s="779">
        <v>81</v>
      </c>
      <c r="I115" s="780"/>
      <c r="J115" s="781"/>
    </row>
    <row r="118" spans="2:12">
      <c r="D118" s="784" t="s">
        <v>530</v>
      </c>
      <c r="E118" s="784"/>
      <c r="F118" s="784"/>
      <c r="G118" s="784"/>
      <c r="H118" s="785">
        <v>6391985</v>
      </c>
      <c r="I118" s="784"/>
      <c r="J118" s="784"/>
      <c r="K118" s="784"/>
      <c r="L118" s="784"/>
    </row>
    <row r="119" spans="2:12">
      <c r="D119" s="784" t="s">
        <v>531</v>
      </c>
      <c r="E119" s="784"/>
      <c r="F119" s="784"/>
      <c r="G119" s="784"/>
      <c r="H119" s="785">
        <v>6415786</v>
      </c>
      <c r="I119" s="784"/>
      <c r="J119" s="784"/>
      <c r="K119" s="784"/>
      <c r="L119" s="784"/>
    </row>
    <row r="120" spans="2:12" ht="16" thickBot="1">
      <c r="D120" s="786" t="s">
        <v>532</v>
      </c>
      <c r="E120" s="786"/>
      <c r="F120" s="786"/>
      <c r="G120" s="786"/>
      <c r="H120" s="787">
        <v>23801</v>
      </c>
      <c r="I120" s="784"/>
      <c r="J120" s="784" t="s">
        <v>533</v>
      </c>
      <c r="K120" s="784"/>
      <c r="L120" s="784"/>
    </row>
    <row r="121" spans="2:12" ht="16" thickTop="1">
      <c r="D121" s="784"/>
      <c r="E121" s="784"/>
      <c r="F121" s="784"/>
      <c r="G121" s="784"/>
      <c r="H121" s="784"/>
      <c r="I121" s="784"/>
      <c r="J121" s="784" t="s">
        <v>534</v>
      </c>
      <c r="K121" s="784"/>
      <c r="L121" s="784"/>
    </row>
    <row r="122" spans="2:12">
      <c r="D122" s="784"/>
      <c r="E122" s="784"/>
      <c r="F122" s="784" t="s">
        <v>535</v>
      </c>
      <c r="G122" s="784"/>
      <c r="H122" s="785">
        <v>23492</v>
      </c>
      <c r="I122" s="784"/>
      <c r="J122" s="784">
        <v>0.72818573509810602</v>
      </c>
      <c r="K122" s="784"/>
      <c r="L122" s="784"/>
    </row>
    <row r="123" spans="2:12">
      <c r="D123" s="784"/>
      <c r="E123" s="784"/>
      <c r="F123" s="784" t="s">
        <v>536</v>
      </c>
      <c r="G123" s="784"/>
      <c r="H123" s="785">
        <v>8769</v>
      </c>
      <c r="I123" s="784"/>
      <c r="J123" s="784">
        <v>0.27181426490189392</v>
      </c>
      <c r="K123" s="784"/>
      <c r="L123" s="784"/>
    </row>
    <row r="124" spans="2:12" ht="16" thickBot="1">
      <c r="D124" s="784"/>
      <c r="E124" s="784"/>
      <c r="F124" s="786" t="s">
        <v>537</v>
      </c>
      <c r="G124" s="786"/>
      <c r="H124" s="787">
        <v>32261</v>
      </c>
      <c r="I124" s="787">
        <v>0</v>
      </c>
      <c r="J124" s="787">
        <v>1</v>
      </c>
      <c r="K124" s="784"/>
      <c r="L124" s="784"/>
    </row>
    <row r="125" spans="2:12" ht="16" thickTop="1"/>
    <row r="129" spans="3:7" s="791" customFormat="1"/>
    <row r="130" spans="3:7">
      <c r="C130" s="579"/>
      <c r="D130" s="579"/>
      <c r="F130" s="510"/>
      <c r="G130" s="510"/>
    </row>
    <row r="131" spans="3:7">
      <c r="C131" s="547" t="s">
        <v>352</v>
      </c>
      <c r="D131" s="495"/>
    </row>
    <row r="132" spans="3:7">
      <c r="C132" s="547" t="s">
        <v>353</v>
      </c>
      <c r="D132" s="495"/>
    </row>
    <row r="133" spans="3:7">
      <c r="C133" s="495"/>
      <c r="D133" s="495"/>
    </row>
    <row r="134" spans="3:7">
      <c r="C134" s="495"/>
      <c r="D134" s="495"/>
    </row>
    <row r="135" spans="3:7">
      <c r="D135" s="495"/>
    </row>
    <row r="136" spans="3:7">
      <c r="C136" s="6" t="s">
        <v>355</v>
      </c>
      <c r="D136" s="495"/>
    </row>
    <row r="137" spans="3:7">
      <c r="C137" s="494" t="s">
        <v>331</v>
      </c>
      <c r="D137" s="495"/>
    </row>
    <row r="139" spans="3:7" s="791" customFormat="1"/>
  </sheetData>
  <hyperlinks>
    <hyperlink ref="C131" r:id="rId1" display="https://www.regeringen.ax/sites/www.regeringen.ax/files/attachments/law/afs2020_nr130.pdf" xr:uid="{CE7522AC-DE48-4EE0-A108-5EDAFADACA3C}"/>
    <hyperlink ref="C132" r:id="rId2" display="https://www.lagtinget.ax/dokument/lagforslag-7-2020-2021-48562" xr:uid="{CA4004F1-C05F-4332-9A38-C2AD7D50F282}"/>
    <hyperlink ref="D30" r:id="rId3" display="https://www.lagtinget.ax/dokument/lagforslag-11-2022-2023-53175" xr:uid="{84351BA1-1D34-41D4-AF76-4C59D8EC847C}"/>
    <hyperlink ref="D31" r:id="rId4" display="https://www.lagtinget.ax/dokument/lagforslag-52022-2023-52735" xr:uid="{0DE7DAA9-E173-4AE7-8058-6FC5B86A7D42}"/>
    <hyperlink ref="D4" r:id="rId5" xr:uid="{CEA79543-A30B-494E-B078-7243C8D6C65B}"/>
  </hyperlinks>
  <pageMargins left="0.7" right="0.7" top="0.75" bottom="0.75" header="0.3" footer="0.3"/>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7E80-F7B7-4132-92BD-3D323A22702E}">
  <dimension ref="A1:J27"/>
  <sheetViews>
    <sheetView topLeftCell="A6" workbookViewId="0">
      <selection activeCell="J26" sqref="J26"/>
    </sheetView>
  </sheetViews>
  <sheetFormatPr defaultRowHeight="15.5"/>
  <cols>
    <col min="1" max="1" width="35.23046875" customWidth="1"/>
    <col min="6" max="7" width="11.3046875" bestFit="1" customWidth="1"/>
  </cols>
  <sheetData>
    <row r="1" spans="1:10">
      <c r="A1" s="17" t="s">
        <v>179</v>
      </c>
    </row>
    <row r="4" spans="1:10">
      <c r="A4" s="109" t="s">
        <v>180</v>
      </c>
      <c r="B4" s="111" t="s">
        <v>342</v>
      </c>
      <c r="C4" s="111" t="s">
        <v>444</v>
      </c>
      <c r="I4" s="111"/>
      <c r="J4" s="111"/>
    </row>
    <row r="5" spans="1:10">
      <c r="A5" s="102" t="s">
        <v>178</v>
      </c>
      <c r="B5" s="104">
        <v>15265468.129999997</v>
      </c>
      <c r="C5" s="104">
        <f>'Lsandelar totalt'!B26</f>
        <v>15730465.460000001</v>
      </c>
      <c r="I5" s="3"/>
      <c r="J5" s="3"/>
    </row>
    <row r="6" spans="1:10">
      <c r="A6" s="550" t="s">
        <v>371</v>
      </c>
      <c r="B6" s="104">
        <v>11347760.928780001</v>
      </c>
      <c r="C6" s="104">
        <f>'Lsandelar totalt'!C26+'Lsandelar totalt'!D26+'Lsandelar totalt'!E26+'Lsandelar totalt'!G26+'Lsandelar totalt'!F26</f>
        <v>13443716.200299999</v>
      </c>
      <c r="D6" s="104" t="s">
        <v>383</v>
      </c>
      <c r="I6" s="454"/>
    </row>
    <row r="7" spans="1:10">
      <c r="A7" s="558" t="s">
        <v>370</v>
      </c>
      <c r="B7" s="104">
        <v>8868861.8599999994</v>
      </c>
      <c r="C7" s="104">
        <f>'Lsandelar totalt'!H26+'Lsandelar totalt'!I26</f>
        <v>9185869.6400000006</v>
      </c>
    </row>
    <row r="8" spans="1:10">
      <c r="A8" s="573" t="s">
        <v>388</v>
      </c>
      <c r="B8" s="104">
        <f>567825.38+100000</f>
        <v>667825.38</v>
      </c>
      <c r="C8" s="104">
        <f>'Lsandelar totalt'!J26+'Lsandelar totalt'!K26+100000</f>
        <v>597125.78</v>
      </c>
    </row>
    <row r="9" spans="1:10">
      <c r="A9" s="571" t="s">
        <v>382</v>
      </c>
      <c r="B9" s="572">
        <v>267000</v>
      </c>
      <c r="C9" s="106"/>
    </row>
    <row r="10" spans="1:10">
      <c r="A10" s="570" t="s">
        <v>381</v>
      </c>
      <c r="B10" s="569">
        <v>407810.48</v>
      </c>
      <c r="C10" s="105"/>
    </row>
    <row r="11" spans="1:10">
      <c r="A11" s="6" t="s">
        <v>17</v>
      </c>
      <c r="B11" s="20">
        <f>SUM(B5:B10)</f>
        <v>36824726.778779998</v>
      </c>
      <c r="C11" s="20">
        <f>SUM(C5:C10)</f>
        <v>38957177.080300003</v>
      </c>
    </row>
    <row r="12" spans="1:10">
      <c r="G12" s="497" t="s">
        <v>387</v>
      </c>
    </row>
    <row r="13" spans="1:10">
      <c r="A13" s="102"/>
      <c r="B13" s="102"/>
      <c r="C13" s="102"/>
    </row>
    <row r="14" spans="1:10">
      <c r="A14" s="102"/>
      <c r="B14" s="102"/>
      <c r="C14" s="102"/>
      <c r="G14" s="497" t="s">
        <v>399</v>
      </c>
    </row>
    <row r="15" spans="1:10">
      <c r="A15" s="102"/>
      <c r="B15" s="102"/>
      <c r="C15" s="102"/>
    </row>
    <row r="16" spans="1:10">
      <c r="A16" s="109" t="s">
        <v>384</v>
      </c>
      <c r="B16" s="111" t="s">
        <v>342</v>
      </c>
      <c r="C16" s="111" t="s">
        <v>444</v>
      </c>
    </row>
    <row r="17" spans="1:4">
      <c r="A17" s="102" t="s">
        <v>169</v>
      </c>
      <c r="B17" s="104">
        <v>820816</v>
      </c>
      <c r="D17" s="452"/>
    </row>
    <row r="18" spans="1:4">
      <c r="A18" s="102" t="s">
        <v>175</v>
      </c>
      <c r="B18" s="104">
        <v>725000</v>
      </c>
    </row>
    <row r="19" spans="1:4">
      <c r="A19" s="573" t="s">
        <v>385</v>
      </c>
      <c r="B19" s="104">
        <v>200000</v>
      </c>
      <c r="C19" s="104">
        <v>200000</v>
      </c>
    </row>
    <row r="20" spans="1:4">
      <c r="A20" s="570" t="s">
        <v>386</v>
      </c>
      <c r="B20" s="105"/>
      <c r="C20" s="103"/>
    </row>
    <row r="21" spans="1:4">
      <c r="A21" s="6" t="s">
        <v>17</v>
      </c>
      <c r="B21" s="20">
        <f>SUM(B17:B20)</f>
        <v>1745816</v>
      </c>
      <c r="C21" s="20">
        <f>SUM(C17:C20)</f>
        <v>200000</v>
      </c>
    </row>
    <row r="22" spans="1:4">
      <c r="A22" s="102"/>
      <c r="B22" s="102"/>
      <c r="C22" s="102"/>
    </row>
    <row r="25" spans="1:4">
      <c r="A25" s="109" t="s">
        <v>179</v>
      </c>
      <c r="B25" s="111" t="s">
        <v>342</v>
      </c>
      <c r="C25" s="111" t="s">
        <v>444</v>
      </c>
    </row>
    <row r="26" spans="1:4">
      <c r="A26" s="6" t="s">
        <v>17</v>
      </c>
      <c r="B26" s="104">
        <f>B11+B21</f>
        <v>38570542.778779998</v>
      </c>
      <c r="C26" s="104">
        <f>C11+C21</f>
        <v>39157177.080300003</v>
      </c>
    </row>
    <row r="27" spans="1:4">
      <c r="A27" s="102"/>
      <c r="B27" s="102"/>
      <c r="C27" s="102"/>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C4C89-F66B-46BC-B8EE-CA8AE528CFE8}">
  <dimension ref="A1:R28"/>
  <sheetViews>
    <sheetView workbookViewId="0">
      <selection activeCell="M6" sqref="M6"/>
    </sheetView>
  </sheetViews>
  <sheetFormatPr defaultRowHeight="15.5"/>
  <cols>
    <col min="1" max="4" width="15.53515625" customWidth="1"/>
    <col min="9" max="9" width="9.07421875" bestFit="1" customWidth="1"/>
    <col min="10" max="10" width="9.4609375" bestFit="1" customWidth="1"/>
  </cols>
  <sheetData>
    <row r="1" spans="1:18">
      <c r="A1" s="17" t="s">
        <v>255</v>
      </c>
    </row>
    <row r="2" spans="1:18" ht="15.75" customHeight="1"/>
    <row r="3" spans="1:18">
      <c r="A3" s="96" t="s">
        <v>405</v>
      </c>
    </row>
    <row r="4" spans="1:18">
      <c r="A4" s="96"/>
    </row>
    <row r="5" spans="1:18" ht="48.75" customHeight="1">
      <c r="A5" s="109"/>
      <c r="B5" s="109" t="s">
        <v>359</v>
      </c>
      <c r="C5" s="109" t="s">
        <v>360</v>
      </c>
      <c r="D5" s="109" t="s">
        <v>361</v>
      </c>
      <c r="E5" s="109" t="s">
        <v>362</v>
      </c>
      <c r="G5" s="109" t="s">
        <v>88</v>
      </c>
      <c r="H5" s="109" t="s">
        <v>365</v>
      </c>
      <c r="I5" s="109" t="s">
        <v>366</v>
      </c>
      <c r="K5" s="109" t="s">
        <v>363</v>
      </c>
      <c r="L5" s="109" t="s">
        <v>367</v>
      </c>
      <c r="M5" s="109" t="s">
        <v>364</v>
      </c>
      <c r="O5" s="109"/>
      <c r="R5" s="109" t="s">
        <v>368</v>
      </c>
    </row>
    <row r="6" spans="1:18" ht="18.75" customHeight="1">
      <c r="A6" s="412" t="s">
        <v>1</v>
      </c>
      <c r="B6" s="415">
        <f>'Lsandelar totalt'!O7</f>
        <v>777085.5173999999</v>
      </c>
      <c r="C6" s="413">
        <f>'Lsandelar totalt'!O7/Invånare!B6</f>
        <v>1730.7027113585743</v>
      </c>
      <c r="D6" s="414">
        <f>'Lsandelar totalt'!O7/'Lsandelar totalt'!$O$26</f>
        <v>2.2352697175442825E-2</v>
      </c>
      <c r="E6" s="414">
        <f>D6</f>
        <v>2.2352697175442825E-2</v>
      </c>
      <c r="G6" s="552">
        <f>Invånare!B6</f>
        <v>449</v>
      </c>
      <c r="H6" s="554">
        <f>R6*1000/G6</f>
        <v>6554.5657015590205</v>
      </c>
      <c r="I6" s="554">
        <f>('Skattekompl data'!F9+'Skattekompl data'!F51)/G6</f>
        <v>5407.5898954796276</v>
      </c>
      <c r="J6" s="551"/>
      <c r="K6" s="414">
        <f>Invånare!B6/Invånare!$B$22</f>
        <v>1.4796994463485367E-2</v>
      </c>
      <c r="L6" s="414">
        <f>R6/$R$22</f>
        <v>1.9184636645719799E-2</v>
      </c>
      <c r="M6" s="414">
        <f>('Skattekompl data'!F9+'Skattekompl data'!F51)/('Skattekompl data'!$F$25+'Skattekompl data'!$F$67)</f>
        <v>2.0664901061956183E-2</v>
      </c>
      <c r="O6" s="554"/>
      <c r="R6" s="552">
        <v>2943</v>
      </c>
    </row>
    <row r="7" spans="1:18" ht="18.75" customHeight="1">
      <c r="A7" s="412" t="s">
        <v>2</v>
      </c>
      <c r="B7" s="415">
        <f>'Lsandelar totalt'!O8</f>
        <v>1960720.7378</v>
      </c>
      <c r="C7" s="413">
        <f>'Lsandelar totalt'!O8/Invånare!B7</f>
        <v>2101.5227629153269</v>
      </c>
      <c r="D7" s="414">
        <f>'Lsandelar totalt'!O8/'Lsandelar totalt'!$O$26</f>
        <v>5.6399708804628711E-2</v>
      </c>
      <c r="E7" s="414">
        <f>D7+D6</f>
        <v>7.8752405980071535E-2</v>
      </c>
      <c r="G7" s="552">
        <f>Invånare!B7</f>
        <v>933</v>
      </c>
      <c r="H7" s="554">
        <f t="shared" ref="H7:H22" si="0">R7*1000/G7</f>
        <v>5939.9785637727764</v>
      </c>
      <c r="I7" s="554">
        <f>('Skattekompl data'!F10+'Skattekompl data'!F52)/G7</f>
        <v>3535.6312530517412</v>
      </c>
      <c r="K7" s="414">
        <f>Invånare!B7/Invånare!$B$22</f>
        <v>3.0747429475349329E-2</v>
      </c>
      <c r="L7" s="414">
        <f t="shared" ref="L7:L21" si="1">R7/$R$22</f>
        <v>3.6126828505123727E-2</v>
      </c>
      <c r="M7" s="414">
        <f>('Skattekompl data'!F10+'Skattekompl data'!F52)/('Skattekompl data'!$F$25+'Skattekompl data'!$F$67)</f>
        <v>2.8075781211543627E-2</v>
      </c>
      <c r="O7" s="554"/>
      <c r="R7" s="552">
        <v>5542</v>
      </c>
    </row>
    <row r="8" spans="1:18" ht="18.75" customHeight="1">
      <c r="A8" s="412" t="s">
        <v>3</v>
      </c>
      <c r="B8" s="415">
        <f>'Lsandelar totalt'!O9</f>
        <v>3981588.1645000004</v>
      </c>
      <c r="C8" s="413">
        <f>'Lsandelar totalt'!O9/Invånare!B8</f>
        <v>1509.3207598559516</v>
      </c>
      <c r="D8" s="414">
        <f>'Lsandelar totalt'!O9/'Lsandelar totalt'!$O$26</f>
        <v>0.11452952413290692</v>
      </c>
      <c r="E8" s="414">
        <f>D8+E7</f>
        <v>0.19328193011297845</v>
      </c>
      <c r="G8" s="552">
        <f>Invånare!B8</f>
        <v>2638</v>
      </c>
      <c r="H8" s="554">
        <f t="shared" si="0"/>
        <v>5110.6899166034873</v>
      </c>
      <c r="I8" s="554">
        <f>('Skattekompl data'!F11+'Skattekompl data'!F53)/G8</f>
        <v>3593.4845480408258</v>
      </c>
      <c r="K8" s="414">
        <f>Invånare!B8/Invånare!$B$22</f>
        <v>8.6936461903506457E-2</v>
      </c>
      <c r="L8" s="414">
        <f t="shared" si="1"/>
        <v>8.7885583166019132E-2</v>
      </c>
      <c r="M8" s="414">
        <f>('Skattekompl data'!F11+'Skattekompl data'!F53)/('Skattekompl data'!$F$25+'Skattekompl data'!$F$67)</f>
        <v>8.0681472238196952E-2</v>
      </c>
      <c r="O8" s="554"/>
      <c r="R8" s="552">
        <v>13482</v>
      </c>
    </row>
    <row r="9" spans="1:18" ht="18.75" customHeight="1">
      <c r="A9" s="412" t="s">
        <v>4</v>
      </c>
      <c r="B9" s="415">
        <f>'Lsandelar totalt'!O10</f>
        <v>1344312.0175999999</v>
      </c>
      <c r="C9" s="413">
        <f>'Lsandelar totalt'!O10/Invånare!B9</f>
        <v>2683.2575201596806</v>
      </c>
      <c r="D9" s="414">
        <f>'Lsandelar totalt'!O10/'Lsandelar totalt'!$O$26</f>
        <v>3.8668845018834434E-2</v>
      </c>
      <c r="E9" s="414">
        <f t="shared" ref="E9:E21" si="2">D9+E8</f>
        <v>0.23195077513181289</v>
      </c>
      <c r="G9" s="552">
        <f>Invånare!B9</f>
        <v>501</v>
      </c>
      <c r="H9" s="554">
        <f t="shared" si="0"/>
        <v>7313.3732534930141</v>
      </c>
      <c r="I9" s="554">
        <f>('Skattekompl data'!F12+'Skattekompl data'!F54)/G9</f>
        <v>3541.789270696363</v>
      </c>
      <c r="K9" s="414">
        <f>Invånare!B9/Invånare!$B$22</f>
        <v>1.6510677563933561E-2</v>
      </c>
      <c r="L9" s="414">
        <f t="shared" si="1"/>
        <v>2.3884644468201613E-2</v>
      </c>
      <c r="M9" s="414">
        <f>('Skattekompl data'!F12+'Skattekompl data'!F54)/('Skattekompl data'!$F$25+'Skattekompl data'!$F$67)</f>
        <v>1.5102320595086923E-2</v>
      </c>
      <c r="O9" s="554"/>
      <c r="R9" s="552">
        <v>3664</v>
      </c>
    </row>
    <row r="10" spans="1:18" ht="18.75" customHeight="1">
      <c r="A10" s="412" t="s">
        <v>5</v>
      </c>
      <c r="B10" s="415">
        <f>'Lsandelar totalt'!O11</f>
        <v>1590449.1394</v>
      </c>
      <c r="C10" s="413">
        <f>'Lsandelar totalt'!O11/Invånare!B10</f>
        <v>3149.4042364356437</v>
      </c>
      <c r="D10" s="414">
        <f>'Lsandelar totalt'!O11/'Lsandelar totalt'!$O$26</f>
        <v>4.5748926199138375E-2</v>
      </c>
      <c r="E10" s="414">
        <f t="shared" si="2"/>
        <v>0.27769970133095129</v>
      </c>
      <c r="G10" s="552">
        <f>Invånare!B10</f>
        <v>505</v>
      </c>
      <c r="H10" s="554">
        <f t="shared" si="0"/>
        <v>6118.8118811881186</v>
      </c>
      <c r="I10" s="554">
        <f>('Skattekompl data'!F13+'Skattekompl data'!F55)/G10</f>
        <v>2396.3360409430343</v>
      </c>
      <c r="K10" s="414">
        <f>Invånare!B10/Invånare!$B$22</f>
        <v>1.6642499340891116E-2</v>
      </c>
      <c r="L10" s="414">
        <f t="shared" si="1"/>
        <v>2.0142890667779197E-2</v>
      </c>
      <c r="M10" s="414">
        <f>('Skattekompl data'!F13+'Skattekompl data'!F55)/('Skattekompl data'!$F$25+'Skattekompl data'!$F$67)</f>
        <v>1.0299646971903409E-2</v>
      </c>
      <c r="O10" s="554"/>
      <c r="R10" s="552">
        <v>3090</v>
      </c>
    </row>
    <row r="11" spans="1:18" ht="18.75" customHeight="1">
      <c r="A11" s="412" t="s">
        <v>6</v>
      </c>
      <c r="B11" s="415">
        <f>'Lsandelar totalt'!O12</f>
        <v>3168013.9529000004</v>
      </c>
      <c r="C11" s="413">
        <f>'Lsandelar totalt'!O12/Invånare!B11</f>
        <v>1956.7720524397778</v>
      </c>
      <c r="D11" s="414">
        <f>'Lsandelar totalt'!O12/'Lsandelar totalt'!$O$26</f>
        <v>9.112723754482277E-2</v>
      </c>
      <c r="E11" s="414">
        <f t="shared" si="2"/>
        <v>0.36882693887577406</v>
      </c>
      <c r="G11" s="552">
        <f>Invånare!B11</f>
        <v>1619</v>
      </c>
      <c r="H11" s="554">
        <f t="shared" si="0"/>
        <v>4861.0253242742438</v>
      </c>
      <c r="I11" s="554">
        <f>('Skattekompl data'!F14+'Skattekompl data'!F56)/G11</f>
        <v>2969.7961469068646</v>
      </c>
      <c r="K11" s="414">
        <f>Invånare!B11/Invånare!$B$22</f>
        <v>5.3354864223569734E-2</v>
      </c>
      <c r="L11" s="414">
        <f t="shared" si="1"/>
        <v>5.130244322181951E-2</v>
      </c>
      <c r="M11" s="414">
        <f>('Skattekompl data'!F14+'Skattekompl data'!F56)/('Skattekompl data'!$F$25+'Skattekompl data'!$F$67)</f>
        <v>4.092198856465798E-2</v>
      </c>
      <c r="O11" s="554"/>
      <c r="R11" s="552">
        <v>7870</v>
      </c>
    </row>
    <row r="12" spans="1:18" ht="18.75" customHeight="1">
      <c r="A12" s="412" t="s">
        <v>7</v>
      </c>
      <c r="B12" s="415">
        <f>'Lsandelar totalt'!O13</f>
        <v>5261622.8440000005</v>
      </c>
      <c r="C12" s="413">
        <f>'Lsandelar totalt'!O13/Invånare!B12</f>
        <v>954.57598766328022</v>
      </c>
      <c r="D12" s="414">
        <f>'Lsandelar totalt'!O13/'Lsandelar totalt'!$O$26</f>
        <v>0.15134944539544737</v>
      </c>
      <c r="E12" s="414">
        <f t="shared" si="2"/>
        <v>0.52017638427122148</v>
      </c>
      <c r="G12" s="552">
        <f>Invånare!B12</f>
        <v>5512</v>
      </c>
      <c r="H12" s="554">
        <f t="shared" si="0"/>
        <v>4080.9143686502175</v>
      </c>
      <c r="I12" s="554">
        <f>('Skattekompl data'!F15+'Skattekompl data'!F57)/G12</f>
        <v>3593.9493823490466</v>
      </c>
      <c r="K12" s="414">
        <f>Invånare!B12/Invånare!$B$22</f>
        <v>0.18165040864750856</v>
      </c>
      <c r="L12" s="414">
        <f t="shared" si="1"/>
        <v>0.14663242157961984</v>
      </c>
      <c r="M12" s="414">
        <f>('Skattekompl data'!F15+'Skattekompl data'!F57)/('Skattekompl data'!$F$25+'Skattekompl data'!$F$67)</f>
        <v>0.16860265395796292</v>
      </c>
      <c r="O12" s="554"/>
      <c r="R12" s="552">
        <v>22494</v>
      </c>
    </row>
    <row r="13" spans="1:18" ht="18.75" customHeight="1">
      <c r="A13" s="412" t="s">
        <v>8</v>
      </c>
      <c r="B13" s="415">
        <f>'Lsandelar totalt'!O14</f>
        <v>918135.23380000005</v>
      </c>
      <c r="C13" s="413">
        <f>'Lsandelar totalt'!O14/Invånare!B13</f>
        <v>2933.3394051118212</v>
      </c>
      <c r="D13" s="414">
        <f>'Lsandelar totalt'!O14/'Lsandelar totalt'!$O$26</f>
        <v>2.6409961822350909E-2</v>
      </c>
      <c r="E13" s="414">
        <f t="shared" si="2"/>
        <v>0.54658634609357237</v>
      </c>
      <c r="G13" s="552">
        <f>Invånare!B13</f>
        <v>313</v>
      </c>
      <c r="H13" s="554">
        <f t="shared" si="0"/>
        <v>6041.5335463258789</v>
      </c>
      <c r="I13" s="554">
        <f>('Skattekompl data'!F16+'Skattekompl data'!F58)/G13</f>
        <v>3541.6559044160244</v>
      </c>
      <c r="K13" s="414">
        <f>Invånare!B13/Invånare!$B$22</f>
        <v>1.0315054046928552E-2</v>
      </c>
      <c r="L13" s="414">
        <f t="shared" si="1"/>
        <v>1.2326927589893354E-2</v>
      </c>
      <c r="M13" s="414">
        <f>('Skattekompl data'!F16+'Skattekompl data'!F58)/('Skattekompl data'!$F$25+'Skattekompl data'!$F$67)</f>
        <v>9.4348270455310752E-3</v>
      </c>
      <c r="O13" s="554"/>
      <c r="R13" s="552">
        <v>1891</v>
      </c>
    </row>
    <row r="14" spans="1:18" ht="18.75" customHeight="1">
      <c r="A14" s="412" t="s">
        <v>9</v>
      </c>
      <c r="B14" s="415">
        <f>'Lsandelar totalt'!O15</f>
        <v>540715.68550000002</v>
      </c>
      <c r="C14" s="413">
        <f>'Lsandelar totalt'!O15/Invånare!B14</f>
        <v>2413.9093102678571</v>
      </c>
      <c r="D14" s="414">
        <f>'Lsandelar totalt'!O15/'Lsandelar totalt'!$O$26</f>
        <v>1.555356998085972E-2</v>
      </c>
      <c r="E14" s="414">
        <f t="shared" si="2"/>
        <v>0.56213991607443214</v>
      </c>
      <c r="G14" s="552">
        <f>Invånare!B14</f>
        <v>224</v>
      </c>
      <c r="H14" s="554">
        <f t="shared" si="0"/>
        <v>6183.0357142857147</v>
      </c>
      <c r="I14" s="554">
        <f>('Skattekompl data'!F17+'Skattekompl data'!F59)/G14</f>
        <v>3678.3943121604138</v>
      </c>
      <c r="K14" s="414">
        <f>Invånare!B14/Invånare!$B$22</f>
        <v>7.3820195096229897E-3</v>
      </c>
      <c r="L14" s="414">
        <f t="shared" si="1"/>
        <v>9.0284477588589603E-3</v>
      </c>
      <c r="M14" s="414">
        <f>('Skattekompl data'!F17+'Skattekompl data'!F59)/('Skattekompl data'!$F$25+'Skattekompl data'!$F$67)</f>
        <v>7.0127691401557337E-3</v>
      </c>
      <c r="O14" s="554"/>
      <c r="R14" s="552">
        <v>1385</v>
      </c>
    </row>
    <row r="15" spans="1:18" ht="18.75" customHeight="1">
      <c r="A15" s="412" t="s">
        <v>10</v>
      </c>
      <c r="B15" s="415">
        <f>'Lsandelar totalt'!O16</f>
        <v>3126188.3364999997</v>
      </c>
      <c r="C15" s="413">
        <f>'Lsandelar totalt'!O16/Invånare!B15</f>
        <v>1464.2568320843091</v>
      </c>
      <c r="D15" s="414">
        <f>'Lsandelar totalt'!O16/'Lsandelar totalt'!$O$26</f>
        <v>8.9924132717063884E-2</v>
      </c>
      <c r="E15" s="414">
        <f t="shared" si="2"/>
        <v>0.65206404879149604</v>
      </c>
      <c r="G15" s="552">
        <f>Invånare!B15</f>
        <v>2135</v>
      </c>
      <c r="H15" s="554">
        <f t="shared" si="0"/>
        <v>4817.7985948477753</v>
      </c>
      <c r="I15" s="554">
        <f>('Skattekompl data'!F18+'Skattekompl data'!F60)/G15</f>
        <v>3397.7334071251471</v>
      </c>
      <c r="K15" s="414">
        <f>Invånare!B15/Invånare!$B$22</f>
        <v>7.0359873451094124E-2</v>
      </c>
      <c r="L15" s="414">
        <f t="shared" si="1"/>
        <v>6.7051706604782144E-2</v>
      </c>
      <c r="M15" s="414">
        <f>('Skattekompl data'!F18+'Skattekompl data'!F60)/('Skattekompl data'!$F$25+'Skattekompl data'!$F$67)</f>
        <v>6.1740539641538944E-2</v>
      </c>
      <c r="O15" s="554"/>
      <c r="R15" s="552">
        <v>10286</v>
      </c>
    </row>
    <row r="16" spans="1:18" ht="18.75" customHeight="1">
      <c r="A16" s="412" t="s">
        <v>11</v>
      </c>
      <c r="B16" s="415">
        <f>'Lsandelar totalt'!O17</f>
        <v>741491.79560000007</v>
      </c>
      <c r="C16" s="413">
        <f>'Lsandelar totalt'!O17/Invånare!B16</f>
        <v>1972.0526478723407</v>
      </c>
      <c r="D16" s="414">
        <f>'Lsandelar totalt'!O17/'Lsandelar totalt'!$O$26</f>
        <v>2.1328851450709268E-2</v>
      </c>
      <c r="E16" s="414">
        <f t="shared" si="2"/>
        <v>0.67339290024220533</v>
      </c>
      <c r="G16" s="552">
        <f>Invånare!B16</f>
        <v>376</v>
      </c>
      <c r="H16" s="554">
        <f t="shared" si="0"/>
        <v>5888.2978723404258</v>
      </c>
      <c r="I16" s="554">
        <f>('Skattekompl data'!F19+'Skattekompl data'!F61)/G16</f>
        <v>3971.9489768724834</v>
      </c>
      <c r="K16" s="414">
        <f>Invånare!B16/Invånare!$B$22</f>
        <v>1.2391247034010018E-2</v>
      </c>
      <c r="L16" s="414">
        <f t="shared" si="1"/>
        <v>1.4432478944486455E-2</v>
      </c>
      <c r="M16" s="414">
        <f>('Skattekompl data'!F19+'Skattekompl data'!F61)/('Skattekompl data'!$F$25+'Skattekompl data'!$F$67)</f>
        <v>1.2710854498605857E-2</v>
      </c>
      <c r="O16" s="554"/>
      <c r="R16" s="552">
        <v>2214</v>
      </c>
    </row>
    <row r="17" spans="1:18" ht="18.75" customHeight="1">
      <c r="A17" s="412" t="s">
        <v>12</v>
      </c>
      <c r="B17" s="415">
        <f>'Lsandelar totalt'!O18</f>
        <v>2674508.6958000003</v>
      </c>
      <c r="C17" s="413">
        <f>'Lsandelar totalt'!O18/Invånare!B17</f>
        <v>1477.6291137016576</v>
      </c>
      <c r="D17" s="414">
        <f>'Lsandelar totalt'!O18/'Lsandelar totalt'!$O$26</f>
        <v>7.6931665346599537E-2</v>
      </c>
      <c r="E17" s="414">
        <f t="shared" si="2"/>
        <v>0.75032456558880489</v>
      </c>
      <c r="G17" s="552">
        <f>Invånare!B17</f>
        <v>1810</v>
      </c>
      <c r="H17" s="554">
        <f t="shared" si="0"/>
        <v>5414.3646408839777</v>
      </c>
      <c r="I17" s="554">
        <f>('Skattekompl data'!F21+'Skattekompl data'!F63)/G17</f>
        <v>3957.9266654938815</v>
      </c>
      <c r="K17" s="414">
        <f>Invånare!B17/Invånare!$B$22</f>
        <v>5.9649354073292908E-2</v>
      </c>
      <c r="L17" s="414">
        <f t="shared" si="1"/>
        <v>6.3883601470626578E-2</v>
      </c>
      <c r="M17" s="414">
        <f>('Skattekompl data'!F21+'Skattekompl data'!F63)/('Skattekompl data'!$F$25+'Skattekompl data'!$F$67)</f>
        <v>6.0971876243250907E-2</v>
      </c>
      <c r="O17" s="554"/>
      <c r="R17" s="552">
        <v>9800</v>
      </c>
    </row>
    <row r="18" spans="1:18" ht="18.75" customHeight="1">
      <c r="A18" s="412" t="s">
        <v>13</v>
      </c>
      <c r="B18" s="415">
        <f>'Lsandelar totalt'!O19</f>
        <v>279181.44189999998</v>
      </c>
      <c r="C18" s="413">
        <f>'Lsandelar totalt'!O19/Invånare!B18</f>
        <v>2658.8708752380949</v>
      </c>
      <c r="D18" s="414">
        <f>'Lsandelar totalt'!O19/'Lsandelar totalt'!$O$26</f>
        <v>8.0305939154209569E-3</v>
      </c>
      <c r="E18" s="414">
        <f t="shared" si="2"/>
        <v>0.75835515950422583</v>
      </c>
      <c r="G18" s="552">
        <f>Invånare!B18</f>
        <v>105</v>
      </c>
      <c r="H18" s="554">
        <f t="shared" si="0"/>
        <v>5990.4761904761908</v>
      </c>
      <c r="I18" s="554">
        <f>('Skattekompl data'!F22+'Skattekompl data'!F64)/G18</f>
        <v>3548.6276558982781</v>
      </c>
      <c r="K18" s="414">
        <f>Invånare!B18/Invånare!$B$22</f>
        <v>3.4603216451357765E-3</v>
      </c>
      <c r="L18" s="414">
        <f t="shared" si="1"/>
        <v>4.100284216839196E-3</v>
      </c>
      <c r="M18" s="414">
        <f>('Skattekompl data'!F22+'Skattekompl data'!F64)/('Skattekompl data'!$F$25+'Skattekompl data'!$F$67)</f>
        <v>3.1712682053769482E-3</v>
      </c>
      <c r="O18" s="554"/>
      <c r="R18" s="552">
        <v>629</v>
      </c>
    </row>
    <row r="19" spans="1:18" ht="18.75" customHeight="1">
      <c r="A19" s="412" t="s">
        <v>14</v>
      </c>
      <c r="B19" s="415">
        <f>'Lsandelar totalt'!O20</f>
        <v>1917222.7560000001</v>
      </c>
      <c r="C19" s="413">
        <f>'Lsandelar totalt'!O20/Invånare!B19</f>
        <v>1881.4747360157016</v>
      </c>
      <c r="D19" s="414">
        <f>'Lsandelar totalt'!O20/'Lsandelar totalt'!$O$26</f>
        <v>5.514849874711604E-2</v>
      </c>
      <c r="E19" s="414">
        <f t="shared" si="2"/>
        <v>0.81350365825134185</v>
      </c>
      <c r="G19" s="552">
        <f>Invånare!B19</f>
        <v>1019</v>
      </c>
      <c r="H19" s="554">
        <f t="shared" si="0"/>
        <v>5440.6280667320907</v>
      </c>
      <c r="I19" s="554">
        <f>('Skattekompl data'!F23+'Skattekompl data'!F65)/G19</f>
        <v>3555.56575978516</v>
      </c>
      <c r="K19" s="414">
        <f>Invånare!B19/Invånare!$B$22</f>
        <v>3.3581597679936723E-2</v>
      </c>
      <c r="L19" s="414">
        <f t="shared" si="1"/>
        <v>3.6139865974811607E-2</v>
      </c>
      <c r="M19" s="414">
        <f>('Skattekompl data'!F23+'Skattekompl data'!F65)/('Skattekompl data'!$F$25+'Skattekompl data'!$F$67)</f>
        <v>3.0836575392642989E-2</v>
      </c>
      <c r="O19" s="554"/>
      <c r="R19" s="552">
        <v>5544</v>
      </c>
    </row>
    <row r="20" spans="1:18" ht="18.75" customHeight="1">
      <c r="A20" s="412" t="s">
        <v>15</v>
      </c>
      <c r="B20" s="415">
        <f>'Lsandelar totalt'!O21</f>
        <v>1567836.9474000002</v>
      </c>
      <c r="C20" s="413">
        <f>'Lsandelar totalt'!O21/Invånare!B20</f>
        <v>3386.2569058315339</v>
      </c>
      <c r="D20" s="414">
        <f>'Lsandelar totalt'!O21/'Lsandelar totalt'!$O$26</f>
        <v>4.5098491377061005E-2</v>
      </c>
      <c r="E20" s="414">
        <f t="shared" si="2"/>
        <v>0.85860214962840287</v>
      </c>
      <c r="G20" s="552">
        <f>Invånare!B20</f>
        <v>463</v>
      </c>
      <c r="H20" s="554">
        <f t="shared" si="0"/>
        <v>6235.4211663066953</v>
      </c>
      <c r="I20" s="554">
        <f>('Skattekompl data'!F24+'Skattekompl data'!F66)/G20</f>
        <v>2941.7781389870247</v>
      </c>
      <c r="K20" s="414">
        <f>Invånare!B20/Invånare!$B$22</f>
        <v>1.5258370682836805E-2</v>
      </c>
      <c r="L20" s="414">
        <f t="shared" si="1"/>
        <v>1.8819587494459077E-2</v>
      </c>
      <c r="M20" s="414">
        <f>('Skattekompl data'!F24+'Skattekompl data'!F66)/('Skattekompl data'!$F$25+'Skattekompl data'!$F$67)</f>
        <v>1.1592421102637154E-2</v>
      </c>
      <c r="O20" s="554"/>
      <c r="R20" s="552">
        <v>2887</v>
      </c>
    </row>
    <row r="21" spans="1:18" ht="18.75" customHeight="1" thickBot="1">
      <c r="A21" s="431" t="s">
        <v>16</v>
      </c>
      <c r="B21" s="432">
        <f>'Lsandelar totalt'!O22</f>
        <v>4915658.3142000008</v>
      </c>
      <c r="C21" s="433">
        <f>'Lsandelar totalt'!O22/Invånare!B21</f>
        <v>418.63892984159435</v>
      </c>
      <c r="D21" s="434">
        <f>'Lsandelar totalt'!O22/'Lsandelar totalt'!$O$26</f>
        <v>0.14139785037159724</v>
      </c>
      <c r="E21" s="434">
        <f t="shared" si="2"/>
        <v>1</v>
      </c>
      <c r="G21" s="433">
        <f>Invånare!B21</f>
        <v>11742</v>
      </c>
      <c r="H21" s="433">
        <f t="shared" si="0"/>
        <v>5082.864929313575</v>
      </c>
      <c r="I21" s="556">
        <f>('Skattekompl data'!F20+'Skattekompl data'!F62)/G21</f>
        <v>4384.5733185196477</v>
      </c>
      <c r="K21" s="555">
        <f>Invånare!B21/Invånare!$B$22</f>
        <v>0.386962826258898</v>
      </c>
      <c r="L21" s="555">
        <f t="shared" si="1"/>
        <v>0.38905765169095979</v>
      </c>
      <c r="M21" s="555">
        <f>('Skattekompl data'!F20+'Skattekompl data'!F62)/('Skattekompl data'!$F$25+'Skattekompl data'!$F$67)</f>
        <v>0.43818010412895247</v>
      </c>
      <c r="O21" s="433"/>
      <c r="R21" s="433">
        <v>59683</v>
      </c>
    </row>
    <row r="22" spans="1:18" ht="18.75" customHeight="1">
      <c r="A22" s="428" t="s">
        <v>18</v>
      </c>
      <c r="B22" s="416">
        <f>SUM(B6:B21)</f>
        <v>34764731.580300003</v>
      </c>
      <c r="C22" s="429">
        <f>B22/G22</f>
        <v>1145.6871730918799</v>
      </c>
      <c r="D22" s="430">
        <f>('Lsandelar totalt'!O26-'Lsandelar totalt'!M25)/('Lsandelar totalt'!$O$26-'Lsandelar totalt'!M25)</f>
        <v>1</v>
      </c>
      <c r="E22" s="430"/>
      <c r="G22" s="552">
        <f>Invånare!B22</f>
        <v>30344</v>
      </c>
      <c r="H22" s="554">
        <f t="shared" si="0"/>
        <v>5055.4969680991298</v>
      </c>
      <c r="I22" s="554">
        <f>('Skattekompl data'!F67+'Skattekompl data'!F25)/G22</f>
        <v>3872.0764984217635</v>
      </c>
      <c r="K22" s="557">
        <f>SUM(K6:K21)</f>
        <v>1</v>
      </c>
      <c r="L22" s="557">
        <f t="shared" ref="L22:M22" si="3">SUM(L6:L21)</f>
        <v>1</v>
      </c>
      <c r="M22" s="557">
        <f t="shared" si="3"/>
        <v>1</v>
      </c>
      <c r="O22" s="554"/>
      <c r="R22" s="552">
        <v>153404</v>
      </c>
    </row>
    <row r="23" spans="1:18">
      <c r="R23" s="548" t="s">
        <v>369</v>
      </c>
    </row>
    <row r="25" spans="1:18">
      <c r="B25" s="3"/>
    </row>
    <row r="28" spans="1:18">
      <c r="B28" s="553"/>
      <c r="C28" s="553"/>
      <c r="D28" s="553"/>
      <c r="E28" s="553"/>
      <c r="F28" s="553"/>
      <c r="G28" s="553"/>
      <c r="H28" s="553"/>
      <c r="I28" s="553"/>
      <c r="J28" s="553"/>
      <c r="K28" s="553"/>
      <c r="L28" s="553"/>
      <c r="M28" s="553"/>
      <c r="N28" s="553"/>
      <c r="O28" s="553"/>
      <c r="P28" s="553"/>
      <c r="Q28" s="553"/>
      <c r="R28" s="55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F2CB-4D13-4031-A775-06349D8AF1A5}">
  <dimension ref="A1:AD29"/>
  <sheetViews>
    <sheetView zoomScaleNormal="100" workbookViewId="0">
      <pane xSplit="1" ySplit="6" topLeftCell="G7" activePane="bottomRight" state="frozen"/>
      <selection pane="topRight" activeCell="B1" sqref="B1"/>
      <selection pane="bottomLeft" activeCell="A7" sqref="A7"/>
      <selection pane="bottomRight" activeCell="AB17" sqref="AB17"/>
    </sheetView>
  </sheetViews>
  <sheetFormatPr defaultRowHeight="15.5" outlineLevelCol="1"/>
  <cols>
    <col min="1" max="1" width="12.23046875" customWidth="1"/>
    <col min="2" max="2" width="9.4609375" customWidth="1"/>
    <col min="3" max="3" width="9.4609375" hidden="1" customWidth="1" outlineLevel="1"/>
    <col min="4" max="4" width="10.23046875" customWidth="1" collapsed="1"/>
    <col min="5" max="5" width="9.4609375" customWidth="1"/>
    <col min="6" max="6" width="9.4609375" hidden="1" customWidth="1" outlineLevel="1"/>
    <col min="7" max="7" width="9.4609375" customWidth="1" collapsed="1"/>
    <col min="8" max="8" width="9.4609375" customWidth="1"/>
    <col min="9" max="9" width="9.4609375" hidden="1" customWidth="1" outlineLevel="1"/>
    <col min="10" max="10" width="9.84375" bestFit="1" customWidth="1" collapsed="1"/>
    <col min="11" max="11" width="9.4609375" customWidth="1"/>
    <col min="12" max="12" width="9.4609375" hidden="1" customWidth="1" outlineLevel="1"/>
    <col min="13" max="13" width="9.4609375" customWidth="1" collapsed="1"/>
    <col min="14" max="14" width="9.4609375" customWidth="1"/>
    <col min="15" max="15" width="9.4609375" hidden="1" customWidth="1" outlineLevel="1"/>
    <col min="16" max="16" width="9.4609375" customWidth="1" collapsed="1"/>
    <col min="17" max="17" width="9.4609375" customWidth="1"/>
    <col min="18" max="18" width="9.4609375" hidden="1" customWidth="1" outlineLevel="1"/>
    <col min="19" max="19" width="9.4609375" customWidth="1" collapsed="1"/>
    <col min="20" max="20" width="9.4609375" customWidth="1"/>
    <col min="21" max="21" width="9.4609375" customWidth="1" outlineLevel="1"/>
    <col min="22" max="22" width="9.4609375" customWidth="1"/>
    <col min="23" max="23" width="12.07421875" customWidth="1"/>
    <col min="24" max="24" width="12.3046875" hidden="1" customWidth="1" outlineLevel="1"/>
    <col min="25" max="25" width="9.4609375" customWidth="1" collapsed="1"/>
    <col min="26" max="26" width="9.4609375" customWidth="1"/>
    <col min="27" max="27" width="9.07421875" customWidth="1" outlineLevel="1"/>
    <col min="29" max="29" width="0.53515625" style="315" customWidth="1"/>
  </cols>
  <sheetData>
    <row r="1" spans="1:30" hidden="1">
      <c r="A1" s="17" t="s">
        <v>190</v>
      </c>
    </row>
    <row r="2" spans="1:30" hidden="1"/>
    <row r="3" spans="1:30" hidden="1">
      <c r="A3" s="96" t="e">
        <f>#REF!</f>
        <v>#REF!</v>
      </c>
    </row>
    <row r="4" spans="1:30" hidden="1">
      <c r="A4" s="97"/>
    </row>
    <row r="5" spans="1:30" hidden="1">
      <c r="A5" s="308"/>
      <c r="B5" s="795" t="s">
        <v>189</v>
      </c>
      <c r="C5" s="796"/>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329"/>
    </row>
    <row r="6" spans="1:30" ht="58">
      <c r="A6" s="309"/>
      <c r="B6" s="310" t="s">
        <v>214</v>
      </c>
      <c r="C6" s="118" t="s">
        <v>201</v>
      </c>
      <c r="D6" s="311" t="s">
        <v>202</v>
      </c>
      <c r="E6" s="118" t="s">
        <v>245</v>
      </c>
      <c r="F6" s="118" t="s">
        <v>246</v>
      </c>
      <c r="G6" s="311" t="s">
        <v>202</v>
      </c>
      <c r="H6" s="118" t="s">
        <v>244</v>
      </c>
      <c r="I6" s="118" t="s">
        <v>247</v>
      </c>
      <c r="J6" s="311" t="s">
        <v>202</v>
      </c>
      <c r="K6" s="118" t="s">
        <v>203</v>
      </c>
      <c r="L6" s="118" t="s">
        <v>263</v>
      </c>
      <c r="M6" s="311" t="s">
        <v>202</v>
      </c>
      <c r="N6" s="118" t="s">
        <v>204</v>
      </c>
      <c r="O6" s="118" t="s">
        <v>205</v>
      </c>
      <c r="P6" s="311" t="s">
        <v>202</v>
      </c>
      <c r="Q6" s="118" t="s">
        <v>207</v>
      </c>
      <c r="R6" s="118" t="s">
        <v>206</v>
      </c>
      <c r="S6" s="311" t="s">
        <v>202</v>
      </c>
      <c r="T6" s="118" t="s">
        <v>209</v>
      </c>
      <c r="U6" s="118" t="s">
        <v>208</v>
      </c>
      <c r="V6" s="311" t="s">
        <v>202</v>
      </c>
      <c r="W6" s="310" t="s">
        <v>210</v>
      </c>
      <c r="X6" s="118" t="s">
        <v>211</v>
      </c>
      <c r="Y6" s="311" t="s">
        <v>202</v>
      </c>
      <c r="Z6" s="118" t="s">
        <v>213</v>
      </c>
      <c r="AA6" s="118" t="s">
        <v>212</v>
      </c>
      <c r="AB6" s="118" t="s">
        <v>202</v>
      </c>
      <c r="AC6" s="330"/>
      <c r="AD6" s="102"/>
    </row>
    <row r="7" spans="1:30">
      <c r="A7" s="8" t="s">
        <v>1</v>
      </c>
      <c r="B7" s="419">
        <f>'Lsandelar totalt'!B7</f>
        <v>68628.899999999994</v>
      </c>
      <c r="C7" s="351">
        <v>338925.16</v>
      </c>
      <c r="D7" s="298">
        <f>(B7-C7)/C7</f>
        <v>-0.79751016419082021</v>
      </c>
      <c r="E7" s="408">
        <f>'Lsandelar totalt'!C7</f>
        <v>348683.66</v>
      </c>
      <c r="F7" s="405">
        <v>376210.15769999998</v>
      </c>
      <c r="G7" s="298">
        <f>(E7-F7)/F7</f>
        <v>-7.3167874754594936E-2</v>
      </c>
      <c r="H7" s="408">
        <f>'Lsandelar totalt'!E7</f>
        <v>0</v>
      </c>
      <c r="I7" s="351">
        <v>0</v>
      </c>
      <c r="J7" s="298" t="e">
        <f>(H7-I7)/I7</f>
        <v>#DIV/0!</v>
      </c>
      <c r="K7" s="408">
        <f>'Lsandelar totalt'!H7</f>
        <v>242805.9</v>
      </c>
      <c r="L7" s="351" t="e">
        <f>'Lsandelar totalt'!#REF!</f>
        <v>#REF!</v>
      </c>
      <c r="M7" s="298" t="e">
        <f>(K7-L7)/L7</f>
        <v>#REF!</v>
      </c>
      <c r="N7" s="408">
        <f>'Lsandelar totalt'!J7</f>
        <v>7355.97</v>
      </c>
      <c r="O7" s="351">
        <v>6815.26</v>
      </c>
      <c r="P7" s="298">
        <f>(N7-O7)/O7</f>
        <v>7.9338132367657285E-2</v>
      </c>
      <c r="Q7" s="408">
        <f>'Lsandelar totalt'!K7</f>
        <v>0</v>
      </c>
      <c r="R7" s="351">
        <v>0</v>
      </c>
      <c r="S7" s="302"/>
      <c r="T7" s="305">
        <f>B7+E7+H7+K7+N7+Q7</f>
        <v>667474.42999999993</v>
      </c>
      <c r="U7" s="305" t="e">
        <f>C7+F7+I7+L7+O7+R7</f>
        <v>#REF!</v>
      </c>
      <c r="V7" s="306" t="e">
        <f>(T7-U7)/U7</f>
        <v>#REF!</v>
      </c>
      <c r="W7" s="104">
        <f>'Lsandelar totalt'!N7</f>
        <v>0</v>
      </c>
      <c r="X7" s="351">
        <v>-62945.41</v>
      </c>
      <c r="Y7" s="302">
        <f>(W7-X7)/X7</f>
        <v>-1</v>
      </c>
      <c r="Z7" s="289">
        <f>T7+W7</f>
        <v>667474.42999999993</v>
      </c>
      <c r="AA7" s="289" t="e">
        <f>U7+X7</f>
        <v>#REF!</v>
      </c>
      <c r="AB7" s="304" t="e">
        <f>(Z7-AA7)/AA7</f>
        <v>#REF!</v>
      </c>
      <c r="AC7" s="331"/>
      <c r="AD7" s="102"/>
    </row>
    <row r="8" spans="1:30">
      <c r="A8" s="8" t="s">
        <v>2</v>
      </c>
      <c r="B8" s="419">
        <f>'Lsandelar totalt'!B8</f>
        <v>1146699.67</v>
      </c>
      <c r="C8" s="351">
        <v>1193132.22</v>
      </c>
      <c r="D8" s="298">
        <f t="shared" ref="D8:D24" si="0">(B8-C8)/C8</f>
        <v>-3.8916516729386494E-2</v>
      </c>
      <c r="E8" s="408">
        <f>'Lsandelar totalt'!C8</f>
        <v>368888.95</v>
      </c>
      <c r="F8" s="405">
        <v>324443.98999999993</v>
      </c>
      <c r="G8" s="298">
        <f t="shared" ref="G8:G22" si="1">(E8-F8)/F8</f>
        <v>0.13698808228810183</v>
      </c>
      <c r="H8" s="408">
        <f>'Lsandelar totalt'!E8</f>
        <v>114174.3</v>
      </c>
      <c r="I8" s="351">
        <v>77124.72</v>
      </c>
      <c r="J8" s="298">
        <f t="shared" ref="J8:J22" si="2">(H8-I8)/I8</f>
        <v>0.48038527724962893</v>
      </c>
      <c r="K8" s="408">
        <f>'Lsandelar totalt'!H8</f>
        <v>161623.91</v>
      </c>
      <c r="L8" s="351" t="e">
        <f>'Lsandelar totalt'!#REF!</f>
        <v>#REF!</v>
      </c>
      <c r="M8" s="298" t="e">
        <f t="shared" ref="M8:M24" si="3">(K8-L8)/L8</f>
        <v>#REF!</v>
      </c>
      <c r="N8" s="408">
        <f>'Lsandelar totalt'!J8</f>
        <v>15285.34</v>
      </c>
      <c r="O8" s="351">
        <v>14293.94</v>
      </c>
      <c r="P8" s="298">
        <f t="shared" ref="P8:P24" si="4">(N8-O8)/O8</f>
        <v>6.9358063626963562E-2</v>
      </c>
      <c r="Q8" s="408">
        <f>'Lsandelar totalt'!K8</f>
        <v>0</v>
      </c>
      <c r="R8" s="351">
        <v>0</v>
      </c>
      <c r="S8" s="303"/>
      <c r="T8" s="305">
        <f>B8+E8+H8+K8+N8+Q8</f>
        <v>1806672.17</v>
      </c>
      <c r="U8" s="305" t="e">
        <f t="shared" ref="U8:U22" si="5">C8+F8+I8+L8+O8+R8</f>
        <v>#REF!</v>
      </c>
      <c r="V8" s="306" t="e">
        <f t="shared" ref="V8:V23" si="6">(T8-U8)/U8</f>
        <v>#REF!</v>
      </c>
      <c r="W8" s="104">
        <f>'Lsandelar totalt'!N8</f>
        <v>0</v>
      </c>
      <c r="X8" s="351">
        <v>-148019.88</v>
      </c>
      <c r="Y8" s="302">
        <f t="shared" ref="Y8:Y22" si="7">(W8-X8)/X8</f>
        <v>-1</v>
      </c>
      <c r="Z8" s="289">
        <f t="shared" ref="Z8:Z22" si="8">T8+W8</f>
        <v>1806672.17</v>
      </c>
      <c r="AA8" s="289" t="e">
        <f t="shared" ref="AA8:AA22" si="9">U8+X8</f>
        <v>#REF!</v>
      </c>
      <c r="AB8" s="304" t="e">
        <f t="shared" ref="AB8:AB24" si="10">(Z8-AA8)/AA8</f>
        <v>#REF!</v>
      </c>
      <c r="AC8" s="331"/>
      <c r="AD8" s="102"/>
    </row>
    <row r="9" spans="1:30">
      <c r="A9" s="8" t="s">
        <v>3</v>
      </c>
      <c r="B9" s="419">
        <f>'Lsandelar totalt'!B9</f>
        <v>2648623.6</v>
      </c>
      <c r="C9" s="351">
        <v>2361646.0699999998</v>
      </c>
      <c r="D9" s="298">
        <f t="shared" si="0"/>
        <v>0.12151589251474938</v>
      </c>
      <c r="E9" s="408">
        <f>'Lsandelar totalt'!C9</f>
        <v>462721</v>
      </c>
      <c r="F9" s="405">
        <v>411638.30599999998</v>
      </c>
      <c r="G9" s="298">
        <f t="shared" si="1"/>
        <v>0.12409606505377083</v>
      </c>
      <c r="H9" s="408">
        <f>'Lsandelar totalt'!E9</f>
        <v>0</v>
      </c>
      <c r="I9" s="351">
        <v>38562.36</v>
      </c>
      <c r="J9" s="298">
        <f t="shared" si="2"/>
        <v>-1</v>
      </c>
      <c r="K9" s="408">
        <f>'Lsandelar totalt'!H9</f>
        <v>329728.95</v>
      </c>
      <c r="L9" s="351" t="e">
        <f>'Lsandelar totalt'!#REF!</f>
        <v>#REF!</v>
      </c>
      <c r="M9" s="298" t="e">
        <f t="shared" si="3"/>
        <v>#REF!</v>
      </c>
      <c r="N9" s="408">
        <f>'Lsandelar totalt'!J9</f>
        <v>43218.35</v>
      </c>
      <c r="O9" s="351">
        <v>38901.24</v>
      </c>
      <c r="P9" s="298">
        <f t="shared" si="4"/>
        <v>0.11097615397349804</v>
      </c>
      <c r="Q9" s="408">
        <f>'Lsandelar totalt'!K9</f>
        <v>0</v>
      </c>
      <c r="R9" s="351">
        <v>0</v>
      </c>
      <c r="S9" s="303"/>
      <c r="T9" s="305">
        <f t="shared" ref="T9:T22" si="11">B9+E9+H9+K9+N9+Q9</f>
        <v>3484291.9000000004</v>
      </c>
      <c r="U9" s="305" t="e">
        <f t="shared" si="5"/>
        <v>#REF!</v>
      </c>
      <c r="V9" s="306" t="e">
        <f t="shared" si="6"/>
        <v>#REF!</v>
      </c>
      <c r="W9" s="104">
        <f>'Lsandelar totalt'!N9</f>
        <v>0</v>
      </c>
      <c r="X9" s="351">
        <v>-367323.1</v>
      </c>
      <c r="Y9" s="302">
        <f t="shared" si="7"/>
        <v>-1</v>
      </c>
      <c r="Z9" s="289">
        <f t="shared" si="8"/>
        <v>3484291.9000000004</v>
      </c>
      <c r="AA9" s="289" t="e">
        <f t="shared" si="9"/>
        <v>#REF!</v>
      </c>
      <c r="AB9" s="304" t="e">
        <f t="shared" si="10"/>
        <v>#REF!</v>
      </c>
      <c r="AC9" s="331"/>
      <c r="AD9" s="102"/>
    </row>
    <row r="10" spans="1:30">
      <c r="A10" s="8" t="s">
        <v>4</v>
      </c>
      <c r="B10" s="419">
        <f>'Lsandelar totalt'!B10</f>
        <v>478372.48</v>
      </c>
      <c r="C10" s="351">
        <v>473996.17</v>
      </c>
      <c r="D10" s="298">
        <f t="shared" si="0"/>
        <v>9.2327961215382774E-3</v>
      </c>
      <c r="E10" s="408">
        <f>'Lsandelar totalt'!C10</f>
        <v>382714.17</v>
      </c>
      <c r="F10" s="405">
        <v>360086.45200000005</v>
      </c>
      <c r="G10" s="298">
        <f t="shared" si="1"/>
        <v>6.2839681621789906E-2</v>
      </c>
      <c r="H10" s="408">
        <f>'Lsandelar totalt'!E10</f>
        <v>38058.1</v>
      </c>
      <c r="I10" s="351">
        <v>38562.36</v>
      </c>
      <c r="J10" s="298">
        <f t="shared" si="2"/>
        <v>-1.3076481833580778E-2</v>
      </c>
      <c r="K10" s="408">
        <f>'Lsandelar totalt'!H10</f>
        <v>260559.57</v>
      </c>
      <c r="L10" s="351" t="e">
        <f>'Lsandelar totalt'!#REF!</f>
        <v>#REF!</v>
      </c>
      <c r="M10" s="298" t="e">
        <f t="shared" si="3"/>
        <v>#REF!</v>
      </c>
      <c r="N10" s="408">
        <f>'Lsandelar totalt'!J10</f>
        <v>8207.8799999999992</v>
      </c>
      <c r="O10" s="351">
        <v>8021.5</v>
      </c>
      <c r="P10" s="298">
        <f t="shared" si="4"/>
        <v>2.3235055787570805E-2</v>
      </c>
      <c r="Q10" s="408">
        <f>'Lsandelar totalt'!K10</f>
        <v>0</v>
      </c>
      <c r="R10" s="351">
        <v>0</v>
      </c>
      <c r="S10" s="303"/>
      <c r="T10" s="305">
        <f t="shared" si="11"/>
        <v>1167912.1999999997</v>
      </c>
      <c r="U10" s="305" t="e">
        <f t="shared" si="5"/>
        <v>#REF!</v>
      </c>
      <c r="V10" s="306" t="e">
        <f t="shared" si="6"/>
        <v>#REF!</v>
      </c>
      <c r="W10" s="104">
        <f>'Lsandelar totalt'!N10</f>
        <v>0</v>
      </c>
      <c r="X10" s="351">
        <v>100207.3</v>
      </c>
      <c r="Y10" s="302">
        <f t="shared" si="7"/>
        <v>-1</v>
      </c>
      <c r="Z10" s="289">
        <f t="shared" si="8"/>
        <v>1167912.1999999997</v>
      </c>
      <c r="AA10" s="289" t="e">
        <f t="shared" si="9"/>
        <v>#REF!</v>
      </c>
      <c r="AB10" s="304" t="e">
        <f t="shared" si="10"/>
        <v>#REF!</v>
      </c>
      <c r="AC10" s="331"/>
      <c r="AD10" s="102"/>
    </row>
    <row r="11" spans="1:30">
      <c r="A11" s="8" t="s">
        <v>5</v>
      </c>
      <c r="B11" s="419">
        <f>'Lsandelar totalt'!B11</f>
        <v>977016.88</v>
      </c>
      <c r="C11" s="351">
        <v>856941.64</v>
      </c>
      <c r="D11" s="298">
        <f t="shared" si="0"/>
        <v>0.14012067379524235</v>
      </c>
      <c r="E11" s="408">
        <f>'Lsandelar totalt'!C11</f>
        <v>311185.65999999997</v>
      </c>
      <c r="F11" s="405">
        <v>263726.59999999998</v>
      </c>
      <c r="G11" s="298">
        <f t="shared" si="1"/>
        <v>0.17995552970386758</v>
      </c>
      <c r="H11" s="408">
        <f>'Lsandelar totalt'!E11</f>
        <v>76116.2</v>
      </c>
      <c r="I11" s="351">
        <v>38562.36</v>
      </c>
      <c r="J11" s="298">
        <f t="shared" si="2"/>
        <v>0.97384703633283842</v>
      </c>
      <c r="K11" s="408">
        <f>'Lsandelar totalt'!H11</f>
        <v>90358.55</v>
      </c>
      <c r="L11" s="351" t="e">
        <f>'Lsandelar totalt'!#REF!</f>
        <v>#REF!</v>
      </c>
      <c r="M11" s="298" t="e">
        <f t="shared" si="3"/>
        <v>#REF!</v>
      </c>
      <c r="N11" s="408">
        <f>'Lsandelar totalt'!J11</f>
        <v>8273.42</v>
      </c>
      <c r="O11" s="351">
        <v>7463.61</v>
      </c>
      <c r="P11" s="298">
        <f t="shared" si="4"/>
        <v>0.10850111407214477</v>
      </c>
      <c r="Q11" s="408">
        <f>'Lsandelar totalt'!K11</f>
        <v>0</v>
      </c>
      <c r="R11" s="351">
        <v>0</v>
      </c>
      <c r="S11" s="303"/>
      <c r="T11" s="305">
        <f t="shared" si="11"/>
        <v>1462950.71</v>
      </c>
      <c r="U11" s="305" t="e">
        <f t="shared" si="5"/>
        <v>#REF!</v>
      </c>
      <c r="V11" s="306" t="e">
        <f t="shared" si="6"/>
        <v>#REF!</v>
      </c>
      <c r="W11" s="104">
        <f>'Lsandelar totalt'!N11</f>
        <v>0</v>
      </c>
      <c r="X11" s="351">
        <v>90561.66</v>
      </c>
      <c r="Y11" s="302">
        <f t="shared" si="7"/>
        <v>-1</v>
      </c>
      <c r="Z11" s="289">
        <f t="shared" si="8"/>
        <v>1462950.71</v>
      </c>
      <c r="AA11" s="289" t="e">
        <f t="shared" si="9"/>
        <v>#REF!</v>
      </c>
      <c r="AB11" s="304" t="e">
        <f t="shared" si="10"/>
        <v>#REF!</v>
      </c>
      <c r="AC11" s="331"/>
      <c r="AD11" s="102"/>
    </row>
    <row r="12" spans="1:30">
      <c r="A12" s="8" t="s">
        <v>6</v>
      </c>
      <c r="B12" s="419">
        <f>'Lsandelar totalt'!B12</f>
        <v>2157929.5</v>
      </c>
      <c r="C12" s="351">
        <v>1800773.73</v>
      </c>
      <c r="D12" s="298">
        <f t="shared" si="0"/>
        <v>0.19833461808663769</v>
      </c>
      <c r="E12" s="408">
        <f>'Lsandelar totalt'!C12</f>
        <v>417962.42</v>
      </c>
      <c r="F12" s="405">
        <v>376586.78399999993</v>
      </c>
      <c r="G12" s="298">
        <f t="shared" si="1"/>
        <v>0.10987012226111489</v>
      </c>
      <c r="H12" s="408">
        <f>'Lsandelar totalt'!E12</f>
        <v>0</v>
      </c>
      <c r="I12" s="351">
        <v>93192.37</v>
      </c>
      <c r="J12" s="298">
        <f t="shared" si="2"/>
        <v>-1</v>
      </c>
      <c r="K12" s="408">
        <f>'Lsandelar totalt'!H12</f>
        <v>227514.18</v>
      </c>
      <c r="L12" s="351" t="e">
        <f>'Lsandelar totalt'!#REF!</f>
        <v>#REF!</v>
      </c>
      <c r="M12" s="298" t="e">
        <f t="shared" si="3"/>
        <v>#REF!</v>
      </c>
      <c r="N12" s="408">
        <f>'Lsandelar totalt'!J12</f>
        <v>26524.080000000002</v>
      </c>
      <c r="O12" s="351">
        <v>23325.67</v>
      </c>
      <c r="P12" s="298">
        <f t="shared" si="4"/>
        <v>0.13711974832877272</v>
      </c>
      <c r="Q12" s="408">
        <f>'Lsandelar totalt'!K12</f>
        <v>0</v>
      </c>
      <c r="R12" s="351">
        <v>0</v>
      </c>
      <c r="S12" s="303"/>
      <c r="T12" s="305">
        <f t="shared" si="11"/>
        <v>2829930.18</v>
      </c>
      <c r="U12" s="305" t="e">
        <f t="shared" si="5"/>
        <v>#REF!</v>
      </c>
      <c r="V12" s="306" t="e">
        <f t="shared" si="6"/>
        <v>#REF!</v>
      </c>
      <c r="W12" s="104">
        <f>'Lsandelar totalt'!N12</f>
        <v>0</v>
      </c>
      <c r="X12" s="351">
        <v>-150369.49</v>
      </c>
      <c r="Y12" s="302">
        <f t="shared" si="7"/>
        <v>-1</v>
      </c>
      <c r="Z12" s="289">
        <f t="shared" si="8"/>
        <v>2829930.18</v>
      </c>
      <c r="AA12" s="289" t="e">
        <f t="shared" si="9"/>
        <v>#REF!</v>
      </c>
      <c r="AB12" s="304" t="e">
        <f t="shared" si="10"/>
        <v>#REF!</v>
      </c>
      <c r="AC12" s="331"/>
      <c r="AD12" s="102"/>
    </row>
    <row r="13" spans="1:30">
      <c r="A13" s="8" t="s">
        <v>7</v>
      </c>
      <c r="B13" s="419">
        <f>'Lsandelar totalt'!B13</f>
        <v>2433511</v>
      </c>
      <c r="C13" s="351">
        <v>1851829.1</v>
      </c>
      <c r="D13" s="298">
        <f t="shared" si="0"/>
        <v>0.31411208518107847</v>
      </c>
      <c r="E13" s="408">
        <f>'Lsandelar totalt'!C13</f>
        <v>600860.78</v>
      </c>
      <c r="F13" s="405">
        <v>522876.19399999996</v>
      </c>
      <c r="G13" s="298">
        <f t="shared" si="1"/>
        <v>0.1491454131874286</v>
      </c>
      <c r="H13" s="408">
        <f>'Lsandelar totalt'!E13</f>
        <v>380581</v>
      </c>
      <c r="I13" s="351">
        <v>147822.38</v>
      </c>
      <c r="J13" s="298">
        <f t="shared" si="2"/>
        <v>1.5745830908689198</v>
      </c>
      <c r="K13" s="408">
        <f>'Lsandelar totalt'!H13</f>
        <v>446916.27</v>
      </c>
      <c r="L13" s="351" t="e">
        <f>'Lsandelar totalt'!#REF!</f>
        <v>#REF!</v>
      </c>
      <c r="M13" s="298" t="e">
        <f t="shared" si="3"/>
        <v>#REF!</v>
      </c>
      <c r="N13" s="408">
        <f>'Lsandelar totalt'!J13</f>
        <v>90303.1</v>
      </c>
      <c r="O13" s="351">
        <v>73264</v>
      </c>
      <c r="P13" s="298">
        <f t="shared" si="4"/>
        <v>0.23257124918104397</v>
      </c>
      <c r="Q13" s="408">
        <f>'Lsandelar totalt'!K13</f>
        <v>0</v>
      </c>
      <c r="R13" s="351">
        <v>0</v>
      </c>
      <c r="S13" s="303"/>
      <c r="T13" s="305">
        <f t="shared" si="11"/>
        <v>3952172.1500000004</v>
      </c>
      <c r="U13" s="305" t="e">
        <f t="shared" si="5"/>
        <v>#REF!</v>
      </c>
      <c r="V13" s="306" t="e">
        <f t="shared" si="6"/>
        <v>#REF!</v>
      </c>
      <c r="W13" s="104">
        <f>'Lsandelar totalt'!N13</f>
        <v>0</v>
      </c>
      <c r="X13" s="351">
        <v>221390.47</v>
      </c>
      <c r="Y13" s="302">
        <f t="shared" si="7"/>
        <v>-1</v>
      </c>
      <c r="Z13" s="289">
        <f t="shared" si="8"/>
        <v>3952172.1500000004</v>
      </c>
      <c r="AA13" s="289" t="e">
        <f t="shared" si="9"/>
        <v>#REF!</v>
      </c>
      <c r="AB13" s="304" t="e">
        <f t="shared" si="10"/>
        <v>#REF!</v>
      </c>
      <c r="AC13" s="331"/>
      <c r="AD13" s="102"/>
    </row>
    <row r="14" spans="1:30">
      <c r="A14" s="8" t="s">
        <v>8</v>
      </c>
      <c r="B14" s="419">
        <f>'Lsandelar totalt'!B14</f>
        <v>287747.42</v>
      </c>
      <c r="C14" s="351">
        <v>325362.39</v>
      </c>
      <c r="D14" s="298">
        <f t="shared" si="0"/>
        <v>-0.11560945934777535</v>
      </c>
      <c r="E14" s="408">
        <f>'Lsandelar totalt'!C14</f>
        <v>213709.34</v>
      </c>
      <c r="F14" s="405">
        <v>244028.21040000001</v>
      </c>
      <c r="G14" s="298">
        <f t="shared" si="1"/>
        <v>-0.1242433010113982</v>
      </c>
      <c r="H14" s="408">
        <f>'Lsandelar totalt'!E14</f>
        <v>0</v>
      </c>
      <c r="I14" s="351">
        <v>0</v>
      </c>
      <c r="J14" s="298" t="e">
        <f t="shared" si="2"/>
        <v>#DIV/0!</v>
      </c>
      <c r="K14" s="408">
        <f>'Lsandelar totalt'!H14</f>
        <v>235164.67</v>
      </c>
      <c r="L14" s="351" t="e">
        <f>'Lsandelar totalt'!#REF!</f>
        <v>#REF!</v>
      </c>
      <c r="M14" s="298" t="e">
        <f t="shared" si="3"/>
        <v>#REF!</v>
      </c>
      <c r="N14" s="408">
        <f>'Lsandelar totalt'!J14</f>
        <v>5127.88</v>
      </c>
      <c r="O14" s="351">
        <v>4734.49</v>
      </c>
      <c r="P14" s="298">
        <f t="shared" si="4"/>
        <v>8.3090258929684163E-2</v>
      </c>
      <c r="Q14" s="408">
        <f>'Lsandelar totalt'!K14</f>
        <v>0</v>
      </c>
      <c r="R14" s="351">
        <v>0</v>
      </c>
      <c r="S14" s="303"/>
      <c r="T14" s="305">
        <f t="shared" si="11"/>
        <v>741749.31</v>
      </c>
      <c r="U14" s="305" t="e">
        <f t="shared" si="5"/>
        <v>#REF!</v>
      </c>
      <c r="V14" s="306" t="e">
        <f t="shared" si="6"/>
        <v>#REF!</v>
      </c>
      <c r="W14" s="104">
        <f>'Lsandelar totalt'!N14</f>
        <v>0</v>
      </c>
      <c r="X14" s="351">
        <v>-20643.91</v>
      </c>
      <c r="Y14" s="302">
        <f t="shared" si="7"/>
        <v>-1</v>
      </c>
      <c r="Z14" s="289">
        <f t="shared" si="8"/>
        <v>741749.31</v>
      </c>
      <c r="AA14" s="289" t="e">
        <f t="shared" si="9"/>
        <v>#REF!</v>
      </c>
      <c r="AB14" s="304" t="e">
        <f t="shared" si="10"/>
        <v>#REF!</v>
      </c>
      <c r="AC14" s="331"/>
      <c r="AD14" s="102"/>
    </row>
    <row r="15" spans="1:30">
      <c r="A15" s="8" t="s">
        <v>9</v>
      </c>
      <c r="B15" s="419">
        <f>'Lsandelar totalt'!B15</f>
        <v>296090.08</v>
      </c>
      <c r="C15" s="351">
        <v>304191</v>
      </c>
      <c r="D15" s="298">
        <f t="shared" si="0"/>
        <v>-2.6631031161342654E-2</v>
      </c>
      <c r="E15" s="408">
        <f>'Lsandelar totalt'!C15</f>
        <v>67487.16</v>
      </c>
      <c r="F15" s="405">
        <v>183021.15780000002</v>
      </c>
      <c r="G15" s="298">
        <f t="shared" si="1"/>
        <v>-0.63126033726795716</v>
      </c>
      <c r="H15" s="408">
        <f>'Lsandelar totalt'!E15</f>
        <v>0</v>
      </c>
      <c r="I15" s="351">
        <v>0</v>
      </c>
      <c r="J15" s="298" t="e">
        <f t="shared" si="2"/>
        <v>#DIV/0!</v>
      </c>
      <c r="K15" s="408">
        <f>'Lsandelar totalt'!H15</f>
        <v>150586.60999999999</v>
      </c>
      <c r="L15" s="351" t="e">
        <f>'Lsandelar totalt'!#REF!</f>
        <v>#REF!</v>
      </c>
      <c r="M15" s="298" t="e">
        <f t="shared" si="3"/>
        <v>#REF!</v>
      </c>
      <c r="N15" s="408">
        <f>'Lsandelar totalt'!J15</f>
        <v>3669.79</v>
      </c>
      <c r="O15" s="351">
        <v>3558.41</v>
      </c>
      <c r="P15" s="298">
        <f t="shared" si="4"/>
        <v>3.1300496570097348E-2</v>
      </c>
      <c r="Q15" s="408">
        <f>'Lsandelar totalt'!K15</f>
        <v>0</v>
      </c>
      <c r="R15" s="351">
        <v>0</v>
      </c>
      <c r="S15" s="303"/>
      <c r="T15" s="305">
        <f t="shared" si="11"/>
        <v>517833.63999999996</v>
      </c>
      <c r="U15" s="305" t="e">
        <f t="shared" si="5"/>
        <v>#REF!</v>
      </c>
      <c r="V15" s="306" t="e">
        <f t="shared" si="6"/>
        <v>#REF!</v>
      </c>
      <c r="W15" s="104">
        <f>'Lsandelar totalt'!N15</f>
        <v>0</v>
      </c>
      <c r="X15" s="351">
        <v>-55081.54</v>
      </c>
      <c r="Y15" s="302">
        <f t="shared" si="7"/>
        <v>-1</v>
      </c>
      <c r="Z15" s="289">
        <f t="shared" si="8"/>
        <v>517833.63999999996</v>
      </c>
      <c r="AA15" s="289" t="e">
        <f t="shared" si="9"/>
        <v>#REF!</v>
      </c>
      <c r="AB15" s="304" t="e">
        <f t="shared" si="10"/>
        <v>#REF!</v>
      </c>
      <c r="AC15" s="331"/>
      <c r="AD15" s="102"/>
    </row>
    <row r="16" spans="1:30">
      <c r="A16" s="8" t="s">
        <v>10</v>
      </c>
      <c r="B16" s="419">
        <f>'Lsandelar totalt'!B16</f>
        <v>1792362.93</v>
      </c>
      <c r="C16" s="351">
        <v>1463808.04</v>
      </c>
      <c r="D16" s="298">
        <f t="shared" si="0"/>
        <v>0.22445216928853587</v>
      </c>
      <c r="E16" s="408">
        <f>'Lsandelar totalt'!C16</f>
        <v>449518.83</v>
      </c>
      <c r="F16" s="405">
        <v>388174.06399999995</v>
      </c>
      <c r="G16" s="298">
        <f t="shared" si="1"/>
        <v>0.15803416994907746</v>
      </c>
      <c r="H16" s="408">
        <f>'Lsandelar totalt'!E16</f>
        <v>114174.3</v>
      </c>
      <c r="I16" s="351">
        <v>38562.36</v>
      </c>
      <c r="J16" s="298">
        <f t="shared" si="2"/>
        <v>1.960770554499258</v>
      </c>
      <c r="K16" s="408">
        <f>'Lsandelar totalt'!H16</f>
        <v>221569.16</v>
      </c>
      <c r="L16" s="351" t="e">
        <f>'Lsandelar totalt'!#REF!</f>
        <v>#REF!</v>
      </c>
      <c r="M16" s="298" t="e">
        <f t="shared" si="3"/>
        <v>#REF!</v>
      </c>
      <c r="N16" s="408">
        <f>'Lsandelar totalt'!J16</f>
        <v>34977.71</v>
      </c>
      <c r="O16" s="351">
        <v>30578.18</v>
      </c>
      <c r="P16" s="298">
        <f t="shared" si="4"/>
        <v>0.14387808561529819</v>
      </c>
      <c r="Q16" s="408">
        <f>'Lsandelar totalt'!K16</f>
        <v>0</v>
      </c>
      <c r="R16" s="351">
        <v>0</v>
      </c>
      <c r="S16" s="303"/>
      <c r="T16" s="305">
        <f t="shared" si="11"/>
        <v>2612602.9299999997</v>
      </c>
      <c r="U16" s="305" t="e">
        <f t="shared" si="5"/>
        <v>#REF!</v>
      </c>
      <c r="V16" s="306" t="e">
        <f t="shared" si="6"/>
        <v>#REF!</v>
      </c>
      <c r="W16" s="104">
        <f>'Lsandelar totalt'!N16</f>
        <v>0</v>
      </c>
      <c r="X16" s="351">
        <v>323148.65000000002</v>
      </c>
      <c r="Y16" s="302">
        <f t="shared" si="7"/>
        <v>-1</v>
      </c>
      <c r="Z16" s="289">
        <f t="shared" si="8"/>
        <v>2612602.9299999997</v>
      </c>
      <c r="AA16" s="289" t="e">
        <f t="shared" si="9"/>
        <v>#REF!</v>
      </c>
      <c r="AB16" s="304" t="e">
        <f t="shared" si="10"/>
        <v>#REF!</v>
      </c>
      <c r="AC16" s="331"/>
      <c r="AD16" s="102"/>
    </row>
    <row r="17" spans="1:30">
      <c r="A17" s="8" t="s">
        <v>11</v>
      </c>
      <c r="B17" s="419">
        <f>'Lsandelar totalt'!B17</f>
        <v>314717.59000000003</v>
      </c>
      <c r="C17" s="351">
        <v>327671.96000000002</v>
      </c>
      <c r="D17" s="298">
        <f t="shared" si="0"/>
        <v>-3.9534569878972844E-2</v>
      </c>
      <c r="E17" s="408">
        <f>'Lsandelar totalt'!C17</f>
        <v>246269.46</v>
      </c>
      <c r="F17" s="405">
        <v>221548.88</v>
      </c>
      <c r="G17" s="298">
        <f t="shared" si="1"/>
        <v>0.111580703996337</v>
      </c>
      <c r="H17" s="408">
        <f>'Lsandelar totalt'!E17</f>
        <v>38058.1</v>
      </c>
      <c r="I17" s="351">
        <v>0</v>
      </c>
      <c r="J17" s="298" t="e">
        <f t="shared" si="2"/>
        <v>#DIV/0!</v>
      </c>
      <c r="K17" s="408">
        <f>'Lsandelar totalt'!H17</f>
        <v>68920.39</v>
      </c>
      <c r="L17" s="351" t="e">
        <f>'Lsandelar totalt'!#REF!</f>
        <v>#REF!</v>
      </c>
      <c r="M17" s="298" t="e">
        <f t="shared" si="3"/>
        <v>#REF!</v>
      </c>
      <c r="N17" s="408">
        <f>'Lsandelar totalt'!J17</f>
        <v>6160.01</v>
      </c>
      <c r="O17" s="351">
        <v>5955.81</v>
      </c>
      <c r="P17" s="298">
        <f t="shared" si="4"/>
        <v>3.4285848608333676E-2</v>
      </c>
      <c r="Q17" s="408">
        <f>'Lsandelar totalt'!K17</f>
        <v>0</v>
      </c>
      <c r="R17" s="351">
        <v>0</v>
      </c>
      <c r="S17" s="303"/>
      <c r="T17" s="305">
        <f t="shared" si="11"/>
        <v>674125.55</v>
      </c>
      <c r="U17" s="305" t="e">
        <f t="shared" si="5"/>
        <v>#REF!</v>
      </c>
      <c r="V17" s="306" t="e">
        <f t="shared" si="6"/>
        <v>#REF!</v>
      </c>
      <c r="W17" s="104">
        <f>'Lsandelar totalt'!N17</f>
        <v>0</v>
      </c>
      <c r="X17" s="351">
        <v>75458.12</v>
      </c>
      <c r="Y17" s="302">
        <f t="shared" si="7"/>
        <v>-1</v>
      </c>
      <c r="Z17" s="289">
        <f t="shared" si="8"/>
        <v>674125.55</v>
      </c>
      <c r="AA17" s="289" t="e">
        <f t="shared" si="9"/>
        <v>#REF!</v>
      </c>
      <c r="AB17" s="304" t="e">
        <f t="shared" si="10"/>
        <v>#REF!</v>
      </c>
      <c r="AC17" s="331"/>
      <c r="AD17" s="102"/>
    </row>
    <row r="18" spans="1:30">
      <c r="A18" s="8" t="s">
        <v>12</v>
      </c>
      <c r="B18" s="419">
        <f>'Lsandelar totalt'!B18</f>
        <v>1271807.68</v>
      </c>
      <c r="C18" s="351">
        <v>1313668.8400000001</v>
      </c>
      <c r="D18" s="298">
        <f t="shared" si="0"/>
        <v>-3.1865839186685854E-2</v>
      </c>
      <c r="E18" s="408">
        <f>'Lsandelar totalt'!C18</f>
        <v>425690.52</v>
      </c>
      <c r="F18" s="405">
        <v>379483.60399999993</v>
      </c>
      <c r="G18" s="298">
        <f t="shared" si="1"/>
        <v>0.12176261507203376</v>
      </c>
      <c r="H18" s="408">
        <f>'Lsandelar totalt'!E18</f>
        <v>152232.4</v>
      </c>
      <c r="I18" s="351">
        <v>99619.430000000008</v>
      </c>
      <c r="J18" s="298">
        <f t="shared" si="2"/>
        <v>0.52813964103187483</v>
      </c>
      <c r="K18" s="408">
        <f>'Lsandelar totalt'!H18</f>
        <v>316619.45</v>
      </c>
      <c r="L18" s="351" t="e">
        <f>'Lsandelar totalt'!#REF!</f>
        <v>#REF!</v>
      </c>
      <c r="M18" s="298" t="e">
        <f t="shared" si="3"/>
        <v>#REF!</v>
      </c>
      <c r="N18" s="408">
        <f>'Lsandelar totalt'!J18</f>
        <v>29653.23</v>
      </c>
      <c r="O18" s="351">
        <v>28241.09</v>
      </c>
      <c r="P18" s="298">
        <f t="shared" si="4"/>
        <v>5.0003027503541804E-2</v>
      </c>
      <c r="Q18" s="408">
        <f>'Lsandelar totalt'!K18</f>
        <v>0</v>
      </c>
      <c r="R18" s="351">
        <v>0</v>
      </c>
      <c r="S18" s="303"/>
      <c r="T18" s="305">
        <f t="shared" si="11"/>
        <v>2196003.2799999998</v>
      </c>
      <c r="U18" s="305" t="e">
        <f t="shared" si="5"/>
        <v>#REF!</v>
      </c>
      <c r="V18" s="306" t="e">
        <f t="shared" si="6"/>
        <v>#REF!</v>
      </c>
      <c r="W18" s="104">
        <f>'Lsandelar totalt'!N18</f>
        <v>0</v>
      </c>
      <c r="X18" s="351">
        <v>281183.61</v>
      </c>
      <c r="Y18" s="302">
        <f t="shared" si="7"/>
        <v>-1</v>
      </c>
      <c r="Z18" s="289">
        <f t="shared" si="8"/>
        <v>2196003.2799999998</v>
      </c>
      <c r="AA18" s="289" t="e">
        <f t="shared" si="9"/>
        <v>#REF!</v>
      </c>
      <c r="AB18" s="304" t="e">
        <f t="shared" si="10"/>
        <v>#REF!</v>
      </c>
      <c r="AC18" s="331"/>
      <c r="AD18" s="102"/>
    </row>
    <row r="19" spans="1:30">
      <c r="A19" s="8" t="s">
        <v>13</v>
      </c>
      <c r="B19" s="419">
        <f>'Lsandelar totalt'!B19</f>
        <v>58493.25</v>
      </c>
      <c r="C19" s="351">
        <v>39357.06</v>
      </c>
      <c r="D19" s="298">
        <f t="shared" si="0"/>
        <v>0.48622000728712977</v>
      </c>
      <c r="E19" s="408">
        <f>'Lsandelar totalt'!C19</f>
        <v>112478.6</v>
      </c>
      <c r="F19" s="405">
        <v>10167.8421</v>
      </c>
      <c r="G19" s="298">
        <f t="shared" si="1"/>
        <v>10.062189881961288</v>
      </c>
      <c r="H19" s="408">
        <f>'Lsandelar totalt'!E19</f>
        <v>0</v>
      </c>
      <c r="I19" s="351">
        <v>0</v>
      </c>
      <c r="J19" s="298" t="e">
        <f t="shared" si="2"/>
        <v>#DIV/0!</v>
      </c>
      <c r="K19" s="408">
        <f>'Lsandelar totalt'!H19</f>
        <v>65301.69</v>
      </c>
      <c r="L19" s="351" t="e">
        <f>'Lsandelar totalt'!#REF!</f>
        <v>#REF!</v>
      </c>
      <c r="M19" s="298" t="e">
        <f t="shared" si="3"/>
        <v>#REF!</v>
      </c>
      <c r="N19" s="408">
        <f>'Lsandelar totalt'!J19</f>
        <v>1720.22</v>
      </c>
      <c r="O19" s="351">
        <v>1387.18</v>
      </c>
      <c r="P19" s="298">
        <f t="shared" si="4"/>
        <v>0.24008419959918681</v>
      </c>
      <c r="Q19" s="408">
        <f>'Lsandelar totalt'!K19</f>
        <v>0</v>
      </c>
      <c r="R19" s="351">
        <v>0</v>
      </c>
      <c r="S19" s="303"/>
      <c r="T19" s="305">
        <f t="shared" si="11"/>
        <v>237993.76</v>
      </c>
      <c r="U19" s="305" t="e">
        <f t="shared" si="5"/>
        <v>#REF!</v>
      </c>
      <c r="V19" s="306" t="e">
        <f t="shared" si="6"/>
        <v>#REF!</v>
      </c>
      <c r="W19" s="104">
        <f>'Lsandelar totalt'!N19</f>
        <v>0</v>
      </c>
      <c r="X19" s="351">
        <v>47018.91</v>
      </c>
      <c r="Y19" s="302">
        <f t="shared" si="7"/>
        <v>-1</v>
      </c>
      <c r="Z19" s="289">
        <f t="shared" si="8"/>
        <v>237993.76</v>
      </c>
      <c r="AA19" s="289" t="e">
        <f t="shared" si="9"/>
        <v>#REF!</v>
      </c>
      <c r="AB19" s="304" t="e">
        <f t="shared" si="10"/>
        <v>#REF!</v>
      </c>
      <c r="AC19" s="331"/>
      <c r="AD19" s="102"/>
    </row>
    <row r="20" spans="1:30">
      <c r="A20" s="8" t="s">
        <v>14</v>
      </c>
      <c r="B20" s="419">
        <f>'Lsandelar totalt'!B20</f>
        <v>1136683.8899999999</v>
      </c>
      <c r="C20" s="351">
        <v>1127852.55</v>
      </c>
      <c r="D20" s="298">
        <f t="shared" si="0"/>
        <v>7.8302256797662517E-3</v>
      </c>
      <c r="E20" s="408">
        <f>'Lsandelar totalt'!C20</f>
        <v>384860.38</v>
      </c>
      <c r="F20" s="405">
        <v>343447.13199999998</v>
      </c>
      <c r="G20" s="298">
        <f t="shared" si="1"/>
        <v>0.12058114376683753</v>
      </c>
      <c r="H20" s="408">
        <f>'Lsandelar totalt'!E20</f>
        <v>76116.2</v>
      </c>
      <c r="I20" s="351">
        <v>115687.08</v>
      </c>
      <c r="J20" s="298">
        <f t="shared" si="2"/>
        <v>-0.34205098788905386</v>
      </c>
      <c r="K20" s="408">
        <f>'Lsandelar totalt'!H20</f>
        <v>156053.5</v>
      </c>
      <c r="L20" s="351" t="e">
        <f>'Lsandelar totalt'!#REF!</f>
        <v>#REF!</v>
      </c>
      <c r="M20" s="298" t="e">
        <f t="shared" si="3"/>
        <v>#REF!</v>
      </c>
      <c r="N20" s="408">
        <f>'Lsandelar totalt'!J20</f>
        <v>16694.28</v>
      </c>
      <c r="O20" s="351">
        <v>15545.42</v>
      </c>
      <c r="P20" s="298">
        <f t="shared" si="4"/>
        <v>7.3903439083665715E-2</v>
      </c>
      <c r="Q20" s="408">
        <f>'Lsandelar totalt'!K20</f>
        <v>0</v>
      </c>
      <c r="R20" s="351">
        <v>0</v>
      </c>
      <c r="S20" s="303"/>
      <c r="T20" s="305">
        <f t="shared" si="11"/>
        <v>1770408.25</v>
      </c>
      <c r="U20" s="305" t="e">
        <f t="shared" si="5"/>
        <v>#REF!</v>
      </c>
      <c r="V20" s="306" t="e">
        <f t="shared" si="6"/>
        <v>#REF!</v>
      </c>
      <c r="W20" s="104">
        <f>'Lsandelar totalt'!N20</f>
        <v>0</v>
      </c>
      <c r="X20" s="351">
        <v>81591.59</v>
      </c>
      <c r="Y20" s="302">
        <f t="shared" si="7"/>
        <v>-1</v>
      </c>
      <c r="Z20" s="289">
        <f t="shared" si="8"/>
        <v>1770408.25</v>
      </c>
      <c r="AA20" s="289" t="e">
        <f t="shared" si="9"/>
        <v>#REF!</v>
      </c>
      <c r="AB20" s="304" t="e">
        <f t="shared" si="10"/>
        <v>#REF!</v>
      </c>
      <c r="AC20" s="331"/>
      <c r="AD20" s="102"/>
    </row>
    <row r="21" spans="1:30">
      <c r="A21" s="8" t="s">
        <v>15</v>
      </c>
      <c r="B21" s="410">
        <f>'Lsandelar totalt'!B21</f>
        <v>661780.59</v>
      </c>
      <c r="C21" s="351">
        <v>607819.13</v>
      </c>
      <c r="D21" s="298">
        <f t="shared" si="0"/>
        <v>8.8778811552048323E-2</v>
      </c>
      <c r="E21" s="408">
        <f>'Lsandelar totalt'!C21</f>
        <v>435269.21</v>
      </c>
      <c r="F21" s="405">
        <v>371117.54800000007</v>
      </c>
      <c r="G21" s="298">
        <f t="shared" si="1"/>
        <v>0.17286076162585537</v>
      </c>
      <c r="H21" s="408">
        <f>'Lsandelar totalt'!E21</f>
        <v>38058.1</v>
      </c>
      <c r="I21" s="351">
        <v>77124.72</v>
      </c>
      <c r="J21" s="298">
        <f t="shared" si="2"/>
        <v>-0.50653824091679034</v>
      </c>
      <c r="K21" s="408">
        <f>'Lsandelar totalt'!H21</f>
        <v>237384.77</v>
      </c>
      <c r="L21" s="351" t="e">
        <f>'Lsandelar totalt'!#REF!</f>
        <v>#REF!</v>
      </c>
      <c r="M21" s="298" t="e">
        <f t="shared" si="3"/>
        <v>#REF!</v>
      </c>
      <c r="N21" s="408">
        <f>'Lsandelar totalt'!J21</f>
        <v>7585.33</v>
      </c>
      <c r="O21" s="351">
        <v>6483.54</v>
      </c>
      <c r="P21" s="298">
        <f t="shared" si="4"/>
        <v>0.16993648531512107</v>
      </c>
      <c r="Q21" s="408">
        <f>'Lsandelar totalt'!K21</f>
        <v>0</v>
      </c>
      <c r="R21" s="351">
        <v>0</v>
      </c>
      <c r="S21" s="303"/>
      <c r="T21" s="305">
        <f t="shared" si="11"/>
        <v>1380078.0000000002</v>
      </c>
      <c r="U21" s="305" t="e">
        <f t="shared" si="5"/>
        <v>#REF!</v>
      </c>
      <c r="V21" s="306" t="e">
        <f t="shared" si="6"/>
        <v>#REF!</v>
      </c>
      <c r="W21" s="104">
        <f>'Lsandelar totalt'!N21</f>
        <v>0</v>
      </c>
      <c r="X21" s="351">
        <v>-96108.17</v>
      </c>
      <c r="Y21" s="302">
        <f t="shared" si="7"/>
        <v>-1</v>
      </c>
      <c r="Z21" s="289">
        <f t="shared" si="8"/>
        <v>1380078.0000000002</v>
      </c>
      <c r="AA21" s="289" t="e">
        <f t="shared" si="9"/>
        <v>#REF!</v>
      </c>
      <c r="AB21" s="304" t="e">
        <f t="shared" si="10"/>
        <v>#REF!</v>
      </c>
      <c r="AC21" s="331"/>
      <c r="AD21" s="102"/>
    </row>
    <row r="22" spans="1:30">
      <c r="A22" s="8" t="s">
        <v>16</v>
      </c>
      <c r="B22" s="410">
        <f>'Lsandelar totalt'!B22</f>
        <v>0</v>
      </c>
      <c r="C22" s="106">
        <v>0</v>
      </c>
      <c r="D22" s="298">
        <v>0</v>
      </c>
      <c r="E22" s="410">
        <f>'Lsandelar totalt'!C22</f>
        <v>748016.69</v>
      </c>
      <c r="F22" s="406">
        <v>644542.63399999996</v>
      </c>
      <c r="G22" s="298">
        <f t="shared" si="1"/>
        <v>0.16053873016567588</v>
      </c>
      <c r="H22" s="408">
        <f>'Lsandelar totalt'!E22</f>
        <v>190290.5</v>
      </c>
      <c r="I22" s="351">
        <v>292431.23000000004</v>
      </c>
      <c r="J22" s="298">
        <f t="shared" si="2"/>
        <v>-0.34928119681335001</v>
      </c>
      <c r="K22" s="408">
        <f>'Lsandelar totalt'!H22</f>
        <v>1882316.57</v>
      </c>
      <c r="L22" s="351" t="e">
        <f>'Lsandelar totalt'!#REF!</f>
        <v>#REF!</v>
      </c>
      <c r="M22" s="298" t="e">
        <f t="shared" si="3"/>
        <v>#REF!</v>
      </c>
      <c r="N22" s="410">
        <f>'Lsandelar totalt'!J22</f>
        <v>192369.19</v>
      </c>
      <c r="O22" s="351">
        <v>176065.81</v>
      </c>
      <c r="P22" s="298">
        <f t="shared" si="4"/>
        <v>9.2598216541871503E-2</v>
      </c>
      <c r="Q22" s="410">
        <f>'Lsandelar totalt'!K22</f>
        <v>0</v>
      </c>
      <c r="R22" s="351">
        <v>100852.37999999999</v>
      </c>
      <c r="S22" s="303"/>
      <c r="T22" s="305">
        <f t="shared" si="11"/>
        <v>3012992.9499999997</v>
      </c>
      <c r="U22" s="305" t="e">
        <f t="shared" si="5"/>
        <v>#REF!</v>
      </c>
      <c r="V22" s="306" t="e">
        <f t="shared" si="6"/>
        <v>#REF!</v>
      </c>
      <c r="W22" s="104">
        <f>'Lsandelar totalt'!N22</f>
        <v>0</v>
      </c>
      <c r="X22" s="104">
        <v>-320068.8</v>
      </c>
      <c r="Y22" s="302">
        <f t="shared" si="7"/>
        <v>-1</v>
      </c>
      <c r="Z22" s="289">
        <f t="shared" si="8"/>
        <v>3012992.9499999997</v>
      </c>
      <c r="AA22" s="289" t="e">
        <f t="shared" si="9"/>
        <v>#REF!</v>
      </c>
      <c r="AB22" s="304" t="e">
        <f t="shared" si="10"/>
        <v>#REF!</v>
      </c>
      <c r="AC22" s="331"/>
      <c r="AD22" s="102"/>
    </row>
    <row r="23" spans="1:30" ht="29">
      <c r="A23" s="407" t="s">
        <v>248</v>
      </c>
      <c r="B23" s="326"/>
      <c r="C23" s="357"/>
      <c r="D23" s="356"/>
      <c r="E23" s="326"/>
      <c r="F23" s="357"/>
      <c r="G23" s="356"/>
      <c r="H23" s="326"/>
      <c r="I23" s="357"/>
      <c r="J23" s="356"/>
      <c r="K23" s="424"/>
      <c r="L23" s="357"/>
      <c r="M23" s="356"/>
      <c r="N23" s="326"/>
      <c r="O23" s="357"/>
      <c r="P23" s="356"/>
      <c r="Q23" s="326"/>
      <c r="R23" s="357"/>
      <c r="S23" s="356"/>
      <c r="T23" s="327">
        <v>400000</v>
      </c>
      <c r="U23" s="327">
        <v>300000</v>
      </c>
      <c r="V23" s="355">
        <f t="shared" si="6"/>
        <v>0.33333333333333331</v>
      </c>
      <c r="W23" s="357"/>
      <c r="X23" s="357"/>
      <c r="Y23" s="354"/>
      <c r="Z23" s="328">
        <f>T23</f>
        <v>400000</v>
      </c>
      <c r="AA23" s="328">
        <f>U23</f>
        <v>300000</v>
      </c>
      <c r="AB23" s="353">
        <f t="shared" si="10"/>
        <v>0.33333333333333331</v>
      </c>
      <c r="AC23" s="358"/>
      <c r="AD23" s="102"/>
    </row>
    <row r="24" spans="1:30" s="2" customFormat="1">
      <c r="A24" s="12" t="s">
        <v>18</v>
      </c>
      <c r="B24" s="420">
        <f>SUM(B7:B23)</f>
        <v>15730465.460000001</v>
      </c>
      <c r="C24" s="65">
        <f>SUM(C7:C23)</f>
        <v>14386975.060000002</v>
      </c>
      <c r="D24" s="299">
        <f t="shared" si="0"/>
        <v>9.3382409741940453E-2</v>
      </c>
      <c r="E24" s="409">
        <f>SUM(E7:E23)</f>
        <v>5976316.8299999982</v>
      </c>
      <c r="F24" s="20">
        <f>SUM(F7:F23)</f>
        <v>5421099.5559999999</v>
      </c>
      <c r="G24" s="299">
        <f>(E24-F24)/F24</f>
        <v>0.1024178339218086</v>
      </c>
      <c r="H24" s="409">
        <f>'Lsandelar totalt'!E26</f>
        <v>1217859.2</v>
      </c>
      <c r="I24" s="20">
        <f>SUM(I7:I23)</f>
        <v>1057251.3699999999</v>
      </c>
      <c r="J24" s="299">
        <f>(H24-I24)/I24</f>
        <v>0.15191073244955935</v>
      </c>
      <c r="K24" s="409">
        <f>SUM(K7:K23)</f>
        <v>5093424.1400000006</v>
      </c>
      <c r="L24" s="20" t="e">
        <f>SUM(L7:L23)</f>
        <v>#REF!</v>
      </c>
      <c r="M24" s="299" t="e">
        <f t="shared" si="3"/>
        <v>#REF!</v>
      </c>
      <c r="N24" s="409">
        <f>'Lsandelar totalt'!J26</f>
        <v>497125.78</v>
      </c>
      <c r="O24" s="20">
        <f>SUM(O7:O23)</f>
        <v>444635.14999999997</v>
      </c>
      <c r="P24" s="299">
        <f t="shared" si="4"/>
        <v>0.11805326232080407</v>
      </c>
      <c r="Q24" s="409">
        <f>'Lsandelar totalt'!K26</f>
        <v>0</v>
      </c>
      <c r="R24" s="20">
        <v>101372.58000000002</v>
      </c>
      <c r="S24" s="299">
        <f>(Q24-R24)/R24</f>
        <v>-1</v>
      </c>
      <c r="T24" s="112">
        <f>SUM(T7:T23)</f>
        <v>28915191.410000004</v>
      </c>
      <c r="U24" s="112" t="e">
        <f>SUM(U7:U23)</f>
        <v>#REF!</v>
      </c>
      <c r="V24" s="307" t="e">
        <f>(T24-U24)/U24</f>
        <v>#REF!</v>
      </c>
      <c r="W24" s="20">
        <f>SUM(W7:W23)</f>
        <v>0</v>
      </c>
      <c r="X24" s="20">
        <f>SUM(X7:X23)</f>
        <v>1.0000000009313226E-2</v>
      </c>
      <c r="Y24" s="299">
        <v>0</v>
      </c>
      <c r="Z24" s="110">
        <f>SUM(Z7:Z23)</f>
        <v>28915191.410000004</v>
      </c>
      <c r="AA24" s="110" t="e">
        <f>SUM(AA7:AA23)</f>
        <v>#REF!</v>
      </c>
      <c r="AB24" s="312" t="e">
        <f t="shared" si="10"/>
        <v>#REF!</v>
      </c>
      <c r="AC24" s="332"/>
      <c r="AD24" s="6"/>
    </row>
    <row r="25" spans="1:30">
      <c r="A25" s="102"/>
      <c r="B25" s="296"/>
      <c r="C25" s="107"/>
      <c r="D25" s="300"/>
      <c r="E25" s="102"/>
      <c r="F25" s="102"/>
      <c r="G25" s="300"/>
      <c r="H25" s="102"/>
      <c r="I25" s="102"/>
      <c r="J25" s="300"/>
      <c r="K25" s="102"/>
      <c r="L25" s="102"/>
      <c r="M25" s="300"/>
      <c r="N25" s="102"/>
      <c r="O25" s="102"/>
      <c r="P25" s="300"/>
      <c r="Q25" s="102"/>
      <c r="R25" s="102"/>
      <c r="S25" s="300"/>
      <c r="T25" s="102"/>
      <c r="U25" s="102"/>
      <c r="V25" s="300"/>
      <c r="W25" s="102"/>
      <c r="X25" s="102"/>
      <c r="Y25" s="300"/>
      <c r="Z25" s="102"/>
      <c r="AA25" s="102"/>
      <c r="AB25" s="107"/>
      <c r="AC25" s="333"/>
      <c r="AD25" s="102"/>
    </row>
    <row r="26" spans="1:30" s="100" customFormat="1" ht="12">
      <c r="A26" s="264" t="s">
        <v>181</v>
      </c>
      <c r="B26" s="297">
        <f>B24-C24</f>
        <v>1343490.3999999985</v>
      </c>
      <c r="C26" s="218"/>
      <c r="D26" s="301"/>
      <c r="E26" s="120">
        <f>E24-F24</f>
        <v>555217.27399999835</v>
      </c>
      <c r="G26" s="352"/>
      <c r="H26" s="120">
        <f>H24-I24</f>
        <v>160607.83000000007</v>
      </c>
      <c r="J26" s="352"/>
      <c r="K26" s="120" t="e">
        <f>K24-L24</f>
        <v>#REF!</v>
      </c>
      <c r="M26" s="301"/>
      <c r="N26" s="120">
        <f>N24-O24</f>
        <v>52490.630000000063</v>
      </c>
      <c r="P26" s="301"/>
      <c r="Q26" s="120">
        <f>Q24-R24</f>
        <v>-101372.58000000002</v>
      </c>
      <c r="S26" s="301"/>
      <c r="T26" s="120" t="e">
        <f>T24-U24</f>
        <v>#REF!</v>
      </c>
      <c r="V26" s="301"/>
      <c r="W26" s="120"/>
      <c r="Y26" s="301"/>
      <c r="Z26" s="120" t="e">
        <f>Z24-AA24</f>
        <v>#REF!</v>
      </c>
      <c r="AB26" s="218"/>
      <c r="AC26" s="334"/>
    </row>
    <row r="28" spans="1:30">
      <c r="K28" s="3"/>
      <c r="T28" s="3"/>
    </row>
    <row r="29" spans="1:30">
      <c r="S29" s="3"/>
      <c r="T29" s="3"/>
      <c r="Y29" s="315"/>
      <c r="Z29" s="116"/>
      <c r="AA29" s="116"/>
      <c r="AB29" s="315"/>
    </row>
  </sheetData>
  <mergeCells count="1">
    <mergeCell ref="B5:AB5"/>
  </mergeCells>
  <pageMargins left="0.7" right="0.7" top="0.75" bottom="0.75" header="0.3" footer="0.3"/>
  <pageSetup paperSize="9" orientation="landscape" horizontalDpi="300" verticalDpi="300" r:id="rId1"/>
  <colBreaks count="1" manualBreakCount="1">
    <brk id="13"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
  <sheetViews>
    <sheetView zoomScale="80" zoomScaleNormal="80" zoomScalePageLayoutView="80" workbookViewId="0">
      <selection activeCell="H15" sqref="H15"/>
    </sheetView>
  </sheetViews>
  <sheetFormatPr defaultColWidth="8.765625" defaultRowHeight="14.5"/>
  <cols>
    <col min="1" max="1" width="8.765625" style="26"/>
    <col min="2" max="2" width="13.53515625" style="26" customWidth="1"/>
    <col min="3" max="3" width="13.3046875" style="26" customWidth="1"/>
    <col min="4" max="4" width="8.765625" style="26"/>
    <col min="5" max="6" width="10.765625" style="26" bestFit="1" customWidth="1"/>
    <col min="7" max="7" width="10.765625" style="26" customWidth="1"/>
    <col min="8" max="8" width="8.765625" style="26"/>
    <col min="9" max="9" width="12.07421875" style="26" bestFit="1" customWidth="1"/>
    <col min="10" max="14" width="8.765625" style="26"/>
    <col min="15" max="15" width="10.07421875" style="26" customWidth="1"/>
    <col min="16" max="16" width="10.23046875" style="26" customWidth="1"/>
    <col min="17" max="17" width="9.69140625" style="26" customWidth="1"/>
    <col min="18" max="16384" width="8.765625" style="26"/>
  </cols>
  <sheetData>
    <row r="1" spans="1:16" ht="15.5">
      <c r="A1" s="17" t="s">
        <v>191</v>
      </c>
    </row>
    <row r="2" spans="1:16">
      <c r="A2" s="325" t="s">
        <v>192</v>
      </c>
    </row>
    <row r="3" spans="1:16">
      <c r="A3" s="117"/>
    </row>
    <row r="5" spans="1:16">
      <c r="B5" s="6" t="s">
        <v>148</v>
      </c>
      <c r="D5" s="26">
        <f>B25/C25</f>
        <v>1.0944240768850306</v>
      </c>
    </row>
    <row r="6" spans="1:16">
      <c r="B6" s="67" t="s">
        <v>150</v>
      </c>
    </row>
    <row r="7" spans="1:16">
      <c r="A7" s="11" t="s">
        <v>102</v>
      </c>
      <c r="B7" s="21"/>
    </row>
    <row r="8" spans="1:16">
      <c r="A8" s="40"/>
      <c r="B8" s="66" t="s">
        <v>154</v>
      </c>
      <c r="C8" s="348" t="s">
        <v>196</v>
      </c>
      <c r="D8" s="10" t="s">
        <v>51</v>
      </c>
      <c r="E8" s="113">
        <v>2018</v>
      </c>
      <c r="F8" s="113">
        <v>2019</v>
      </c>
      <c r="G8" s="10">
        <v>2020</v>
      </c>
      <c r="I8" s="345" t="s">
        <v>197</v>
      </c>
      <c r="J8" s="345"/>
      <c r="K8" s="345"/>
      <c r="L8" s="345"/>
      <c r="M8" s="345"/>
      <c r="N8" s="345"/>
      <c r="O8" s="345"/>
      <c r="P8" s="345"/>
    </row>
    <row r="9" spans="1:16" ht="15.5">
      <c r="A9" s="8" t="s">
        <v>1</v>
      </c>
      <c r="B9" s="4">
        <f>G38+K38+P38</f>
        <v>1099351.5699999998</v>
      </c>
      <c r="C9" s="345">
        <v>1119531.6448890658</v>
      </c>
      <c r="D9" s="36">
        <f t="shared" ref="D9:D23" si="0">C9*$D$5-B9</f>
        <v>125890.81700129597</v>
      </c>
      <c r="E9" s="114">
        <f>D9*-0.75</f>
        <v>-94418.112750971981</v>
      </c>
      <c r="F9" s="375">
        <f>ROUND(D9*-0.5,2)</f>
        <v>-62945.41</v>
      </c>
      <c r="G9" s="372">
        <f>ROUND(D9*-0.25,2)</f>
        <v>-31472.7</v>
      </c>
      <c r="I9"/>
      <c r="N9"/>
    </row>
    <row r="10" spans="1:16" ht="15.5">
      <c r="A10" s="8" t="s">
        <v>2</v>
      </c>
      <c r="B10" s="4">
        <f t="shared" ref="B10:B23" si="1">G39+K39+P39</f>
        <v>2308659.2200000002</v>
      </c>
      <c r="C10" s="345">
        <v>2379972.2963313838</v>
      </c>
      <c r="D10" s="36">
        <f t="shared" si="0"/>
        <v>296039.76342442119</v>
      </c>
      <c r="E10" s="114">
        <f t="shared" ref="E10:E24" si="2">D10*-0.75</f>
        <v>-222029.8225683159</v>
      </c>
      <c r="F10" s="375">
        <f t="shared" ref="F10:F24" si="3">ROUND(D10*-0.5,2)</f>
        <v>-148019.88</v>
      </c>
      <c r="G10" s="372">
        <f t="shared" ref="G10:G24" si="4">ROUND(D10*-0.25,2)</f>
        <v>-74009.94</v>
      </c>
      <c r="I10"/>
      <c r="N10"/>
    </row>
    <row r="11" spans="1:16" ht="15.5">
      <c r="A11" s="8" t="s">
        <v>3</v>
      </c>
      <c r="B11" s="4">
        <f t="shared" si="1"/>
        <v>3396353.8000000003</v>
      </c>
      <c r="C11" s="345">
        <v>3774588.0203166674</v>
      </c>
      <c r="D11" s="36">
        <f t="shared" si="0"/>
        <v>734646.20975636365</v>
      </c>
      <c r="E11" s="114">
        <f t="shared" si="2"/>
        <v>-550984.65731727274</v>
      </c>
      <c r="F11" s="375">
        <f t="shared" si="3"/>
        <v>-367323.1</v>
      </c>
      <c r="G11" s="372">
        <f t="shared" si="4"/>
        <v>-183661.55</v>
      </c>
      <c r="I11"/>
      <c r="N11"/>
    </row>
    <row r="12" spans="1:16" ht="15.5">
      <c r="A12" s="8" t="s">
        <v>4</v>
      </c>
      <c r="B12" s="4">
        <f t="shared" si="1"/>
        <v>1664137.22</v>
      </c>
      <c r="C12" s="345">
        <v>1337436.4197697665</v>
      </c>
      <c r="D12" s="36">
        <f t="shared" si="0"/>
        <v>-200414.60090105282</v>
      </c>
      <c r="E12" s="114">
        <f t="shared" si="2"/>
        <v>150310.95067578962</v>
      </c>
      <c r="F12" s="375">
        <f t="shared" si="3"/>
        <v>100207.3</v>
      </c>
      <c r="G12" s="372">
        <f t="shared" si="4"/>
        <v>50103.65</v>
      </c>
      <c r="I12"/>
      <c r="N12"/>
    </row>
    <row r="13" spans="1:16" ht="15.5">
      <c r="A13" s="8" t="s">
        <v>5</v>
      </c>
      <c r="B13" s="4">
        <f t="shared" si="1"/>
        <v>1827073.7</v>
      </c>
      <c r="C13" s="345">
        <v>1503942.0451326687</v>
      </c>
      <c r="D13" s="36">
        <f t="shared" si="0"/>
        <v>-181123.3155670939</v>
      </c>
      <c r="E13" s="114">
        <f t="shared" si="2"/>
        <v>135842.48667532043</v>
      </c>
      <c r="F13" s="375">
        <f t="shared" si="3"/>
        <v>90561.66</v>
      </c>
      <c r="G13" s="372">
        <f t="shared" si="4"/>
        <v>45280.83</v>
      </c>
      <c r="I13"/>
      <c r="N13"/>
    </row>
    <row r="14" spans="1:16" ht="15.5">
      <c r="A14" s="8" t="s">
        <v>6</v>
      </c>
      <c r="B14" s="4">
        <f t="shared" si="1"/>
        <v>2831701.5500000003</v>
      </c>
      <c r="C14" s="345">
        <v>2862181.6594141605</v>
      </c>
      <c r="D14" s="36">
        <f t="shared" si="0"/>
        <v>300738.9704816076</v>
      </c>
      <c r="E14" s="114">
        <f t="shared" si="2"/>
        <v>-225554.2278612057</v>
      </c>
      <c r="F14" s="375">
        <f t="shared" si="3"/>
        <v>-150369.49</v>
      </c>
      <c r="G14" s="372">
        <f t="shared" si="4"/>
        <v>-75184.740000000005</v>
      </c>
      <c r="I14"/>
      <c r="N14"/>
    </row>
    <row r="15" spans="1:16" ht="15.5">
      <c r="A15" s="8" t="s">
        <v>7</v>
      </c>
      <c r="B15" s="4">
        <f t="shared" si="1"/>
        <v>4372360.7399999993</v>
      </c>
      <c r="C15" s="345">
        <v>3590545.8278557793</v>
      </c>
      <c r="D15" s="36">
        <f t="shared" si="0"/>
        <v>-442780.93683553999</v>
      </c>
      <c r="E15" s="114">
        <f t="shared" si="2"/>
        <v>332085.70262665499</v>
      </c>
      <c r="F15" s="375">
        <f t="shared" si="3"/>
        <v>221390.47</v>
      </c>
      <c r="G15" s="372">
        <f t="shared" si="4"/>
        <v>110695.23</v>
      </c>
      <c r="I15"/>
      <c r="N15"/>
    </row>
    <row r="16" spans="1:16" ht="15.5">
      <c r="A16" s="8" t="s">
        <v>8</v>
      </c>
      <c r="B16" s="4">
        <f t="shared" si="1"/>
        <v>833399.37000000011</v>
      </c>
      <c r="C16" s="345">
        <v>799221.43960829312</v>
      </c>
      <c r="D16" s="36">
        <f t="shared" si="0"/>
        <v>41287.816270031384</v>
      </c>
      <c r="E16" s="114">
        <f t="shared" si="2"/>
        <v>-30965.862202523538</v>
      </c>
      <c r="F16" s="375">
        <f t="shared" si="3"/>
        <v>-20643.91</v>
      </c>
      <c r="G16" s="372">
        <f t="shared" si="4"/>
        <v>-10321.950000000001</v>
      </c>
      <c r="I16"/>
      <c r="N16"/>
    </row>
    <row r="17" spans="1:17" ht="15.5">
      <c r="A17" s="8" t="s">
        <v>9</v>
      </c>
      <c r="B17" s="4">
        <f t="shared" si="1"/>
        <v>657284.34000000008</v>
      </c>
      <c r="C17" s="345">
        <v>701234.05158727779</v>
      </c>
      <c r="D17" s="36">
        <f t="shared" si="0"/>
        <v>110163.08958875632</v>
      </c>
      <c r="E17" s="114">
        <f t="shared" si="2"/>
        <v>-82622.317191567243</v>
      </c>
      <c r="F17" s="375">
        <f t="shared" si="3"/>
        <v>-55081.54</v>
      </c>
      <c r="G17" s="372">
        <f t="shared" si="4"/>
        <v>-27540.77</v>
      </c>
      <c r="I17"/>
      <c r="N17"/>
    </row>
    <row r="18" spans="1:17" ht="15.5">
      <c r="A18" s="8" t="s">
        <v>10</v>
      </c>
      <c r="B18" s="4">
        <f t="shared" si="1"/>
        <v>2991911.7399999998</v>
      </c>
      <c r="C18" s="345">
        <v>2143240.9013162362</v>
      </c>
      <c r="D18" s="36">
        <f t="shared" si="0"/>
        <v>-646297.29503473686</v>
      </c>
      <c r="E18" s="114">
        <f t="shared" si="2"/>
        <v>484722.97127605265</v>
      </c>
      <c r="F18" s="375">
        <f t="shared" si="3"/>
        <v>323148.65000000002</v>
      </c>
      <c r="G18" s="372">
        <f t="shared" si="4"/>
        <v>161574.32</v>
      </c>
      <c r="H18" s="36"/>
      <c r="I18"/>
      <c r="N18"/>
    </row>
    <row r="19" spans="1:17" ht="15.5">
      <c r="A19" s="8" t="s">
        <v>11</v>
      </c>
      <c r="B19" s="4">
        <f t="shared" si="1"/>
        <v>788747.04</v>
      </c>
      <c r="C19" s="345">
        <v>582800.41450836498</v>
      </c>
      <c r="D19" s="36">
        <f t="shared" si="0"/>
        <v>-150916.23434346949</v>
      </c>
      <c r="E19" s="114">
        <f t="shared" si="2"/>
        <v>113187.17575760212</v>
      </c>
      <c r="F19" s="375">
        <f t="shared" si="3"/>
        <v>75458.12</v>
      </c>
      <c r="G19" s="372">
        <f t="shared" si="4"/>
        <v>37729.06</v>
      </c>
      <c r="I19"/>
      <c r="N19"/>
    </row>
    <row r="20" spans="1:17" ht="15.5">
      <c r="A20" s="8" t="s">
        <v>12</v>
      </c>
      <c r="B20" s="4">
        <f t="shared" si="1"/>
        <v>3182543.45</v>
      </c>
      <c r="C20" s="345">
        <v>2394114.2147885724</v>
      </c>
      <c r="D20" s="36">
        <f t="shared" si="0"/>
        <v>-562367.21052268706</v>
      </c>
      <c r="E20" s="114">
        <f t="shared" si="2"/>
        <v>421775.4078920153</v>
      </c>
      <c r="F20" s="375">
        <f t="shared" si="3"/>
        <v>281183.61</v>
      </c>
      <c r="G20" s="372">
        <f t="shared" si="4"/>
        <v>140591.79999999999</v>
      </c>
      <c r="I20"/>
      <c r="N20"/>
    </row>
    <row r="21" spans="1:17" ht="15.5">
      <c r="A21" s="8" t="s">
        <v>13</v>
      </c>
      <c r="B21" s="4">
        <f t="shared" si="1"/>
        <v>212781.40000000002</v>
      </c>
      <c r="C21" s="345">
        <v>108498.69102587605</v>
      </c>
      <c r="D21" s="36">
        <f t="shared" si="0"/>
        <v>-94037.820230771467</v>
      </c>
      <c r="E21" s="114">
        <f t="shared" si="2"/>
        <v>70528.365173078608</v>
      </c>
      <c r="F21" s="375">
        <f t="shared" si="3"/>
        <v>47018.91</v>
      </c>
      <c r="G21" s="372">
        <f t="shared" si="4"/>
        <v>23509.46</v>
      </c>
      <c r="I21"/>
      <c r="N21"/>
    </row>
    <row r="22" spans="1:17" ht="15.5">
      <c r="A22" s="8" t="s">
        <v>14</v>
      </c>
      <c r="B22" s="4">
        <f t="shared" si="1"/>
        <v>2287138.8300000005</v>
      </c>
      <c r="C22" s="345">
        <v>1940706.2464427499</v>
      </c>
      <c r="D22" s="36">
        <f t="shared" si="0"/>
        <v>-163183.18773188116</v>
      </c>
      <c r="E22" s="114">
        <f t="shared" si="2"/>
        <v>122387.39079891087</v>
      </c>
      <c r="F22" s="375">
        <f t="shared" si="3"/>
        <v>81591.59</v>
      </c>
      <c r="G22" s="372">
        <f t="shared" si="4"/>
        <v>40795.800000000003</v>
      </c>
      <c r="I22"/>
      <c r="N22"/>
    </row>
    <row r="23" spans="1:17" ht="15.5">
      <c r="A23" s="8" t="s">
        <v>15</v>
      </c>
      <c r="B23" s="4">
        <f t="shared" si="1"/>
        <v>1501990.19</v>
      </c>
      <c r="C23" s="345">
        <v>1548034.7682471073</v>
      </c>
      <c r="D23" s="36">
        <f t="shared" si="0"/>
        <v>192216.33222477278</v>
      </c>
      <c r="E23" s="114">
        <f t="shared" si="2"/>
        <v>-144162.24916857958</v>
      </c>
      <c r="F23" s="375">
        <f t="shared" si="3"/>
        <v>-96108.17</v>
      </c>
      <c r="G23" s="372">
        <f t="shared" si="4"/>
        <v>-48054.080000000002</v>
      </c>
      <c r="I23"/>
      <c r="N23"/>
    </row>
    <row r="24" spans="1:17" ht="15.5">
      <c r="A24" s="8" t="s">
        <v>16</v>
      </c>
      <c r="B24" s="15">
        <f>G54+K54+P54</f>
        <v>6178814.8700000001</v>
      </c>
      <c r="C24" s="346">
        <v>6230630.9011660321</v>
      </c>
      <c r="D24" s="38">
        <f>C24*$D$5-B24</f>
        <v>640137.6024199808</v>
      </c>
      <c r="E24" s="115">
        <f t="shared" si="2"/>
        <v>-480103.2018149856</v>
      </c>
      <c r="F24" s="376">
        <f t="shared" si="3"/>
        <v>-320068.8</v>
      </c>
      <c r="G24" s="373">
        <f t="shared" si="4"/>
        <v>-160034.4</v>
      </c>
      <c r="I24"/>
      <c r="N24"/>
    </row>
    <row r="25" spans="1:17" ht="15.5">
      <c r="A25" s="12" t="s">
        <v>18</v>
      </c>
      <c r="B25" s="65">
        <f t="shared" ref="B25:G25" si="5">SUM(B9:B24)</f>
        <v>36134249.030000001</v>
      </c>
      <c r="C25" s="347">
        <v>33016679.542400002</v>
      </c>
      <c r="D25" s="20">
        <f t="shared" si="5"/>
        <v>-3.0267983675003052E-9</v>
      </c>
      <c r="E25" s="116">
        <f t="shared" si="5"/>
        <v>2.3283064365386963E-9</v>
      </c>
      <c r="F25" s="116">
        <f t="shared" si="5"/>
        <v>1.0000000009313226E-2</v>
      </c>
      <c r="G25" s="20">
        <f t="shared" si="5"/>
        <v>1.999999993131496E-2</v>
      </c>
      <c r="I25"/>
      <c r="N25"/>
    </row>
    <row r="26" spans="1:17">
      <c r="B26" s="36"/>
    </row>
    <row r="27" spans="1:17">
      <c r="A27" s="6" t="s">
        <v>151</v>
      </c>
      <c r="B27" s="36">
        <f>C25-B25</f>
        <v>-3117569.4875999987</v>
      </c>
    </row>
    <row r="29" spans="1:17">
      <c r="A29" s="101" t="s">
        <v>177</v>
      </c>
    </row>
    <row r="31" spans="1:17" ht="18" thickBot="1">
      <c r="A31" s="72" t="s">
        <v>162</v>
      </c>
      <c r="B31" s="73"/>
      <c r="C31" s="73"/>
      <c r="D31" s="73"/>
      <c r="E31" s="73"/>
      <c r="F31" s="73"/>
      <c r="G31" s="73"/>
      <c r="H31" s="73"/>
      <c r="I31" s="73"/>
      <c r="J31" s="74"/>
      <c r="K31" s="73"/>
      <c r="L31" s="73"/>
      <c r="M31" s="73"/>
      <c r="N31" s="74"/>
      <c r="O31" s="75"/>
      <c r="P31" s="76"/>
      <c r="Q31" s="76"/>
    </row>
    <row r="32" spans="1:17" ht="23">
      <c r="A32" s="41" t="s">
        <v>21</v>
      </c>
      <c r="B32" s="42" t="s">
        <v>29</v>
      </c>
      <c r="C32" s="42" t="s">
        <v>32</v>
      </c>
      <c r="D32" s="42" t="s">
        <v>107</v>
      </c>
      <c r="E32" s="42" t="s">
        <v>108</v>
      </c>
      <c r="F32" s="42" t="s">
        <v>109</v>
      </c>
      <c r="G32" s="43" t="s">
        <v>110</v>
      </c>
      <c r="H32" s="44" t="s">
        <v>111</v>
      </c>
      <c r="I32" s="44" t="s">
        <v>112</v>
      </c>
      <c r="J32" s="44" t="s">
        <v>113</v>
      </c>
      <c r="K32" s="43" t="s">
        <v>110</v>
      </c>
      <c r="L32" s="44" t="s">
        <v>114</v>
      </c>
      <c r="M32" s="44" t="s">
        <v>115</v>
      </c>
      <c r="N32" s="45" t="s">
        <v>110</v>
      </c>
      <c r="O32" s="43" t="s">
        <v>110</v>
      </c>
      <c r="P32" s="46" t="s">
        <v>116</v>
      </c>
      <c r="Q32" s="47" t="s">
        <v>110</v>
      </c>
    </row>
    <row r="33" spans="1:17" ht="23">
      <c r="A33" s="48"/>
      <c r="B33" s="77"/>
      <c r="C33" s="77"/>
      <c r="D33" s="42" t="s">
        <v>117</v>
      </c>
      <c r="E33" s="77"/>
      <c r="F33" s="42" t="s">
        <v>118</v>
      </c>
      <c r="G33" s="43" t="s">
        <v>119</v>
      </c>
      <c r="H33" s="44" t="s">
        <v>120</v>
      </c>
      <c r="I33" s="44" t="s">
        <v>121</v>
      </c>
      <c r="J33" s="44" t="s">
        <v>122</v>
      </c>
      <c r="K33" s="43" t="s">
        <v>119</v>
      </c>
      <c r="L33" s="44" t="s">
        <v>123</v>
      </c>
      <c r="M33" s="44" t="s">
        <v>124</v>
      </c>
      <c r="N33" s="45" t="s">
        <v>119</v>
      </c>
      <c r="O33" s="43" t="s">
        <v>119</v>
      </c>
      <c r="P33" s="46" t="s">
        <v>125</v>
      </c>
      <c r="Q33" s="49" t="s">
        <v>119</v>
      </c>
    </row>
    <row r="34" spans="1:17" ht="23">
      <c r="A34" s="48"/>
      <c r="B34" s="77"/>
      <c r="C34" s="77"/>
      <c r="D34" s="78"/>
      <c r="E34" s="77"/>
      <c r="F34" s="42"/>
      <c r="G34" s="43" t="s">
        <v>126</v>
      </c>
      <c r="H34" s="44"/>
      <c r="I34" s="44" t="s">
        <v>127</v>
      </c>
      <c r="J34" s="44" t="s">
        <v>128</v>
      </c>
      <c r="K34" s="43" t="s">
        <v>129</v>
      </c>
      <c r="L34" s="44" t="s">
        <v>130</v>
      </c>
      <c r="M34" s="44" t="s">
        <v>131</v>
      </c>
      <c r="N34" s="45" t="s">
        <v>132</v>
      </c>
      <c r="O34" s="43" t="s">
        <v>133</v>
      </c>
      <c r="P34" s="46" t="s">
        <v>134</v>
      </c>
      <c r="Q34" s="49"/>
    </row>
    <row r="35" spans="1:17">
      <c r="A35" s="79"/>
      <c r="B35" s="80"/>
      <c r="C35" s="80"/>
      <c r="D35" s="81"/>
      <c r="E35" s="80"/>
      <c r="F35" s="80"/>
      <c r="G35" s="43" t="s">
        <v>135</v>
      </c>
      <c r="H35" s="82"/>
      <c r="I35" s="44" t="s">
        <v>136</v>
      </c>
      <c r="J35" s="83" t="s">
        <v>137</v>
      </c>
      <c r="K35" s="43" t="s">
        <v>138</v>
      </c>
      <c r="L35" s="50"/>
      <c r="M35" s="44"/>
      <c r="N35" s="45" t="s">
        <v>139</v>
      </c>
      <c r="O35" s="43"/>
      <c r="P35" s="46"/>
      <c r="Q35" s="49" t="s">
        <v>140</v>
      </c>
    </row>
    <row r="36" spans="1:17">
      <c r="A36" s="84"/>
      <c r="B36" s="81"/>
      <c r="C36" s="85"/>
      <c r="D36" s="81"/>
      <c r="E36" s="85"/>
      <c r="F36" s="85"/>
      <c r="G36" s="86"/>
      <c r="H36" s="87"/>
      <c r="I36" s="81"/>
      <c r="J36" s="88" t="s">
        <v>141</v>
      </c>
      <c r="K36" s="89"/>
      <c r="L36" s="81"/>
      <c r="M36" s="44"/>
      <c r="N36" s="90"/>
      <c r="O36" s="86"/>
      <c r="P36" s="91"/>
      <c r="Q36" s="49" t="s">
        <v>142</v>
      </c>
    </row>
    <row r="37" spans="1:17">
      <c r="A37" s="84"/>
      <c r="B37" s="81"/>
      <c r="C37" s="85"/>
      <c r="D37" s="81"/>
      <c r="E37" s="85"/>
      <c r="F37" s="85"/>
      <c r="G37" s="86"/>
      <c r="H37" s="87"/>
      <c r="I37" s="81"/>
      <c r="J37" s="88"/>
      <c r="K37" s="89"/>
      <c r="L37" s="81"/>
      <c r="M37" s="92" t="s">
        <v>143</v>
      </c>
      <c r="N37" s="90"/>
      <c r="O37" s="86"/>
      <c r="P37" s="91"/>
      <c r="Q37" s="49"/>
    </row>
    <row r="38" spans="1:17">
      <c r="A38" s="51" t="s">
        <v>1</v>
      </c>
      <c r="B38" s="52">
        <v>609433.78</v>
      </c>
      <c r="C38" s="52">
        <v>290952.03000000003</v>
      </c>
      <c r="D38" s="52"/>
      <c r="E38" s="52">
        <v>12164.07</v>
      </c>
      <c r="F38" s="52">
        <v>14838.84</v>
      </c>
      <c r="G38" s="53">
        <v>927388.72</v>
      </c>
      <c r="H38" s="52">
        <v>200260.07</v>
      </c>
      <c r="I38" s="54">
        <v>34391.379999999997</v>
      </c>
      <c r="J38" s="52"/>
      <c r="K38" s="55">
        <v>234651.45</v>
      </c>
      <c r="L38" s="52">
        <v>17985.96</v>
      </c>
      <c r="M38" s="52"/>
      <c r="N38" s="56">
        <v>17985.96</v>
      </c>
      <c r="O38" s="53">
        <v>1180026.1299999999</v>
      </c>
      <c r="P38" s="57">
        <v>-62688.6</v>
      </c>
      <c r="Q38" s="58">
        <v>1117337.5299999998</v>
      </c>
    </row>
    <row r="39" spans="1:17">
      <c r="A39" s="51" t="s">
        <v>2</v>
      </c>
      <c r="B39" s="52">
        <v>1296434.22</v>
      </c>
      <c r="C39" s="52">
        <v>541108.41</v>
      </c>
      <c r="D39" s="52"/>
      <c r="E39" s="52">
        <v>24198.74</v>
      </c>
      <c r="F39" s="52">
        <v>29519.82</v>
      </c>
      <c r="G39" s="53">
        <v>1891261.19</v>
      </c>
      <c r="H39" s="52">
        <v>165863.87</v>
      </c>
      <c r="I39" s="54">
        <v>376244.46</v>
      </c>
      <c r="J39" s="52"/>
      <c r="K39" s="55">
        <v>542108.33000000007</v>
      </c>
      <c r="L39" s="52">
        <v>53452.06</v>
      </c>
      <c r="M39" s="52"/>
      <c r="N39" s="56">
        <v>53452.06</v>
      </c>
      <c r="O39" s="53">
        <v>2486821.58</v>
      </c>
      <c r="P39" s="57">
        <v>-124710.3</v>
      </c>
      <c r="Q39" s="58">
        <v>2362111.2800000003</v>
      </c>
    </row>
    <row r="40" spans="1:17">
      <c r="A40" s="51" t="s">
        <v>3</v>
      </c>
      <c r="B40" s="52">
        <v>2248813.54</v>
      </c>
      <c r="C40" s="52">
        <v>1219216.8999999999</v>
      </c>
      <c r="D40" s="52"/>
      <c r="E40" s="52">
        <v>54393.24</v>
      </c>
      <c r="F40" s="52">
        <v>66353.820000000007</v>
      </c>
      <c r="G40" s="53">
        <v>3588777.5</v>
      </c>
      <c r="H40" s="52">
        <v>6403.45</v>
      </c>
      <c r="I40" s="54">
        <v>137557.21</v>
      </c>
      <c r="J40" s="52"/>
      <c r="K40" s="55">
        <v>143960.66</v>
      </c>
      <c r="L40" s="52">
        <v>114643.94</v>
      </c>
      <c r="M40" s="52"/>
      <c r="N40" s="56">
        <v>114643.94</v>
      </c>
      <c r="O40" s="53">
        <v>3847382.1</v>
      </c>
      <c r="P40" s="57">
        <v>-336384.36</v>
      </c>
      <c r="Q40" s="58">
        <v>3510997.74</v>
      </c>
    </row>
    <row r="41" spans="1:17">
      <c r="A41" s="51" t="s">
        <v>4</v>
      </c>
      <c r="B41" s="52">
        <v>780128.88</v>
      </c>
      <c r="C41" s="52">
        <v>468370.4</v>
      </c>
      <c r="D41" s="52"/>
      <c r="E41" s="52">
        <v>14338.07</v>
      </c>
      <c r="F41" s="52">
        <v>17490.89</v>
      </c>
      <c r="G41" s="53">
        <v>1280328.24</v>
      </c>
      <c r="H41" s="52">
        <v>260284.03</v>
      </c>
      <c r="I41" s="54">
        <v>197417.47</v>
      </c>
      <c r="J41" s="52"/>
      <c r="K41" s="55">
        <v>457701.5</v>
      </c>
      <c r="L41" s="52">
        <v>23574.1</v>
      </c>
      <c r="M41" s="52"/>
      <c r="N41" s="56">
        <v>23574.1</v>
      </c>
      <c r="O41" s="53">
        <v>1761603.8399999999</v>
      </c>
      <c r="P41" s="57">
        <v>-73892.52</v>
      </c>
      <c r="Q41" s="58">
        <v>1687711.3199999998</v>
      </c>
    </row>
    <row r="42" spans="1:17">
      <c r="A42" s="51" t="s">
        <v>5</v>
      </c>
      <c r="B42" s="52">
        <v>814657.53</v>
      </c>
      <c r="C42" s="52">
        <v>421188.99</v>
      </c>
      <c r="D42" s="52"/>
      <c r="E42" s="52">
        <v>12940.5</v>
      </c>
      <c r="F42" s="52">
        <v>15786</v>
      </c>
      <c r="G42" s="53">
        <v>1264573.02</v>
      </c>
      <c r="H42" s="52">
        <v>205434</v>
      </c>
      <c r="I42" s="54">
        <v>423756.68</v>
      </c>
      <c r="J42" s="52"/>
      <c r="K42" s="55">
        <v>629190.67999999993</v>
      </c>
      <c r="L42" s="52">
        <v>18830.810000000001</v>
      </c>
      <c r="M42" s="52"/>
      <c r="N42" s="56">
        <v>18830.810000000001</v>
      </c>
      <c r="O42" s="53">
        <v>1912594.51</v>
      </c>
      <c r="P42" s="57">
        <v>-66690</v>
      </c>
      <c r="Q42" s="58">
        <v>1845904.51</v>
      </c>
    </row>
    <row r="43" spans="1:17">
      <c r="A43" s="51" t="s">
        <v>6</v>
      </c>
      <c r="B43" s="52">
        <v>1570846.38</v>
      </c>
      <c r="C43" s="52">
        <v>881571.53</v>
      </c>
      <c r="D43" s="52"/>
      <c r="E43" s="52">
        <v>39779.1</v>
      </c>
      <c r="F43" s="52">
        <v>48526.16</v>
      </c>
      <c r="G43" s="53">
        <v>2540723.1700000004</v>
      </c>
      <c r="H43" s="52">
        <v>87708.91</v>
      </c>
      <c r="I43" s="54">
        <v>408274.53</v>
      </c>
      <c r="J43" s="52"/>
      <c r="K43" s="55">
        <v>495983.44000000006</v>
      </c>
      <c r="L43" s="52">
        <v>84670.1</v>
      </c>
      <c r="M43" s="52"/>
      <c r="N43" s="56">
        <v>84670.1</v>
      </c>
      <c r="O43" s="53">
        <v>3121376.7100000004</v>
      </c>
      <c r="P43" s="57">
        <v>-205005.06</v>
      </c>
      <c r="Q43" s="58">
        <v>2916371.6500000004</v>
      </c>
    </row>
    <row r="44" spans="1:17">
      <c r="A44" s="51" t="s">
        <v>7</v>
      </c>
      <c r="B44" s="52">
        <v>2768875.57</v>
      </c>
      <c r="C44" s="52">
        <v>2000900.79</v>
      </c>
      <c r="D44" s="52"/>
      <c r="E44" s="52">
        <v>100245.74</v>
      </c>
      <c r="F44" s="52">
        <v>122288.88</v>
      </c>
      <c r="G44" s="53">
        <v>4992310.9799999995</v>
      </c>
      <c r="H44" s="52">
        <v>0</v>
      </c>
      <c r="I44" s="54" t="s">
        <v>146</v>
      </c>
      <c r="J44" s="52"/>
      <c r="K44" s="55">
        <v>0</v>
      </c>
      <c r="L44" s="52">
        <v>171518.71</v>
      </c>
      <c r="M44" s="52"/>
      <c r="N44" s="56">
        <v>171518.71</v>
      </c>
      <c r="O44" s="53">
        <v>5163829.6899999995</v>
      </c>
      <c r="P44" s="57">
        <v>-619950.24</v>
      </c>
      <c r="Q44" s="58">
        <v>4543879.4499999993</v>
      </c>
    </row>
    <row r="45" spans="1:17">
      <c r="A45" s="51" t="s">
        <v>8</v>
      </c>
      <c r="B45" s="52">
        <v>478792.69</v>
      </c>
      <c r="C45" s="52">
        <v>157271.37</v>
      </c>
      <c r="D45" s="52"/>
      <c r="E45" s="52">
        <v>8204.2800000000007</v>
      </c>
      <c r="F45" s="52">
        <v>10008.32</v>
      </c>
      <c r="G45" s="53">
        <v>654276.66</v>
      </c>
      <c r="H45" s="52">
        <v>156230.9</v>
      </c>
      <c r="I45" s="54">
        <v>65173.27</v>
      </c>
      <c r="J45" s="52"/>
      <c r="K45" s="55">
        <v>221404.16999999998</v>
      </c>
      <c r="L45" s="52">
        <v>7739.56</v>
      </c>
      <c r="M45" s="52"/>
      <c r="N45" s="56">
        <v>7739.56</v>
      </c>
      <c r="O45" s="53">
        <v>883420.39</v>
      </c>
      <c r="P45" s="57">
        <v>-42281.46</v>
      </c>
      <c r="Q45" s="58">
        <v>841138.93</v>
      </c>
    </row>
    <row r="46" spans="1:17">
      <c r="A46" s="51" t="s">
        <v>9</v>
      </c>
      <c r="B46" s="52">
        <v>271382.59000000003</v>
      </c>
      <c r="C46" s="52">
        <v>196589.21</v>
      </c>
      <c r="D46" s="52"/>
      <c r="E46" s="52">
        <v>6470.25</v>
      </c>
      <c r="F46" s="52">
        <v>7893</v>
      </c>
      <c r="G46" s="53">
        <v>482335.05000000005</v>
      </c>
      <c r="H46" s="52">
        <v>102717</v>
      </c>
      <c r="I46" s="54">
        <v>105577.29</v>
      </c>
      <c r="J46" s="52"/>
      <c r="K46" s="55">
        <v>208294.28999999998</v>
      </c>
      <c r="L46" s="52">
        <v>2200.3000000000002</v>
      </c>
      <c r="M46" s="52"/>
      <c r="N46" s="56">
        <v>2200.3000000000002</v>
      </c>
      <c r="O46" s="53">
        <v>692829.64</v>
      </c>
      <c r="P46" s="57">
        <v>-33345</v>
      </c>
      <c r="Q46" s="58">
        <v>659484.64</v>
      </c>
    </row>
    <row r="47" spans="1:17">
      <c r="A47" s="51" t="s">
        <v>10</v>
      </c>
      <c r="B47" s="52">
        <v>1891217.84</v>
      </c>
      <c r="C47" s="52">
        <v>1138248.1399999999</v>
      </c>
      <c r="D47" s="52"/>
      <c r="E47" s="52">
        <v>51529.07</v>
      </c>
      <c r="F47" s="52">
        <v>62859.85</v>
      </c>
      <c r="G47" s="53">
        <v>3143854.9</v>
      </c>
      <c r="H47" s="52">
        <v>113616.42</v>
      </c>
      <c r="I47" s="54" t="s">
        <v>146</v>
      </c>
      <c r="J47" s="52"/>
      <c r="K47" s="55">
        <v>113616.42</v>
      </c>
      <c r="L47" s="52">
        <v>59619.01</v>
      </c>
      <c r="M47" s="52"/>
      <c r="N47" s="56">
        <v>59619.01</v>
      </c>
      <c r="O47" s="53">
        <v>3317090.33</v>
      </c>
      <c r="P47" s="57">
        <v>-265559.58</v>
      </c>
      <c r="Q47" s="58">
        <v>3051530.75</v>
      </c>
    </row>
    <row r="48" spans="1:17">
      <c r="A48" s="51" t="s">
        <v>11</v>
      </c>
      <c r="B48" s="52">
        <v>506315.04</v>
      </c>
      <c r="C48" s="52">
        <v>253600.08</v>
      </c>
      <c r="D48" s="52"/>
      <c r="E48" s="52">
        <v>10300.64</v>
      </c>
      <c r="F48" s="52">
        <v>12565.66</v>
      </c>
      <c r="G48" s="53">
        <v>782781.42</v>
      </c>
      <c r="H48" s="52">
        <v>59050.86</v>
      </c>
      <c r="I48" s="54" t="s">
        <v>146</v>
      </c>
      <c r="J48" s="52"/>
      <c r="K48" s="55">
        <v>59050.86</v>
      </c>
      <c r="L48" s="52">
        <v>21110.76</v>
      </c>
      <c r="M48" s="52"/>
      <c r="N48" s="56">
        <v>21110.76</v>
      </c>
      <c r="O48" s="53">
        <v>862943.04</v>
      </c>
      <c r="P48" s="57">
        <v>-53085.24</v>
      </c>
      <c r="Q48" s="58">
        <v>809857.8</v>
      </c>
    </row>
    <row r="49" spans="1:17">
      <c r="A49" s="51" t="s">
        <v>12</v>
      </c>
      <c r="B49" s="52">
        <v>1951187.68</v>
      </c>
      <c r="C49" s="52">
        <v>1028892.55</v>
      </c>
      <c r="D49" s="52"/>
      <c r="E49" s="52">
        <v>47336.35</v>
      </c>
      <c r="F49" s="52">
        <v>57745.19</v>
      </c>
      <c r="G49" s="53">
        <v>3085161.77</v>
      </c>
      <c r="H49" s="52">
        <v>104371.89</v>
      </c>
      <c r="I49" s="54">
        <v>236961.81</v>
      </c>
      <c r="J49" s="52"/>
      <c r="K49" s="55">
        <v>341333.7</v>
      </c>
      <c r="L49" s="52">
        <v>96267.01</v>
      </c>
      <c r="M49" s="52"/>
      <c r="N49" s="56">
        <v>96267.01</v>
      </c>
      <c r="O49" s="53">
        <v>3522762.48</v>
      </c>
      <c r="P49" s="57">
        <v>-243952.02</v>
      </c>
      <c r="Q49" s="58">
        <v>3278810.46</v>
      </c>
    </row>
    <row r="50" spans="1:17">
      <c r="A50" s="51" t="s">
        <v>13</v>
      </c>
      <c r="B50" s="52">
        <v>153771.67000000001</v>
      </c>
      <c r="C50" s="52">
        <v>23590.71</v>
      </c>
      <c r="D50" s="52"/>
      <c r="E50" s="52">
        <v>2562.2199999999998</v>
      </c>
      <c r="F50" s="52">
        <v>3125.63</v>
      </c>
      <c r="G50" s="53">
        <v>183050.23</v>
      </c>
      <c r="H50" s="52">
        <v>42935.79</v>
      </c>
      <c r="I50" s="54" t="s">
        <v>146</v>
      </c>
      <c r="J50" s="52"/>
      <c r="K50" s="55">
        <v>42935.79</v>
      </c>
      <c r="L50" s="52">
        <v>16516.080000000002</v>
      </c>
      <c r="M50" s="52"/>
      <c r="N50" s="56">
        <v>16516.080000000002</v>
      </c>
      <c r="O50" s="53">
        <v>242502.1</v>
      </c>
      <c r="P50" s="57">
        <v>-13204.62</v>
      </c>
      <c r="Q50" s="58">
        <v>229297.48</v>
      </c>
    </row>
    <row r="51" spans="1:17">
      <c r="A51" s="51" t="s">
        <v>14</v>
      </c>
      <c r="B51" s="52">
        <v>1231513.75</v>
      </c>
      <c r="C51" s="52">
        <v>763742.29</v>
      </c>
      <c r="D51" s="52"/>
      <c r="E51" s="52">
        <v>26683.31</v>
      </c>
      <c r="F51" s="52">
        <v>32550.73</v>
      </c>
      <c r="G51" s="53">
        <v>2054490.08</v>
      </c>
      <c r="H51" s="52">
        <v>157250.60999999999</v>
      </c>
      <c r="I51" s="54">
        <v>212912.92</v>
      </c>
      <c r="J51" s="52"/>
      <c r="K51" s="55">
        <v>370163.53</v>
      </c>
      <c r="L51" s="52">
        <v>42421.240000000005</v>
      </c>
      <c r="M51" s="52"/>
      <c r="N51" s="56">
        <v>42421.240000000005</v>
      </c>
      <c r="O51" s="53">
        <v>2467074.85</v>
      </c>
      <c r="P51" s="57">
        <v>-137514.78</v>
      </c>
      <c r="Q51" s="58">
        <v>2329560.0700000003</v>
      </c>
    </row>
    <row r="52" spans="1:17">
      <c r="A52" s="51" t="s">
        <v>15</v>
      </c>
      <c r="B52" s="52">
        <v>666322.37</v>
      </c>
      <c r="C52" s="52">
        <v>440723.62</v>
      </c>
      <c r="D52" s="52"/>
      <c r="E52" s="52">
        <v>11413.52</v>
      </c>
      <c r="F52" s="52">
        <v>13923.25</v>
      </c>
      <c r="G52" s="53">
        <v>1132382.76</v>
      </c>
      <c r="H52" s="52">
        <v>181192.79</v>
      </c>
      <c r="I52" s="54">
        <v>247235.22</v>
      </c>
      <c r="J52" s="52"/>
      <c r="K52" s="55">
        <v>428428.01</v>
      </c>
      <c r="L52" s="52">
        <v>25696.13</v>
      </c>
      <c r="M52" s="52"/>
      <c r="N52" s="56">
        <v>25696.13</v>
      </c>
      <c r="O52" s="53">
        <v>1586506.9</v>
      </c>
      <c r="P52" s="57">
        <v>-58820.58</v>
      </c>
      <c r="Q52" s="58">
        <v>1527686.3199999998</v>
      </c>
    </row>
    <row r="53" spans="1:17">
      <c r="A53" s="51"/>
      <c r="B53" s="52"/>
      <c r="C53" s="52"/>
      <c r="D53" s="52"/>
      <c r="E53" s="52"/>
      <c r="F53" s="52"/>
      <c r="G53" s="53"/>
      <c r="H53" s="52"/>
      <c r="I53" s="54"/>
      <c r="J53" s="52"/>
      <c r="K53" s="55"/>
      <c r="L53" s="52"/>
      <c r="M53" s="52"/>
      <c r="N53" s="56"/>
      <c r="O53" s="53"/>
      <c r="P53" s="57"/>
      <c r="Q53" s="58"/>
    </row>
    <row r="54" spans="1:17">
      <c r="A54" s="51" t="s">
        <v>16</v>
      </c>
      <c r="B54" s="52">
        <v>4646104.0599999996</v>
      </c>
      <c r="C54" s="52">
        <v>2338647.77</v>
      </c>
      <c r="D54" s="52">
        <v>283752</v>
      </c>
      <c r="E54" s="52">
        <v>197748.09</v>
      </c>
      <c r="F54" s="52">
        <v>241231.13</v>
      </c>
      <c r="G54" s="53">
        <v>7707483.0499999998</v>
      </c>
      <c r="H54" s="52">
        <v>0</v>
      </c>
      <c r="I54" s="54" t="s">
        <v>146</v>
      </c>
      <c r="J54" s="52"/>
      <c r="K54" s="55">
        <v>0</v>
      </c>
      <c r="L54" s="52">
        <v>198207.18</v>
      </c>
      <c r="M54" s="52"/>
      <c r="N54" s="56">
        <v>198207.18</v>
      </c>
      <c r="O54" s="53">
        <v>7905690.2299999995</v>
      </c>
      <c r="P54" s="57">
        <v>-1528668.18</v>
      </c>
      <c r="Q54" s="58">
        <v>6377022.0499999998</v>
      </c>
    </row>
    <row r="55" spans="1:17">
      <c r="A55" s="51"/>
      <c r="B55" s="52"/>
      <c r="C55" s="52"/>
      <c r="D55" s="52"/>
      <c r="E55" s="52"/>
      <c r="F55" s="52"/>
      <c r="G55" s="53"/>
      <c r="H55" s="52"/>
      <c r="I55" s="54"/>
      <c r="J55" s="52"/>
      <c r="K55" s="55"/>
      <c r="L55" s="52"/>
      <c r="M55" s="52"/>
      <c r="N55" s="56"/>
      <c r="O55" s="53"/>
      <c r="P55" s="57"/>
      <c r="Q55" s="58"/>
    </row>
    <row r="56" spans="1:17">
      <c r="A56" s="51" t="s">
        <v>144</v>
      </c>
      <c r="B56" s="52"/>
      <c r="C56" s="52"/>
      <c r="D56" s="52"/>
      <c r="E56" s="52"/>
      <c r="F56" s="52"/>
      <c r="G56" s="53"/>
      <c r="H56" s="52"/>
      <c r="I56" s="54"/>
      <c r="J56" s="52"/>
      <c r="K56" s="55"/>
      <c r="L56" s="52"/>
      <c r="M56" s="52"/>
      <c r="N56" s="56">
        <v>0</v>
      </c>
      <c r="O56" s="53">
        <v>0</v>
      </c>
      <c r="P56" s="57"/>
      <c r="Q56" s="58">
        <v>0</v>
      </c>
    </row>
    <row r="57" spans="1:17">
      <c r="A57" s="59" t="s">
        <v>145</v>
      </c>
      <c r="B57" s="60">
        <v>21885797.589999996</v>
      </c>
      <c r="C57" s="60">
        <v>12164614.790000001</v>
      </c>
      <c r="D57" s="60">
        <v>283752</v>
      </c>
      <c r="E57" s="60">
        <v>620307.19000000006</v>
      </c>
      <c r="F57" s="60">
        <v>756707.16999999993</v>
      </c>
      <c r="G57" s="61">
        <v>35711178.740000002</v>
      </c>
      <c r="H57" s="60">
        <v>1843320.5899999999</v>
      </c>
      <c r="I57" s="60">
        <v>2445502.2400000002</v>
      </c>
      <c r="J57" s="60"/>
      <c r="K57" s="61">
        <v>4288822.83</v>
      </c>
      <c r="L57" s="60">
        <v>954452.95</v>
      </c>
      <c r="M57" s="60">
        <v>0</v>
      </c>
      <c r="N57" s="62">
        <v>954452.95</v>
      </c>
      <c r="O57" s="61">
        <v>40954454.520000003</v>
      </c>
      <c r="P57" s="63">
        <v>-3865752.54</v>
      </c>
      <c r="Q57" s="64">
        <v>37088701.980000004</v>
      </c>
    </row>
  </sheetData>
  <pageMargins left="0.7" right="0.7" top="0.75" bottom="0.75" header="0.3" footer="0.3"/>
  <pageSetup paperSize="9" orientation="landscape" r:id="rId1"/>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zoomScaleNormal="100" workbookViewId="0">
      <selection activeCell="B23" sqref="B23"/>
    </sheetView>
  </sheetViews>
  <sheetFormatPr defaultColWidth="8.765625" defaultRowHeight="14.5"/>
  <cols>
    <col min="1" max="1" width="16.07421875" style="7" customWidth="1"/>
    <col min="2" max="2" width="12.765625" style="7" customWidth="1"/>
    <col min="3" max="16384" width="8.765625" style="7"/>
  </cols>
  <sheetData>
    <row r="1" spans="1:3" ht="15.5">
      <c r="A1" s="17" t="s">
        <v>75</v>
      </c>
    </row>
    <row r="2" spans="1:3">
      <c r="A2" s="7" t="s">
        <v>81</v>
      </c>
    </row>
    <row r="4" spans="1:3">
      <c r="A4" s="294" t="e">
        <f>#REF!</f>
        <v>#REF!</v>
      </c>
    </row>
    <row r="5" spans="1:3">
      <c r="A5" s="294"/>
    </row>
    <row r="6" spans="1:3" ht="24.5">
      <c r="A6" s="136"/>
      <c r="B6" s="295" t="s">
        <v>170</v>
      </c>
    </row>
    <row r="7" spans="1:3">
      <c r="A7" s="183" t="s">
        <v>1</v>
      </c>
      <c r="B7" s="283">
        <f>'Skattekompl data'!G124</f>
        <v>68628.899999999994</v>
      </c>
      <c r="C7" s="99"/>
    </row>
    <row r="8" spans="1:3">
      <c r="A8" s="183" t="s">
        <v>2</v>
      </c>
      <c r="B8" s="283">
        <f>'Skattekompl data'!G125</f>
        <v>1146699.67</v>
      </c>
      <c r="C8" s="99"/>
    </row>
    <row r="9" spans="1:3">
      <c r="A9" s="183" t="s">
        <v>3</v>
      </c>
      <c r="B9" s="283">
        <f>'Skattekompl data'!G126</f>
        <v>2648623.6</v>
      </c>
      <c r="C9" s="99"/>
    </row>
    <row r="10" spans="1:3">
      <c r="A10" s="183" t="s">
        <v>4</v>
      </c>
      <c r="B10" s="283">
        <f>'Skattekompl data'!G127</f>
        <v>478372.48</v>
      </c>
      <c r="C10" s="99"/>
    </row>
    <row r="11" spans="1:3">
      <c r="A11" s="183" t="s">
        <v>5</v>
      </c>
      <c r="B11" s="283">
        <f>'Skattekompl data'!G128</f>
        <v>977016.88</v>
      </c>
      <c r="C11" s="99"/>
    </row>
    <row r="12" spans="1:3">
      <c r="A12" s="183" t="s">
        <v>6</v>
      </c>
      <c r="B12" s="283">
        <f>'Skattekompl data'!G129</f>
        <v>2157929.5</v>
      </c>
      <c r="C12" s="99"/>
    </row>
    <row r="13" spans="1:3">
      <c r="A13" s="183" t="s">
        <v>7</v>
      </c>
      <c r="B13" s="283">
        <f>'Skattekompl data'!G130</f>
        <v>2433511</v>
      </c>
      <c r="C13" s="99"/>
    </row>
    <row r="14" spans="1:3">
      <c r="A14" s="183" t="s">
        <v>8</v>
      </c>
      <c r="B14" s="283">
        <f>'Skattekompl data'!G131</f>
        <v>287747.42</v>
      </c>
      <c r="C14" s="99"/>
    </row>
    <row r="15" spans="1:3">
      <c r="A15" s="183" t="s">
        <v>9</v>
      </c>
      <c r="B15" s="283">
        <f>'Skattekompl data'!G132</f>
        <v>296090.08</v>
      </c>
      <c r="C15" s="99"/>
    </row>
    <row r="16" spans="1:3">
      <c r="A16" s="183" t="s">
        <v>10</v>
      </c>
      <c r="B16" s="283">
        <f>'Skattekompl data'!G133</f>
        <v>1792362.93</v>
      </c>
      <c r="C16" s="99"/>
    </row>
    <row r="17" spans="1:3">
      <c r="A17" s="183" t="s">
        <v>11</v>
      </c>
      <c r="B17" s="283">
        <f>'Skattekompl data'!G134</f>
        <v>314717.59000000003</v>
      </c>
      <c r="C17" s="99"/>
    </row>
    <row r="18" spans="1:3">
      <c r="A18" s="183" t="s">
        <v>12</v>
      </c>
      <c r="B18" s="283">
        <f>'Skattekompl data'!G135</f>
        <v>1271807.68</v>
      </c>
      <c r="C18" s="99"/>
    </row>
    <row r="19" spans="1:3">
      <c r="A19" s="183" t="s">
        <v>13</v>
      </c>
      <c r="B19" s="283">
        <f>'Skattekompl data'!G136</f>
        <v>58493.25</v>
      </c>
      <c r="C19" s="99"/>
    </row>
    <row r="20" spans="1:3">
      <c r="A20" s="183" t="s">
        <v>14</v>
      </c>
      <c r="B20" s="283">
        <f>'Skattekompl data'!G137</f>
        <v>1136683.8899999999</v>
      </c>
      <c r="C20" s="99"/>
    </row>
    <row r="21" spans="1:3">
      <c r="A21" s="183" t="s">
        <v>15</v>
      </c>
      <c r="B21" s="283">
        <f>'Skattekompl data'!G138</f>
        <v>661780.59</v>
      </c>
      <c r="C21" s="99"/>
    </row>
    <row r="22" spans="1:3">
      <c r="A22" s="183" t="s">
        <v>16</v>
      </c>
      <c r="B22" s="283">
        <f>'Skattekompl data'!G139</f>
        <v>0</v>
      </c>
      <c r="C22" s="99"/>
    </row>
    <row r="23" spans="1:3">
      <c r="A23" s="245" t="s">
        <v>18</v>
      </c>
      <c r="B23" s="288">
        <f>SUM(B7:B22)</f>
        <v>15730465.460000001</v>
      </c>
    </row>
    <row r="26" spans="1:3">
      <c r="A26" s="101"/>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5B79-60A0-4ECC-8003-E645A9A999FA}">
  <dimension ref="A1:S266"/>
  <sheetViews>
    <sheetView topLeftCell="A109" zoomScale="110" zoomScaleNormal="110" zoomScalePageLayoutView="110" workbookViewId="0">
      <selection activeCell="H118" sqref="H118"/>
    </sheetView>
  </sheetViews>
  <sheetFormatPr defaultColWidth="8.765625" defaultRowHeight="14.5"/>
  <cols>
    <col min="1" max="2" width="12" style="457" customWidth="1"/>
    <col min="3" max="3" width="11.07421875" style="457" bestFit="1" customWidth="1"/>
    <col min="4" max="4" width="10.07421875" style="457" bestFit="1" customWidth="1"/>
    <col min="5" max="5" width="10.69140625" style="457" customWidth="1"/>
    <col min="6" max="6" width="10.53515625" style="457" bestFit="1" customWidth="1"/>
    <col min="7" max="7" width="13" style="457" bestFit="1" customWidth="1"/>
    <col min="8" max="9" width="10" style="457" bestFit="1" customWidth="1"/>
    <col min="10" max="10" width="10.765625" style="457" bestFit="1" customWidth="1"/>
    <col min="11" max="11" width="10" style="457" bestFit="1" customWidth="1"/>
    <col min="12" max="12" width="10.4609375" style="457" customWidth="1"/>
    <col min="13" max="13" width="10.23046875" style="457" customWidth="1"/>
    <col min="14" max="16" width="8.765625" style="457"/>
    <col min="17" max="17" width="9.84375" style="457" bestFit="1" customWidth="1"/>
    <col min="18" max="16384" width="8.765625" style="457"/>
  </cols>
  <sheetData>
    <row r="1" spans="1:17" ht="15.5">
      <c r="A1" s="17" t="s">
        <v>75</v>
      </c>
      <c r="E1" s="584"/>
      <c r="F1" s="584"/>
      <c r="G1" s="584"/>
      <c r="H1" s="584"/>
    </row>
    <row r="2" spans="1:17">
      <c r="A2" s="457" t="s">
        <v>81</v>
      </c>
      <c r="E2" s="584"/>
      <c r="F2" s="734"/>
      <c r="G2" s="584"/>
      <c r="H2" s="584"/>
    </row>
    <row r="3" spans="1:17">
      <c r="E3" s="584"/>
      <c r="F3" s="735"/>
      <c r="G3" s="584"/>
      <c r="H3" s="584"/>
    </row>
    <row r="4" spans="1:17">
      <c r="A4" s="67" t="s">
        <v>76</v>
      </c>
      <c r="B4" s="100"/>
      <c r="C4" s="100"/>
      <c r="D4" s="100"/>
      <c r="E4" s="134"/>
      <c r="F4" s="134"/>
      <c r="G4" s="134"/>
      <c r="H4" s="134"/>
    </row>
    <row r="5" spans="1:17">
      <c r="A5" s="67" t="s">
        <v>77</v>
      </c>
      <c r="B5" s="100"/>
      <c r="C5" s="100"/>
      <c r="D5" s="100"/>
      <c r="E5" s="100"/>
      <c r="F5" s="473"/>
      <c r="G5" s="100"/>
      <c r="H5" s="100"/>
    </row>
    <row r="6" spans="1:17">
      <c r="A6" s="100"/>
      <c r="B6" s="100"/>
      <c r="C6" s="100"/>
      <c r="D6" s="100"/>
      <c r="E6" s="100"/>
      <c r="F6" s="100"/>
      <c r="G6" s="100"/>
      <c r="H6" s="134"/>
      <c r="I6" s="584"/>
      <c r="J6" s="584"/>
    </row>
    <row r="7" spans="1:17">
      <c r="A7" s="135" t="s">
        <v>97</v>
      </c>
      <c r="B7" s="458"/>
      <c r="C7" s="136"/>
      <c r="D7" s="136"/>
      <c r="E7" s="136"/>
      <c r="F7" s="728"/>
      <c r="G7" s="100"/>
      <c r="H7" s="585"/>
      <c r="I7" s="584"/>
      <c r="J7" s="584"/>
    </row>
    <row r="8" spans="1:17" ht="15.5">
      <c r="A8" s="135"/>
      <c r="B8" s="544">
        <v>2017</v>
      </c>
      <c r="C8" s="544">
        <v>2018</v>
      </c>
      <c r="D8" s="544">
        <v>2019</v>
      </c>
      <c r="E8" s="544">
        <v>2020</v>
      </c>
      <c r="F8" s="729">
        <v>2021</v>
      </c>
      <c r="G8" s="100"/>
      <c r="H8" s="585"/>
      <c r="I8" s="315"/>
      <c r="J8" s="584"/>
      <c r="M8" s="593"/>
      <c r="N8" s="593"/>
      <c r="O8" s="593"/>
      <c r="P8" s="594"/>
      <c r="Q8" s="594"/>
    </row>
    <row r="9" spans="1:17" ht="15.5">
      <c r="A9" s="143" t="s">
        <v>1</v>
      </c>
      <c r="B9" s="120">
        <v>1374555.94</v>
      </c>
      <c r="C9" s="120">
        <v>1381792.16</v>
      </c>
      <c r="D9" s="120">
        <v>1370857.21</v>
      </c>
      <c r="E9" s="459">
        <v>1534168.66</v>
      </c>
      <c r="F9" s="119">
        <v>1851233.38</v>
      </c>
      <c r="G9" s="471"/>
      <c r="H9" s="586"/>
      <c r="I9" s="587"/>
      <c r="J9" s="584"/>
      <c r="M9" s="133"/>
      <c r="N9" s="133"/>
      <c r="O9" s="133"/>
      <c r="P9" s="133"/>
      <c r="Q9" s="590"/>
    </row>
    <row r="10" spans="1:17" ht="15.5">
      <c r="A10" s="143" t="s">
        <v>2</v>
      </c>
      <c r="B10" s="120">
        <v>2625457.94</v>
      </c>
      <c r="C10" s="120">
        <v>2562324.5499999998</v>
      </c>
      <c r="D10" s="120">
        <v>2645732.21</v>
      </c>
      <c r="E10" s="459">
        <v>2738690.15</v>
      </c>
      <c r="F10" s="119">
        <v>3015795.72</v>
      </c>
      <c r="G10" s="471"/>
      <c r="H10" s="586"/>
      <c r="I10" s="587"/>
      <c r="J10" s="584"/>
      <c r="M10" s="133"/>
      <c r="N10" s="133"/>
      <c r="O10" s="133"/>
      <c r="P10" s="133"/>
      <c r="Q10" s="590"/>
    </row>
    <row r="11" spans="1:17" ht="15.5">
      <c r="A11" s="143" t="s">
        <v>3</v>
      </c>
      <c r="B11" s="120">
        <v>7878978.1500000004</v>
      </c>
      <c r="C11" s="120">
        <v>8073236.3300000001</v>
      </c>
      <c r="D11" s="120">
        <v>8089630.9000000004</v>
      </c>
      <c r="E11" s="459">
        <v>8237998.2199999997</v>
      </c>
      <c r="F11" s="119">
        <v>8848344.6600000001</v>
      </c>
      <c r="G11" s="471"/>
      <c r="H11" s="586"/>
      <c r="I11" s="587"/>
      <c r="J11" s="584"/>
      <c r="M11" s="133"/>
      <c r="N11" s="133"/>
      <c r="O11" s="133"/>
      <c r="P11" s="133"/>
      <c r="Q11" s="590"/>
    </row>
    <row r="12" spans="1:17" ht="15.5">
      <c r="A12" s="143" t="s">
        <v>4</v>
      </c>
      <c r="B12" s="120">
        <v>1337035.81</v>
      </c>
      <c r="C12" s="120">
        <v>1386902.35</v>
      </c>
      <c r="D12" s="120">
        <v>1442134.35</v>
      </c>
      <c r="E12" s="459">
        <v>1450755.61</v>
      </c>
      <c r="F12" s="119">
        <v>1452235.45</v>
      </c>
      <c r="G12" s="471"/>
      <c r="H12" s="586"/>
      <c r="I12" s="587"/>
      <c r="J12" s="584"/>
      <c r="M12" s="133"/>
      <c r="N12" s="133"/>
      <c r="O12" s="133"/>
      <c r="P12" s="133"/>
      <c r="Q12" s="590"/>
    </row>
    <row r="13" spans="1:17" ht="15.5">
      <c r="A13" s="143" t="s">
        <v>5</v>
      </c>
      <c r="B13" s="120">
        <v>1038546.39</v>
      </c>
      <c r="C13" s="120">
        <v>1037868.07</v>
      </c>
      <c r="D13" s="120">
        <v>1135099.51</v>
      </c>
      <c r="E13" s="459">
        <v>1124655.55</v>
      </c>
      <c r="F13" s="119">
        <v>1200259.18</v>
      </c>
      <c r="G13" s="471"/>
      <c r="H13" s="586"/>
      <c r="I13" s="587"/>
      <c r="J13" s="584"/>
      <c r="M13" s="133"/>
      <c r="N13" s="133"/>
      <c r="O13" s="133"/>
      <c r="P13" s="133"/>
      <c r="Q13" s="590"/>
    </row>
    <row r="14" spans="1:17" ht="15.5">
      <c r="A14" s="143" t="s">
        <v>6</v>
      </c>
      <c r="B14" s="120">
        <v>4017029.02</v>
      </c>
      <c r="C14" s="120">
        <v>3972983.9</v>
      </c>
      <c r="D14" s="120">
        <v>4125732.91</v>
      </c>
      <c r="E14" s="459">
        <v>4269604.12</v>
      </c>
      <c r="F14" s="119">
        <v>4648811.93</v>
      </c>
      <c r="G14" s="471"/>
      <c r="H14" s="586"/>
      <c r="I14" s="587"/>
      <c r="J14" s="584"/>
      <c r="M14" s="133"/>
      <c r="N14" s="133"/>
      <c r="O14" s="133"/>
      <c r="P14" s="133"/>
      <c r="Q14" s="590"/>
    </row>
    <row r="15" spans="1:17" ht="15.5">
      <c r="A15" s="143" t="s">
        <v>7</v>
      </c>
      <c r="B15" s="120">
        <v>14846123.59</v>
      </c>
      <c r="C15" s="120">
        <v>15375760.51</v>
      </c>
      <c r="D15" s="120">
        <v>16319335.41</v>
      </c>
      <c r="E15" s="459">
        <v>17149949.43</v>
      </c>
      <c r="F15" s="119">
        <v>18091931.199999999</v>
      </c>
      <c r="G15" s="471"/>
      <c r="H15" s="586"/>
      <c r="I15" s="587"/>
      <c r="J15" s="584"/>
      <c r="M15" s="133"/>
      <c r="N15" s="133"/>
      <c r="O15" s="133"/>
      <c r="P15" s="133"/>
      <c r="Q15" s="590"/>
    </row>
    <row r="16" spans="1:17" ht="15.5">
      <c r="A16" s="143" t="s">
        <v>8</v>
      </c>
      <c r="B16" s="120">
        <v>1007971.35</v>
      </c>
      <c r="C16" s="120">
        <v>1033593.72</v>
      </c>
      <c r="D16" s="120">
        <v>1080511.8799999999</v>
      </c>
      <c r="E16" s="459">
        <v>1084547.94</v>
      </c>
      <c r="F16" s="119">
        <v>1100029.4099999999</v>
      </c>
      <c r="G16" s="471"/>
      <c r="H16" s="586"/>
      <c r="I16" s="587"/>
      <c r="J16" s="584"/>
      <c r="M16" s="133"/>
      <c r="N16" s="133"/>
      <c r="O16" s="133"/>
      <c r="P16" s="133"/>
      <c r="Q16" s="590"/>
    </row>
    <row r="17" spans="1:19" ht="15.5">
      <c r="A17" s="143" t="s">
        <v>9</v>
      </c>
      <c r="B17" s="120">
        <v>744810.09</v>
      </c>
      <c r="C17" s="120">
        <v>718849.48</v>
      </c>
      <c r="D17" s="120">
        <v>697891.37</v>
      </c>
      <c r="E17" s="459">
        <v>682528.75</v>
      </c>
      <c r="F17" s="119">
        <v>809512.49</v>
      </c>
      <c r="G17" s="471"/>
      <c r="H17" s="586"/>
      <c r="I17" s="587"/>
      <c r="J17" s="584"/>
      <c r="M17" s="133"/>
      <c r="N17" s="133"/>
      <c r="O17" s="133"/>
      <c r="P17" s="133"/>
      <c r="Q17" s="590"/>
    </row>
    <row r="18" spans="1:19" ht="15.5">
      <c r="A18" s="143" t="s">
        <v>10</v>
      </c>
      <c r="B18" s="120">
        <v>6013472</v>
      </c>
      <c r="C18" s="120">
        <v>6166536.9100000001</v>
      </c>
      <c r="D18" s="120">
        <v>6206267.9900000002</v>
      </c>
      <c r="E18" s="459">
        <v>6537844.9900000002</v>
      </c>
      <c r="F18" s="119">
        <v>7106191.2999999998</v>
      </c>
      <c r="G18" s="471"/>
      <c r="H18" s="586"/>
      <c r="I18" s="587"/>
      <c r="J18" s="584"/>
      <c r="M18" s="133"/>
      <c r="N18" s="133"/>
      <c r="O18" s="133"/>
      <c r="P18" s="133"/>
      <c r="Q18" s="590"/>
    </row>
    <row r="19" spans="1:19" ht="15.5">
      <c r="A19" s="143" t="s">
        <v>11</v>
      </c>
      <c r="B19" s="120">
        <v>1258855.3600000001</v>
      </c>
      <c r="C19" s="120">
        <v>1280025.1100000001</v>
      </c>
      <c r="D19" s="120">
        <v>1326547.3700000001</v>
      </c>
      <c r="E19" s="459">
        <v>1309894.98</v>
      </c>
      <c r="F19" s="119">
        <v>1407273.38</v>
      </c>
      <c r="G19" s="471"/>
      <c r="H19" s="586"/>
      <c r="I19" s="587"/>
      <c r="J19" s="584"/>
      <c r="M19" s="133"/>
      <c r="N19" s="133"/>
      <c r="O19" s="133"/>
      <c r="P19" s="133"/>
      <c r="Q19" s="590"/>
    </row>
    <row r="20" spans="1:19" ht="15.5">
      <c r="A20" s="143" t="s">
        <v>16</v>
      </c>
      <c r="B20" s="120">
        <v>41114952.579999998</v>
      </c>
      <c r="C20" s="120">
        <v>41299417.530000001</v>
      </c>
      <c r="D20" s="120">
        <v>41617727.32</v>
      </c>
      <c r="E20" s="459">
        <v>41669610.390000001</v>
      </c>
      <c r="F20" s="119">
        <v>43343000.359999999</v>
      </c>
      <c r="G20" s="471"/>
      <c r="H20" s="586"/>
      <c r="I20" s="587"/>
      <c r="J20" s="584"/>
      <c r="M20" s="133"/>
      <c r="N20" s="133"/>
      <c r="O20" s="133"/>
      <c r="P20" s="133"/>
      <c r="Q20" s="590"/>
    </row>
    <row r="21" spans="1:19" ht="15.5">
      <c r="A21" s="143" t="s">
        <v>12</v>
      </c>
      <c r="B21" s="120">
        <v>4943842.38</v>
      </c>
      <c r="C21" s="120">
        <v>5194599.7</v>
      </c>
      <c r="D21" s="120">
        <v>5283920.41</v>
      </c>
      <c r="E21" s="459">
        <v>5591228.9199999999</v>
      </c>
      <c r="F21" s="119">
        <v>5772827.6399999997</v>
      </c>
      <c r="G21" s="471"/>
      <c r="H21" s="586"/>
      <c r="I21" s="587"/>
      <c r="J21" s="584"/>
      <c r="M21" s="133"/>
      <c r="N21" s="133"/>
      <c r="O21" s="133"/>
      <c r="P21" s="133"/>
      <c r="Q21" s="590"/>
    </row>
    <row r="22" spans="1:19" ht="15.5">
      <c r="A22" s="143" t="s">
        <v>13</v>
      </c>
      <c r="B22" s="120">
        <v>336635.77</v>
      </c>
      <c r="C22" s="120">
        <v>346451.14</v>
      </c>
      <c r="D22" s="120">
        <v>311761.05</v>
      </c>
      <c r="E22" s="459">
        <v>311876.52</v>
      </c>
      <c r="F22" s="119">
        <v>353900.42</v>
      </c>
      <c r="G22" s="471"/>
      <c r="H22" s="586"/>
      <c r="I22" s="587"/>
      <c r="J22" s="584"/>
      <c r="M22" s="133"/>
      <c r="N22" s="133"/>
      <c r="O22" s="133"/>
      <c r="P22" s="133"/>
      <c r="Q22" s="590"/>
    </row>
    <row r="23" spans="1:19" ht="15.5">
      <c r="A23" s="143" t="s">
        <v>14</v>
      </c>
      <c r="B23" s="120">
        <v>3244647.84</v>
      </c>
      <c r="C23" s="120">
        <v>3278888.22</v>
      </c>
      <c r="D23" s="120">
        <v>3306398.09</v>
      </c>
      <c r="E23" s="459">
        <v>3402719.87</v>
      </c>
      <c r="F23" s="119">
        <v>3526558.97</v>
      </c>
      <c r="G23" s="471"/>
      <c r="H23" s="586"/>
      <c r="I23" s="587"/>
      <c r="J23" s="584"/>
      <c r="M23" s="133"/>
      <c r="N23" s="133"/>
      <c r="O23" s="133"/>
      <c r="P23" s="133"/>
      <c r="Q23" s="590"/>
    </row>
    <row r="24" spans="1:19" ht="15.5">
      <c r="A24" s="135" t="s">
        <v>15</v>
      </c>
      <c r="B24" s="121">
        <v>1202289.3899999999</v>
      </c>
      <c r="C24" s="121">
        <v>1184808.6100000001</v>
      </c>
      <c r="D24" s="121">
        <v>1317087.79</v>
      </c>
      <c r="E24" s="459">
        <v>1308980.8</v>
      </c>
      <c r="F24" s="119">
        <v>1332748.55</v>
      </c>
      <c r="G24" s="471"/>
      <c r="H24" s="586"/>
      <c r="I24" s="587"/>
      <c r="J24" s="584"/>
      <c r="M24" s="133"/>
      <c r="N24" s="133"/>
      <c r="O24" s="133"/>
      <c r="P24" s="133"/>
      <c r="Q24" s="590"/>
    </row>
    <row r="25" spans="1:19">
      <c r="A25" s="143" t="s">
        <v>18</v>
      </c>
      <c r="B25" s="287">
        <v>92985203.599999994</v>
      </c>
      <c r="C25" s="287">
        <v>94294038.289999992</v>
      </c>
      <c r="D25" s="287">
        <v>96276635.770000011</v>
      </c>
      <c r="E25" s="293">
        <v>98405054.899999991</v>
      </c>
      <c r="F25" s="730">
        <f>SUM(F9:F24)</f>
        <v>103860654.03999999</v>
      </c>
      <c r="G25" s="100"/>
      <c r="H25" s="588"/>
      <c r="I25" s="584"/>
      <c r="J25" s="584"/>
      <c r="M25" s="591"/>
      <c r="N25" s="591"/>
      <c r="O25" s="591"/>
      <c r="P25" s="591"/>
      <c r="Q25" s="591"/>
    </row>
    <row r="26" spans="1:19" ht="15.5">
      <c r="A26" s="535" t="s">
        <v>238</v>
      </c>
      <c r="B26" s="100"/>
      <c r="C26" s="398">
        <v>44872</v>
      </c>
      <c r="D26" s="134"/>
      <c r="E26" s="134"/>
      <c r="F26" s="134"/>
      <c r="G26" s="100"/>
      <c r="H26" s="134"/>
      <c r="I26" s="584"/>
      <c r="J26" s="584"/>
      <c r="M26" s="546"/>
      <c r="N26" s="546"/>
      <c r="O26" s="546"/>
      <c r="P26" s="546"/>
      <c r="Q26" s="546"/>
    </row>
    <row r="27" spans="1:19">
      <c r="A27" s="95"/>
      <c r="B27" s="100"/>
      <c r="C27" s="100"/>
      <c r="D27" s="100"/>
      <c r="E27" s="100"/>
      <c r="F27" s="134"/>
      <c r="G27" s="100"/>
      <c r="H27" s="100"/>
      <c r="P27" s="756" t="s">
        <v>512</v>
      </c>
    </row>
    <row r="28" spans="1:19">
      <c r="A28" s="135" t="s">
        <v>98</v>
      </c>
      <c r="B28" s="136"/>
      <c r="C28" s="136"/>
      <c r="D28" s="136"/>
      <c r="E28" s="136"/>
      <c r="F28" s="731"/>
      <c r="G28" s="136"/>
      <c r="H28" s="136"/>
      <c r="P28" s="757" t="s">
        <v>510</v>
      </c>
    </row>
    <row r="29" spans="1:19" ht="15.5">
      <c r="A29" s="137" t="s">
        <v>19</v>
      </c>
      <c r="B29" s="137">
        <v>2017</v>
      </c>
      <c r="C29" s="137">
        <v>2018</v>
      </c>
      <c r="D29" s="137">
        <v>2019</v>
      </c>
      <c r="E29" s="137">
        <v>2020</v>
      </c>
      <c r="F29" s="137">
        <v>2021</v>
      </c>
      <c r="G29" s="313">
        <v>2022</v>
      </c>
      <c r="H29" s="512">
        <v>2023</v>
      </c>
      <c r="I29" s="359"/>
      <c r="J29" s="359"/>
      <c r="P29" s="457">
        <v>2022</v>
      </c>
      <c r="Q29" s="457">
        <v>2023</v>
      </c>
      <c r="R29" s="457">
        <v>2022</v>
      </c>
      <c r="S29" s="457">
        <v>2023</v>
      </c>
    </row>
    <row r="30" spans="1:19" ht="15.5">
      <c r="A30" s="143" t="s">
        <v>1</v>
      </c>
      <c r="B30" s="139">
        <v>0.16750000000000001</v>
      </c>
      <c r="C30" s="139">
        <v>0.16750000000000001</v>
      </c>
      <c r="D30" s="139">
        <v>0.16750000000000001</v>
      </c>
      <c r="E30" s="140">
        <v>0.16750000000000001</v>
      </c>
      <c r="F30" s="140">
        <v>0.17749999999999999</v>
      </c>
      <c r="G30" s="314">
        <v>0.17749999999999999</v>
      </c>
      <c r="H30" s="598">
        <v>0.17749999999999999</v>
      </c>
      <c r="I30" s="460"/>
      <c r="J30" s="359"/>
      <c r="K30" s="461"/>
      <c r="Q30" s="598">
        <v>17.75</v>
      </c>
      <c r="S30" s="476">
        <f t="shared" ref="S30:S46" si="0">Q30/100</f>
        <v>0.17749999999999999</v>
      </c>
    </row>
    <row r="31" spans="1:19" ht="15.5">
      <c r="A31" s="198" t="s">
        <v>2</v>
      </c>
      <c r="B31" s="139">
        <v>0.185</v>
      </c>
      <c r="C31" s="139">
        <v>0.185</v>
      </c>
      <c r="D31" s="139">
        <v>0.185</v>
      </c>
      <c r="E31" s="140">
        <v>0.185</v>
      </c>
      <c r="F31" s="140">
        <v>0.19</v>
      </c>
      <c r="G31" s="314">
        <v>0.19</v>
      </c>
      <c r="H31" s="598">
        <v>0.185</v>
      </c>
      <c r="I31" s="462"/>
      <c r="J31" s="359"/>
      <c r="K31" s="461"/>
      <c r="Q31" s="598">
        <v>18.5</v>
      </c>
      <c r="S31" s="476">
        <f t="shared" si="0"/>
        <v>0.185</v>
      </c>
    </row>
    <row r="32" spans="1:19" ht="15.5">
      <c r="A32" s="198" t="s">
        <v>3</v>
      </c>
      <c r="B32" s="139">
        <v>0.19</v>
      </c>
      <c r="C32" s="139">
        <v>0.19</v>
      </c>
      <c r="D32" s="139">
        <v>0.185</v>
      </c>
      <c r="E32" s="140">
        <v>0.185</v>
      </c>
      <c r="F32" s="140">
        <v>0.19500000000000001</v>
      </c>
      <c r="G32" s="314">
        <v>0.19500000000000001</v>
      </c>
      <c r="H32" s="598">
        <v>0.19500000000000001</v>
      </c>
      <c r="I32" s="462"/>
      <c r="J32" s="359"/>
      <c r="K32" s="461"/>
      <c r="Q32" s="598">
        <v>19.5</v>
      </c>
      <c r="S32" s="476">
        <f t="shared" si="0"/>
        <v>0.19500000000000001</v>
      </c>
    </row>
    <row r="33" spans="1:19" ht="15.5">
      <c r="A33" s="198" t="s">
        <v>4</v>
      </c>
      <c r="B33" s="139">
        <v>0.17249999999999999</v>
      </c>
      <c r="C33" s="139">
        <v>0.17499999999999999</v>
      </c>
      <c r="D33" s="139">
        <v>0.17499999999999999</v>
      </c>
      <c r="E33" s="140">
        <v>0.17499999999999999</v>
      </c>
      <c r="F33" s="140">
        <v>0.17499999999999999</v>
      </c>
      <c r="G33" s="314">
        <v>0.17499999999999999</v>
      </c>
      <c r="H33" s="598">
        <v>0.17499999999999999</v>
      </c>
      <c r="I33" s="462"/>
      <c r="J33" s="359"/>
      <c r="K33" s="461"/>
      <c r="Q33" s="598">
        <v>17.5</v>
      </c>
      <c r="S33" s="476">
        <f t="shared" si="0"/>
        <v>0.17499999999999999</v>
      </c>
    </row>
    <row r="34" spans="1:19" ht="15.5">
      <c r="A34" s="198" t="s">
        <v>5</v>
      </c>
      <c r="B34" s="139">
        <v>0.17499999999999999</v>
      </c>
      <c r="C34" s="139">
        <v>0.17499999999999999</v>
      </c>
      <c r="D34" s="139">
        <v>0.185</v>
      </c>
      <c r="E34" s="140">
        <v>0.185</v>
      </c>
      <c r="F34" s="140">
        <v>0.185</v>
      </c>
      <c r="G34" s="314">
        <v>0.185</v>
      </c>
      <c r="H34" s="598">
        <v>0.185</v>
      </c>
      <c r="I34" s="462"/>
      <c r="J34" s="359"/>
      <c r="K34" s="461"/>
      <c r="Q34" s="598">
        <v>18.5</v>
      </c>
      <c r="S34" s="476">
        <f t="shared" si="0"/>
        <v>0.185</v>
      </c>
    </row>
    <row r="35" spans="1:19" ht="15.5">
      <c r="A35" s="198" t="s">
        <v>6</v>
      </c>
      <c r="B35" s="139">
        <v>0.17249999999999999</v>
      </c>
      <c r="C35" s="139">
        <v>0.17249999999999999</v>
      </c>
      <c r="D35" s="139">
        <v>0.17249999999999999</v>
      </c>
      <c r="E35" s="140">
        <v>0.17249999999999999</v>
      </c>
      <c r="F35" s="140">
        <v>0.18</v>
      </c>
      <c r="G35" s="314">
        <v>0.18</v>
      </c>
      <c r="H35" s="598">
        <v>0.18</v>
      </c>
      <c r="I35" s="462"/>
      <c r="J35" s="359"/>
      <c r="K35" s="461"/>
      <c r="Q35" s="598">
        <v>18</v>
      </c>
      <c r="S35" s="476">
        <f t="shared" si="0"/>
        <v>0.18</v>
      </c>
    </row>
    <row r="36" spans="1:19" ht="15.5">
      <c r="A36" s="198" t="s">
        <v>7</v>
      </c>
      <c r="B36" s="139">
        <v>0.16500000000000001</v>
      </c>
      <c r="C36" s="139">
        <v>0.16500000000000001</v>
      </c>
      <c r="D36" s="139">
        <v>0.16500000000000001</v>
      </c>
      <c r="E36" s="140">
        <v>0.16500000000000001</v>
      </c>
      <c r="F36" s="140">
        <v>0.16500000000000001</v>
      </c>
      <c r="G36" s="314">
        <v>0.16500000000000001</v>
      </c>
      <c r="H36" s="598">
        <v>0.16500000000000001</v>
      </c>
      <c r="I36" s="462"/>
      <c r="J36" s="359"/>
      <c r="K36" s="461"/>
      <c r="Q36" s="598">
        <v>16.5</v>
      </c>
      <c r="S36" s="476">
        <f t="shared" si="0"/>
        <v>0.16500000000000001</v>
      </c>
    </row>
    <row r="37" spans="1:19" ht="15.5">
      <c r="A37" s="198" t="s">
        <v>8</v>
      </c>
      <c r="B37" s="139">
        <v>0.19</v>
      </c>
      <c r="C37" s="139">
        <v>0.19</v>
      </c>
      <c r="D37" s="139">
        <v>0.185</v>
      </c>
      <c r="E37" s="140">
        <v>0.185</v>
      </c>
      <c r="F37" s="140">
        <v>0.185</v>
      </c>
      <c r="G37" s="314">
        <v>0.185</v>
      </c>
      <c r="H37" s="598">
        <v>0.185</v>
      </c>
      <c r="I37" s="462"/>
      <c r="J37" s="359"/>
      <c r="K37" s="461"/>
      <c r="Q37" s="598">
        <v>18.5</v>
      </c>
      <c r="S37" s="476">
        <f t="shared" si="0"/>
        <v>0.185</v>
      </c>
    </row>
    <row r="38" spans="1:19" ht="15.5">
      <c r="A38" s="198" t="s">
        <v>9</v>
      </c>
      <c r="B38" s="139">
        <v>0.19750000000000001</v>
      </c>
      <c r="C38" s="139">
        <v>0.19750000000000001</v>
      </c>
      <c r="D38" s="139">
        <v>0.19750000000000001</v>
      </c>
      <c r="E38" s="140">
        <v>0.19750000000000001</v>
      </c>
      <c r="F38" s="140">
        <v>0.19750000000000001</v>
      </c>
      <c r="G38" s="314">
        <v>0.19750000000000001</v>
      </c>
      <c r="H38" s="598">
        <v>0.19750000000000001</v>
      </c>
      <c r="I38" s="462"/>
      <c r="J38" s="359"/>
      <c r="K38" s="461"/>
      <c r="Q38" s="598">
        <v>19.75</v>
      </c>
      <c r="S38" s="476">
        <f t="shared" si="0"/>
        <v>0.19750000000000001</v>
      </c>
    </row>
    <row r="39" spans="1:19" ht="15.5">
      <c r="A39" s="198" t="s">
        <v>10</v>
      </c>
      <c r="B39" s="139">
        <v>0.16750000000000001</v>
      </c>
      <c r="C39" s="139">
        <v>0.16750000000000001</v>
      </c>
      <c r="D39" s="139">
        <v>0.16750000000000001</v>
      </c>
      <c r="E39" s="140">
        <v>0.17</v>
      </c>
      <c r="F39" s="140">
        <v>0.17</v>
      </c>
      <c r="G39" s="314">
        <v>0.17499999999999999</v>
      </c>
      <c r="H39" s="598">
        <v>0.17499999999999999</v>
      </c>
      <c r="I39" s="462"/>
      <c r="J39" s="359"/>
      <c r="K39" s="461"/>
      <c r="Q39" s="598">
        <v>17.5</v>
      </c>
      <c r="S39" s="476">
        <f t="shared" si="0"/>
        <v>0.17499999999999999</v>
      </c>
    </row>
    <row r="40" spans="1:19" ht="15.5">
      <c r="A40" s="198" t="s">
        <v>11</v>
      </c>
      <c r="B40" s="139">
        <v>0.19500000000000001</v>
      </c>
      <c r="C40" s="139">
        <v>0.19500000000000001</v>
      </c>
      <c r="D40" s="139">
        <v>0.19500000000000001</v>
      </c>
      <c r="E40" s="140">
        <v>0.19500000000000001</v>
      </c>
      <c r="F40" s="140">
        <v>0.19500000000000001</v>
      </c>
      <c r="G40" s="314">
        <v>0.19500000000000001</v>
      </c>
      <c r="H40" s="598">
        <v>0.19500000000000001</v>
      </c>
      <c r="I40" s="462"/>
      <c r="J40" s="359"/>
      <c r="K40" s="461"/>
      <c r="Q40" s="598">
        <v>19.5</v>
      </c>
      <c r="S40" s="476">
        <f t="shared" si="0"/>
        <v>0.19500000000000001</v>
      </c>
    </row>
    <row r="41" spans="1:19" ht="15.5">
      <c r="A41" s="198" t="s">
        <v>12</v>
      </c>
      <c r="B41" s="139">
        <v>0.16750000000000001</v>
      </c>
      <c r="C41" s="139">
        <v>0.17</v>
      </c>
      <c r="D41" s="139">
        <v>0.17249999999999999</v>
      </c>
      <c r="E41" s="140">
        <v>0.18</v>
      </c>
      <c r="F41" s="140">
        <v>0.185</v>
      </c>
      <c r="G41" s="314">
        <v>0.185</v>
      </c>
      <c r="H41" s="598">
        <v>0.1825</v>
      </c>
      <c r="I41" s="462"/>
      <c r="J41" s="359"/>
      <c r="K41" s="461"/>
      <c r="Q41" s="598">
        <v>18.25</v>
      </c>
      <c r="S41" s="476">
        <f t="shared" si="0"/>
        <v>0.1825</v>
      </c>
    </row>
    <row r="42" spans="1:19" ht="15.5">
      <c r="A42" s="198" t="s">
        <v>13</v>
      </c>
      <c r="B42" s="139">
        <v>0.18</v>
      </c>
      <c r="C42" s="139">
        <v>0.18</v>
      </c>
      <c r="D42" s="139">
        <v>0.18</v>
      </c>
      <c r="E42" s="140">
        <v>0.18</v>
      </c>
      <c r="F42" s="140">
        <v>0.18</v>
      </c>
      <c r="G42" s="314">
        <v>0.18</v>
      </c>
      <c r="H42" s="598">
        <v>0.18</v>
      </c>
      <c r="I42" s="462"/>
      <c r="J42" s="359"/>
      <c r="K42" s="461"/>
      <c r="Q42" s="598">
        <v>18</v>
      </c>
      <c r="S42" s="476">
        <f t="shared" si="0"/>
        <v>0.18</v>
      </c>
    </row>
    <row r="43" spans="1:19" ht="15.5">
      <c r="A43" s="198" t="s">
        <v>14</v>
      </c>
      <c r="B43" s="139">
        <v>0.19500000000000001</v>
      </c>
      <c r="C43" s="139">
        <v>0.19500000000000001</v>
      </c>
      <c r="D43" s="139">
        <v>0.19500000000000001</v>
      </c>
      <c r="E43" s="140">
        <v>0.19500000000000001</v>
      </c>
      <c r="F43" s="140">
        <v>0.19500000000000001</v>
      </c>
      <c r="G43" s="314">
        <v>0.19500000000000001</v>
      </c>
      <c r="H43" s="598">
        <v>0.19500000000000001</v>
      </c>
      <c r="I43" s="462"/>
      <c r="J43" s="359"/>
      <c r="K43" s="461"/>
      <c r="Q43" s="598">
        <v>19.5</v>
      </c>
      <c r="S43" s="476">
        <f t="shared" si="0"/>
        <v>0.19500000000000001</v>
      </c>
    </row>
    <row r="44" spans="1:19" ht="15.5">
      <c r="A44" s="198" t="s">
        <v>15</v>
      </c>
      <c r="B44" s="139">
        <v>0.19</v>
      </c>
      <c r="C44" s="139">
        <v>0.19</v>
      </c>
      <c r="D44" s="139">
        <v>0.19</v>
      </c>
      <c r="E44" s="140">
        <v>0.19</v>
      </c>
      <c r="F44" s="140">
        <v>0.19</v>
      </c>
      <c r="G44" s="314">
        <v>0.19</v>
      </c>
      <c r="H44" s="598">
        <v>0.19</v>
      </c>
      <c r="I44" s="462"/>
      <c r="J44" s="359"/>
      <c r="K44" s="461"/>
      <c r="Q44" s="598">
        <v>19</v>
      </c>
      <c r="S44" s="476">
        <f t="shared" si="0"/>
        <v>0.19</v>
      </c>
    </row>
    <row r="45" spans="1:19" ht="15.5">
      <c r="A45" s="198" t="s">
        <v>16</v>
      </c>
      <c r="B45" s="139">
        <v>0.17749999999999999</v>
      </c>
      <c r="C45" s="139">
        <v>0.17499999999999999</v>
      </c>
      <c r="D45" s="139">
        <v>0.17249999999999999</v>
      </c>
      <c r="E45" s="140">
        <v>0.17249999999999999</v>
      </c>
      <c r="F45" s="582">
        <v>0.17249999999999999</v>
      </c>
      <c r="G45" s="314">
        <v>0.17</v>
      </c>
      <c r="H45" s="599">
        <v>0.17</v>
      </c>
      <c r="I45" s="462"/>
      <c r="J45" s="359"/>
      <c r="K45"/>
      <c r="Q45" s="599">
        <v>17</v>
      </c>
      <c r="S45" s="476">
        <f t="shared" si="0"/>
        <v>0.17</v>
      </c>
    </row>
    <row r="46" spans="1:19" ht="15.5">
      <c r="A46" s="141" t="s">
        <v>18</v>
      </c>
      <c r="B46" s="533">
        <v>0.17602999999999999</v>
      </c>
      <c r="C46" s="533">
        <v>0.1750555</v>
      </c>
      <c r="D46" s="533">
        <v>0.173736</v>
      </c>
      <c r="E46" s="528">
        <v>0.1742475</v>
      </c>
      <c r="F46" s="583">
        <v>0.17587520000000001</v>
      </c>
      <c r="G46" s="538">
        <v>0.17516545776335549</v>
      </c>
      <c r="H46" s="597">
        <f>ROUND(17.4898963861956%,7)</f>
        <v>0.174899</v>
      </c>
      <c r="I46" s="418"/>
      <c r="J46" s="359"/>
      <c r="K46" s="461"/>
      <c r="P46" s="538">
        <v>17.516545776335548</v>
      </c>
      <c r="Q46" s="597">
        <v>17.489896386195582</v>
      </c>
      <c r="R46" s="457">
        <f>P46/100</f>
        <v>0.17516545776335549</v>
      </c>
      <c r="S46" s="457">
        <f t="shared" si="0"/>
        <v>0.17489896386195583</v>
      </c>
    </row>
    <row r="47" spans="1:19" ht="15.5">
      <c r="A47" s="529" t="s">
        <v>91</v>
      </c>
      <c r="B47" s="463">
        <v>44886</v>
      </c>
      <c r="C47" s="360" t="s">
        <v>509</v>
      </c>
      <c r="D47" s="100"/>
      <c r="E47" s="100"/>
      <c r="F47" s="100"/>
      <c r="G47" s="100"/>
      <c r="H47" s="100"/>
      <c r="I47" s="359"/>
      <c r="J47" s="595" t="s">
        <v>461</v>
      </c>
      <c r="K47" s="596"/>
      <c r="L47" s="596"/>
      <c r="M47" s="596"/>
      <c r="N47" s="596"/>
      <c r="O47" s="596"/>
    </row>
    <row r="48" spans="1:19" ht="15.5">
      <c r="A48" s="100"/>
      <c r="B48" s="100"/>
      <c r="C48" s="100"/>
      <c r="D48" s="100"/>
      <c r="E48" s="100"/>
      <c r="F48" s="134"/>
      <c r="G48" s="100"/>
      <c r="H48" s="100"/>
      <c r="I48" s="100"/>
      <c r="J48" s="359"/>
    </row>
    <row r="49" spans="1:15">
      <c r="A49" s="135" t="s">
        <v>83</v>
      </c>
      <c r="B49" s="136"/>
      <c r="C49" s="136"/>
      <c r="D49" s="136"/>
      <c r="E49" s="136"/>
      <c r="F49" s="728"/>
      <c r="G49" s="100"/>
      <c r="H49" s="585"/>
      <c r="I49" s="134"/>
      <c r="J49" s="100"/>
      <c r="K49" s="546"/>
      <c r="L49" s="546"/>
      <c r="M49" s="546"/>
      <c r="N49" s="546"/>
      <c r="O49" s="546"/>
    </row>
    <row r="50" spans="1:15">
      <c r="A50" s="464" t="s">
        <v>0</v>
      </c>
      <c r="B50" s="464">
        <v>2017</v>
      </c>
      <c r="C50" s="464">
        <v>2018</v>
      </c>
      <c r="D50" s="464">
        <v>2019</v>
      </c>
      <c r="E50" s="464">
        <v>2020</v>
      </c>
      <c r="F50" s="732">
        <v>2021</v>
      </c>
      <c r="G50" s="100"/>
      <c r="H50" s="589"/>
      <c r="I50" s="134"/>
      <c r="J50" s="100"/>
      <c r="K50" s="600"/>
      <c r="L50" s="600"/>
      <c r="M50" s="600"/>
      <c r="N50" s="601"/>
      <c r="O50" s="601"/>
    </row>
    <row r="51" spans="1:15" ht="15.5">
      <c r="A51" s="143" t="s">
        <v>1</v>
      </c>
      <c r="B51" s="120">
        <v>109264.70894110328</v>
      </c>
      <c r="C51" s="120">
        <v>120678.34886334806</v>
      </c>
      <c r="D51" s="459">
        <v>179446.20539310292</v>
      </c>
      <c r="E51" s="459">
        <v>367707.71733830136</v>
      </c>
      <c r="F51" s="119">
        <v>576774.48307035281</v>
      </c>
      <c r="G51" s="450"/>
      <c r="H51" s="586"/>
      <c r="I51" s="584"/>
      <c r="K51" s="133"/>
      <c r="L51" s="133"/>
      <c r="M51" s="133"/>
      <c r="N51" s="590"/>
      <c r="O51" s="590"/>
    </row>
    <row r="52" spans="1:15" ht="15.5">
      <c r="A52" s="143" t="s">
        <v>2</v>
      </c>
      <c r="B52" s="120">
        <v>92559.619608810928</v>
      </c>
      <c r="C52" s="120">
        <v>118930.45193645117</v>
      </c>
      <c r="D52" s="459">
        <v>185607.59069554799</v>
      </c>
      <c r="E52" s="459">
        <v>255329.2065309149</v>
      </c>
      <c r="F52" s="119">
        <v>282948.23909727426</v>
      </c>
      <c r="G52" s="450"/>
      <c r="H52" s="586"/>
      <c r="I52" s="584"/>
      <c r="K52" s="133"/>
      <c r="L52" s="133"/>
      <c r="M52" s="133"/>
      <c r="N52" s="590"/>
      <c r="O52" s="590"/>
    </row>
    <row r="53" spans="1:15" ht="15.5">
      <c r="A53" s="143" t="s">
        <v>3</v>
      </c>
      <c r="B53" s="120">
        <v>510291.26516258478</v>
      </c>
      <c r="C53" s="120">
        <v>425768.981509484</v>
      </c>
      <c r="D53" s="459">
        <v>421796.37927529879</v>
      </c>
      <c r="E53" s="459">
        <v>430865.45069801976</v>
      </c>
      <c r="F53" s="119">
        <v>631267.57773169945</v>
      </c>
      <c r="G53" s="450"/>
      <c r="H53" s="586"/>
      <c r="I53" s="584"/>
      <c r="K53" s="133"/>
      <c r="L53" s="133"/>
      <c r="M53" s="133"/>
      <c r="N53" s="590"/>
      <c r="O53" s="590"/>
    </row>
    <row r="54" spans="1:15" ht="15.5">
      <c r="A54" s="143" t="s">
        <v>4</v>
      </c>
      <c r="B54" s="120">
        <v>264085.25443878735</v>
      </c>
      <c r="C54" s="120">
        <v>254599.35568326476</v>
      </c>
      <c r="D54" s="459">
        <v>265661.8322352228</v>
      </c>
      <c r="E54" s="459">
        <v>321977.47236245929</v>
      </c>
      <c r="F54" s="119">
        <v>322200.97461887798</v>
      </c>
      <c r="G54" s="450"/>
      <c r="H54" s="586"/>
      <c r="I54" s="584"/>
      <c r="K54" s="132"/>
      <c r="L54" s="132"/>
      <c r="M54" s="132"/>
      <c r="N54" s="119"/>
      <c r="O54" s="119"/>
    </row>
    <row r="55" spans="1:15" ht="15.5">
      <c r="A55" s="143" t="s">
        <v>5</v>
      </c>
      <c r="B55" s="120">
        <v>9973.0130634771722</v>
      </c>
      <c r="C55" s="120">
        <v>9054.1060813258773</v>
      </c>
      <c r="D55" s="459">
        <v>7056.5716354730439</v>
      </c>
      <c r="E55" s="459">
        <v>9583.5216717326439</v>
      </c>
      <c r="F55" s="119">
        <v>9890.5206762323996</v>
      </c>
      <c r="G55" s="450"/>
      <c r="H55" s="586"/>
      <c r="I55" s="584"/>
      <c r="K55" s="132"/>
      <c r="L55" s="132"/>
      <c r="M55" s="132"/>
      <c r="N55" s="119"/>
      <c r="O55" s="119"/>
    </row>
    <row r="56" spans="1:15" ht="15.5">
      <c r="A56" s="143" t="s">
        <v>6</v>
      </c>
      <c r="B56" s="120">
        <v>122436.02379860269</v>
      </c>
      <c r="C56" s="120">
        <v>97509.999715596379</v>
      </c>
      <c r="D56" s="459">
        <v>95228.641809040462</v>
      </c>
      <c r="E56" s="459">
        <v>102749.18802649213</v>
      </c>
      <c r="F56" s="119">
        <v>159288.03184221406</v>
      </c>
      <c r="G56" s="450"/>
      <c r="H56" s="586"/>
      <c r="I56" s="584"/>
      <c r="K56" s="132"/>
      <c r="L56" s="132"/>
      <c r="M56" s="132"/>
      <c r="N56" s="119"/>
      <c r="O56" s="119"/>
    </row>
    <row r="57" spans="1:15" ht="15.5">
      <c r="A57" s="143" t="s">
        <v>7</v>
      </c>
      <c r="B57" s="120">
        <v>1265186.7798457942</v>
      </c>
      <c r="C57" s="120">
        <v>1193093.6644828252</v>
      </c>
      <c r="D57" s="459">
        <v>1109430.3761760963</v>
      </c>
      <c r="E57" s="459">
        <v>1326546.9510283652</v>
      </c>
      <c r="F57" s="119">
        <v>1717917.7955079447</v>
      </c>
      <c r="G57" s="450"/>
      <c r="H57" s="586"/>
      <c r="I57" s="584"/>
      <c r="K57" s="132"/>
      <c r="L57" s="132"/>
      <c r="M57" s="132"/>
      <c r="N57" s="119"/>
      <c r="O57" s="119"/>
    </row>
    <row r="58" spans="1:15" ht="15.5">
      <c r="A58" s="143" t="s">
        <v>8</v>
      </c>
      <c r="B58" s="120">
        <v>11881.050189612921</v>
      </c>
      <c r="C58" s="120">
        <v>7865.339224903385</v>
      </c>
      <c r="D58" s="459">
        <v>4547.6161087604223</v>
      </c>
      <c r="E58" s="459">
        <v>5736.4502992896596</v>
      </c>
      <c r="F58" s="119">
        <v>8508.8880822157316</v>
      </c>
      <c r="G58" s="450"/>
      <c r="H58" s="586"/>
      <c r="I58" s="584"/>
      <c r="K58" s="132"/>
      <c r="L58" s="132"/>
      <c r="M58" s="132"/>
      <c r="N58" s="119"/>
      <c r="O58" s="119"/>
    </row>
    <row r="59" spans="1:15" ht="15.5">
      <c r="A59" s="143" t="s">
        <v>9</v>
      </c>
      <c r="B59" s="120">
        <v>6661.9847144754922</v>
      </c>
      <c r="C59" s="120">
        <v>4669.6912772043543</v>
      </c>
      <c r="D59" s="459">
        <v>4351.889967406114</v>
      </c>
      <c r="E59" s="459">
        <v>5980.5380505363291</v>
      </c>
      <c r="F59" s="119">
        <v>14447.835923932731</v>
      </c>
      <c r="G59" s="450"/>
      <c r="H59" s="586"/>
      <c r="I59" s="584"/>
      <c r="K59" s="132"/>
      <c r="L59" s="132"/>
      <c r="M59" s="132"/>
      <c r="N59" s="119"/>
      <c r="O59" s="119"/>
    </row>
    <row r="60" spans="1:15" ht="15.5">
      <c r="A60" s="143" t="s">
        <v>10</v>
      </c>
      <c r="B60" s="120">
        <v>106670.83804050426</v>
      </c>
      <c r="C60" s="120">
        <v>87652.550359362067</v>
      </c>
      <c r="D60" s="459">
        <v>87867.436853246356</v>
      </c>
      <c r="E60" s="459">
        <v>112789.27910843948</v>
      </c>
      <c r="F60" s="119">
        <v>147969.52421218943</v>
      </c>
      <c r="G60" s="450"/>
      <c r="H60" s="586"/>
      <c r="I60" s="584"/>
      <c r="K60" s="132"/>
      <c r="L60" s="132"/>
      <c r="M60" s="132"/>
      <c r="N60" s="119"/>
      <c r="O60" s="119"/>
    </row>
    <row r="61" spans="1:15" ht="15.5">
      <c r="A61" s="143" t="s">
        <v>11</v>
      </c>
      <c r="B61" s="120">
        <v>65537.053477713969</v>
      </c>
      <c r="C61" s="120">
        <v>66792.803778042551</v>
      </c>
      <c r="D61" s="459">
        <v>64571.628840820224</v>
      </c>
      <c r="E61" s="459">
        <v>72861.13638497112</v>
      </c>
      <c r="F61" s="119">
        <v>86179.435304053841</v>
      </c>
      <c r="G61" s="450"/>
      <c r="H61" s="586"/>
      <c r="I61" s="584"/>
      <c r="K61" s="132"/>
      <c r="L61" s="132"/>
      <c r="M61" s="132"/>
      <c r="N61" s="119"/>
      <c r="O61" s="119"/>
    </row>
    <row r="62" spans="1:15" ht="15.5">
      <c r="A62" s="143" t="s">
        <v>16</v>
      </c>
      <c r="B62" s="120">
        <v>6041759.0518243406</v>
      </c>
      <c r="C62" s="120">
        <v>6585079.2700626077</v>
      </c>
      <c r="D62" s="459">
        <v>6924606.1990823662</v>
      </c>
      <c r="E62" s="459">
        <v>6994183.800817539</v>
      </c>
      <c r="F62" s="119">
        <v>8140659.5460576974</v>
      </c>
      <c r="G62" s="450"/>
      <c r="H62" s="586"/>
      <c r="I62" s="584"/>
      <c r="K62" s="132"/>
      <c r="L62" s="132"/>
      <c r="M62" s="132"/>
      <c r="N62" s="119"/>
      <c r="O62" s="119"/>
    </row>
    <row r="63" spans="1:15" ht="15.5">
      <c r="A63" s="143" t="s">
        <v>12</v>
      </c>
      <c r="B63" s="120">
        <v>989012.13411449466</v>
      </c>
      <c r="C63" s="120">
        <v>808151.71473606664</v>
      </c>
      <c r="D63" s="459">
        <v>797363.24611327692</v>
      </c>
      <c r="E63" s="459">
        <v>985769.28779001173</v>
      </c>
      <c r="F63" s="119">
        <v>1391019.6245439257</v>
      </c>
      <c r="G63" s="450"/>
      <c r="H63" s="586"/>
      <c r="I63" s="584"/>
      <c r="K63" s="132"/>
      <c r="L63" s="132"/>
      <c r="M63" s="132"/>
      <c r="N63" s="119"/>
      <c r="O63" s="119"/>
    </row>
    <row r="64" spans="1:15" ht="15.5">
      <c r="A64" s="143" t="s">
        <v>13</v>
      </c>
      <c r="B64" s="120">
        <v>13610.233004674939</v>
      </c>
      <c r="C64" s="120">
        <v>10127.068611774806</v>
      </c>
      <c r="D64" s="459">
        <v>12899.620742496985</v>
      </c>
      <c r="E64" s="459">
        <v>12938.757888892129</v>
      </c>
      <c r="F64" s="119">
        <v>18705.4838693192</v>
      </c>
      <c r="G64" s="450"/>
      <c r="H64" s="586"/>
      <c r="I64" s="584"/>
      <c r="K64" s="132"/>
      <c r="L64" s="132"/>
      <c r="M64" s="132"/>
      <c r="N64" s="119"/>
      <c r="O64" s="119"/>
    </row>
    <row r="65" spans="1:15" ht="15.5">
      <c r="A65" s="143" t="s">
        <v>14</v>
      </c>
      <c r="B65" s="120">
        <v>41622.491883048519</v>
      </c>
      <c r="C65" s="120">
        <v>37215.236636825488</v>
      </c>
      <c r="D65" s="459">
        <v>44345.264850803127</v>
      </c>
      <c r="E65" s="459">
        <v>60442.82548226737</v>
      </c>
      <c r="F65" s="119">
        <v>96562.539221077852</v>
      </c>
      <c r="G65" s="450"/>
      <c r="H65" s="586"/>
      <c r="I65" s="584"/>
      <c r="K65" s="132"/>
      <c r="L65" s="132"/>
      <c r="M65" s="132"/>
      <c r="N65" s="119"/>
      <c r="O65" s="119"/>
    </row>
    <row r="66" spans="1:15" ht="15.5">
      <c r="A66" s="135" t="s">
        <v>15</v>
      </c>
      <c r="B66" s="121">
        <v>17249.096471974466</v>
      </c>
      <c r="C66" s="121">
        <v>20118.047445917415</v>
      </c>
      <c r="D66" s="465">
        <v>21245.694281040996</v>
      </c>
      <c r="E66" s="465">
        <v>24395.356397769829</v>
      </c>
      <c r="F66" s="733">
        <v>29294.728350992238</v>
      </c>
      <c r="G66" s="450"/>
      <c r="H66" s="586"/>
      <c r="I66" s="584"/>
      <c r="K66" s="133"/>
      <c r="L66" s="133"/>
      <c r="M66" s="133"/>
      <c r="N66" s="590"/>
      <c r="O66" s="590"/>
    </row>
    <row r="67" spans="1:15" ht="15.5">
      <c r="A67" s="143" t="s">
        <v>18</v>
      </c>
      <c r="B67" s="287">
        <v>9667800.5985799991</v>
      </c>
      <c r="C67" s="287">
        <v>9847306.6304049995</v>
      </c>
      <c r="D67" s="466">
        <v>10226026.194059998</v>
      </c>
      <c r="E67" s="466">
        <v>11089856.939876003</v>
      </c>
      <c r="F67" s="291">
        <f>SUM(F51:F66)</f>
        <v>13633635.22811</v>
      </c>
      <c r="G67"/>
      <c r="H67" s="588"/>
      <c r="I67" s="584"/>
      <c r="K67" s="591"/>
      <c r="L67" s="591"/>
      <c r="M67" s="591"/>
      <c r="N67" s="592"/>
      <c r="O67" s="592"/>
    </row>
    <row r="68" spans="1:15" ht="15.5">
      <c r="A68" s="535" t="s">
        <v>238</v>
      </c>
      <c r="B68" s="100"/>
      <c r="C68" s="398"/>
      <c r="D68" s="100"/>
      <c r="E68" s="100"/>
      <c r="F68" s="134"/>
      <c r="G68" s="100"/>
      <c r="H68"/>
      <c r="K68" s="546"/>
      <c r="L68" s="584"/>
      <c r="M68" s="584"/>
      <c r="N68" s="584"/>
      <c r="O68" s="584"/>
    </row>
    <row r="69" spans="1:15">
      <c r="A69" s="100"/>
      <c r="B69" s="100"/>
      <c r="C69" s="100"/>
      <c r="D69" s="100"/>
      <c r="E69" s="100"/>
      <c r="F69" s="134"/>
      <c r="G69" s="100"/>
      <c r="H69" s="100"/>
    </row>
    <row r="70" spans="1:15">
      <c r="A70" s="135" t="s">
        <v>230</v>
      </c>
      <c r="B70" s="136"/>
      <c r="C70" s="136"/>
      <c r="D70" s="136"/>
      <c r="E70" s="136"/>
      <c r="F70" s="136"/>
      <c r="G70" s="136"/>
      <c r="H70" s="100"/>
    </row>
    <row r="71" spans="1:15">
      <c r="A71" s="467" t="s">
        <v>42</v>
      </c>
      <c r="B71" s="467">
        <v>2017</v>
      </c>
      <c r="C71" s="467">
        <v>2018</v>
      </c>
      <c r="D71" s="467">
        <v>2019</v>
      </c>
      <c r="E71" s="467">
        <v>2020</v>
      </c>
      <c r="F71" s="467">
        <v>2021</v>
      </c>
      <c r="G71" s="545">
        <v>2022</v>
      </c>
      <c r="H71" s="100"/>
      <c r="I71" s="382" t="s">
        <v>356</v>
      </c>
    </row>
    <row r="72" spans="1:15">
      <c r="A72" s="468" t="s">
        <v>1</v>
      </c>
      <c r="B72" s="120">
        <v>471</v>
      </c>
      <c r="C72" s="120">
        <v>452</v>
      </c>
      <c r="D72" s="120">
        <v>449</v>
      </c>
      <c r="E72" s="120">
        <v>445</v>
      </c>
      <c r="F72" s="120">
        <v>449</v>
      </c>
      <c r="G72" s="120"/>
      <c r="H72" s="100"/>
      <c r="I72" s="120">
        <v>449</v>
      </c>
    </row>
    <row r="73" spans="1:15">
      <c r="A73" s="468" t="s">
        <v>2</v>
      </c>
      <c r="B73" s="120">
        <v>928</v>
      </c>
      <c r="C73" s="120">
        <v>948</v>
      </c>
      <c r="D73" s="120">
        <v>961</v>
      </c>
      <c r="E73" s="120">
        <v>952</v>
      </c>
      <c r="F73" s="120">
        <v>958</v>
      </c>
      <c r="G73" s="120"/>
      <c r="H73" s="100"/>
      <c r="I73" s="120">
        <v>933</v>
      </c>
    </row>
    <row r="74" spans="1:15">
      <c r="A74" s="468" t="s">
        <v>3</v>
      </c>
      <c r="B74" s="120">
        <v>2594</v>
      </c>
      <c r="C74" s="120">
        <v>2580</v>
      </c>
      <c r="D74" s="120">
        <v>2588</v>
      </c>
      <c r="E74" s="120">
        <v>2593</v>
      </c>
      <c r="F74" s="120">
        <v>2603</v>
      </c>
      <c r="G74" s="120"/>
      <c r="H74" s="100"/>
      <c r="I74" s="120">
        <v>2638</v>
      </c>
    </row>
    <row r="75" spans="1:15">
      <c r="A75" s="468" t="s">
        <v>4</v>
      </c>
      <c r="B75" s="120">
        <v>561</v>
      </c>
      <c r="C75" s="120">
        <v>532</v>
      </c>
      <c r="D75" s="120">
        <v>534</v>
      </c>
      <c r="E75" s="120">
        <v>531</v>
      </c>
      <c r="F75" s="120">
        <v>526</v>
      </c>
      <c r="G75" s="120"/>
      <c r="H75" s="100"/>
      <c r="I75" s="120">
        <v>501</v>
      </c>
    </row>
    <row r="76" spans="1:15">
      <c r="A76" s="468" t="s">
        <v>5</v>
      </c>
      <c r="B76" s="120">
        <v>499</v>
      </c>
      <c r="C76" s="120">
        <v>495</v>
      </c>
      <c r="D76" s="120">
        <v>514</v>
      </c>
      <c r="E76" s="120">
        <v>496</v>
      </c>
      <c r="F76" s="120">
        <v>511</v>
      </c>
      <c r="G76" s="120"/>
      <c r="H76" s="100"/>
      <c r="I76" s="120">
        <v>505</v>
      </c>
    </row>
    <row r="77" spans="1:15">
      <c r="A77" s="468" t="s">
        <v>6</v>
      </c>
      <c r="B77" s="120">
        <v>1508</v>
      </c>
      <c r="C77" s="120">
        <v>1547</v>
      </c>
      <c r="D77" s="120">
        <v>1577</v>
      </c>
      <c r="E77" s="120">
        <v>1583</v>
      </c>
      <c r="F77" s="120">
        <v>1599</v>
      </c>
      <c r="G77" s="120"/>
      <c r="H77" s="100"/>
      <c r="I77" s="120">
        <v>1619</v>
      </c>
    </row>
    <row r="78" spans="1:15">
      <c r="A78" s="468" t="s">
        <v>7</v>
      </c>
      <c r="B78" s="120">
        <v>4757</v>
      </c>
      <c r="C78" s="120">
        <v>4859</v>
      </c>
      <c r="D78" s="120">
        <v>5032</v>
      </c>
      <c r="E78" s="120">
        <v>5233</v>
      </c>
      <c r="F78" s="120">
        <v>5386</v>
      </c>
      <c r="G78" s="120"/>
      <c r="H78" s="100"/>
      <c r="I78" s="120">
        <v>5512</v>
      </c>
    </row>
    <row r="79" spans="1:15">
      <c r="A79" s="468" t="s">
        <v>8</v>
      </c>
      <c r="B79" s="120">
        <v>308</v>
      </c>
      <c r="C79" s="120">
        <v>314</v>
      </c>
      <c r="D79" s="120">
        <v>315</v>
      </c>
      <c r="E79" s="120">
        <v>314</v>
      </c>
      <c r="F79" s="120">
        <v>307</v>
      </c>
      <c r="G79" s="120"/>
      <c r="H79" s="100"/>
      <c r="I79" s="120">
        <v>313</v>
      </c>
    </row>
    <row r="80" spans="1:15">
      <c r="A80" s="468" t="s">
        <v>9</v>
      </c>
      <c r="B80" s="120">
        <v>246</v>
      </c>
      <c r="C80" s="120">
        <v>236</v>
      </c>
      <c r="D80" s="120">
        <v>236</v>
      </c>
      <c r="E80" s="120">
        <v>232</v>
      </c>
      <c r="F80" s="120">
        <v>225</v>
      </c>
      <c r="G80" s="120"/>
      <c r="H80" s="100"/>
      <c r="I80" s="120">
        <v>224</v>
      </c>
    </row>
    <row r="81" spans="1:12">
      <c r="A81" s="468" t="s">
        <v>10</v>
      </c>
      <c r="B81" s="120">
        <v>2012</v>
      </c>
      <c r="C81" s="120">
        <v>2028</v>
      </c>
      <c r="D81" s="120">
        <v>2033</v>
      </c>
      <c r="E81" s="120">
        <v>2053</v>
      </c>
      <c r="F81" s="120">
        <v>2114</v>
      </c>
      <c r="G81" s="120"/>
      <c r="H81" s="100"/>
      <c r="I81" s="120">
        <v>2135</v>
      </c>
    </row>
    <row r="82" spans="1:12">
      <c r="A82" s="468" t="s">
        <v>11</v>
      </c>
      <c r="B82" s="120">
        <v>385</v>
      </c>
      <c r="C82" s="120">
        <v>395</v>
      </c>
      <c r="D82" s="120">
        <v>382</v>
      </c>
      <c r="E82" s="120">
        <v>366</v>
      </c>
      <c r="F82" s="120">
        <v>372</v>
      </c>
      <c r="G82" s="120"/>
      <c r="H82" s="100"/>
      <c r="I82" s="120">
        <v>376</v>
      </c>
    </row>
    <row r="83" spans="1:12">
      <c r="A83" s="468" t="s">
        <v>12</v>
      </c>
      <c r="B83" s="120">
        <v>1839</v>
      </c>
      <c r="C83" s="120">
        <v>1873</v>
      </c>
      <c r="D83" s="120">
        <v>1858</v>
      </c>
      <c r="E83" s="120">
        <v>1849</v>
      </c>
      <c r="F83" s="120">
        <v>1806</v>
      </c>
      <c r="G83" s="120"/>
      <c r="H83" s="100"/>
      <c r="I83" s="120">
        <v>1810</v>
      </c>
    </row>
    <row r="84" spans="1:12">
      <c r="A84" s="468" t="s">
        <v>13</v>
      </c>
      <c r="B84" s="120">
        <v>96</v>
      </c>
      <c r="C84" s="120">
        <v>92</v>
      </c>
      <c r="D84" s="120">
        <v>91</v>
      </c>
      <c r="E84" s="120">
        <v>88</v>
      </c>
      <c r="F84" s="120">
        <v>101</v>
      </c>
      <c r="G84" s="120"/>
      <c r="H84" s="100"/>
      <c r="I84" s="120">
        <v>105</v>
      </c>
    </row>
    <row r="85" spans="1:12">
      <c r="A85" s="468" t="s">
        <v>14</v>
      </c>
      <c r="B85" s="120">
        <v>1006</v>
      </c>
      <c r="C85" s="120">
        <v>1031</v>
      </c>
      <c r="D85" s="120">
        <v>1028</v>
      </c>
      <c r="E85" s="120">
        <v>1023</v>
      </c>
      <c r="F85" s="120">
        <v>1007</v>
      </c>
      <c r="G85" s="120"/>
      <c r="H85" s="100"/>
      <c r="I85" s="120">
        <v>1019</v>
      </c>
    </row>
    <row r="86" spans="1:12">
      <c r="A86" s="468" t="s">
        <v>15</v>
      </c>
      <c r="B86" s="120">
        <v>439</v>
      </c>
      <c r="C86" s="120">
        <v>430</v>
      </c>
      <c r="D86" s="120">
        <v>448</v>
      </c>
      <c r="E86" s="120">
        <v>447</v>
      </c>
      <c r="F86" s="120">
        <v>460</v>
      </c>
      <c r="G86" s="120"/>
      <c r="H86" s="100"/>
      <c r="I86" s="120">
        <v>463</v>
      </c>
    </row>
    <row r="87" spans="1:12">
      <c r="A87" s="469" t="s">
        <v>16</v>
      </c>
      <c r="B87" s="121">
        <v>11565</v>
      </c>
      <c r="C87" s="121">
        <v>11677</v>
      </c>
      <c r="D87" s="121">
        <v>11743</v>
      </c>
      <c r="E87" s="121">
        <v>11679</v>
      </c>
      <c r="F87" s="121">
        <v>11705</v>
      </c>
      <c r="G87" s="121"/>
      <c r="H87" s="100"/>
      <c r="I87" s="121">
        <v>11742</v>
      </c>
    </row>
    <row r="88" spans="1:12">
      <c r="A88" s="468" t="s">
        <v>18</v>
      </c>
      <c r="B88" s="287">
        <v>29214</v>
      </c>
      <c r="C88" s="287">
        <v>29489</v>
      </c>
      <c r="D88" s="287">
        <v>29789</v>
      </c>
      <c r="E88" s="287">
        <v>29884</v>
      </c>
      <c r="F88" s="287">
        <v>30129</v>
      </c>
      <c r="G88" s="287"/>
      <c r="H88" s="100"/>
      <c r="I88" s="124"/>
    </row>
    <row r="89" spans="1:12">
      <c r="A89" s="27"/>
      <c r="B89" s="470"/>
      <c r="C89" s="287"/>
      <c r="D89" s="287"/>
      <c r="E89" s="287"/>
      <c r="F89" s="287"/>
      <c r="G89" s="287"/>
      <c r="H89" s="287"/>
    </row>
    <row r="90" spans="1:12">
      <c r="A90" s="100"/>
      <c r="B90" s="100"/>
      <c r="C90" s="100"/>
      <c r="D90" s="100"/>
      <c r="E90" s="100"/>
      <c r="F90" s="100"/>
      <c r="G90" s="100"/>
      <c r="H90" s="100"/>
    </row>
    <row r="91" spans="1:12">
      <c r="A91" s="143" t="s">
        <v>182</v>
      </c>
      <c r="B91" s="100"/>
      <c r="C91" s="100"/>
      <c r="D91" s="100"/>
      <c r="E91" s="100"/>
      <c r="F91" s="100"/>
      <c r="G91" s="143" t="s">
        <v>99</v>
      </c>
      <c r="H91" s="100"/>
      <c r="K91" s="143" t="s">
        <v>182</v>
      </c>
      <c r="L91" s="143" t="s">
        <v>99</v>
      </c>
    </row>
    <row r="92" spans="1:12">
      <c r="A92" s="144"/>
      <c r="B92" s="138">
        <v>2017</v>
      </c>
      <c r="C92" s="138">
        <v>2018</v>
      </c>
      <c r="D92" s="138">
        <v>2019</v>
      </c>
      <c r="E92" s="138">
        <v>2020</v>
      </c>
      <c r="F92" s="138">
        <v>2021</v>
      </c>
      <c r="G92" s="145">
        <v>2023</v>
      </c>
      <c r="H92" s="100"/>
      <c r="K92" s="144"/>
      <c r="L92" s="145">
        <v>2023</v>
      </c>
    </row>
    <row r="93" spans="1:12">
      <c r="A93" s="143" t="s">
        <v>1</v>
      </c>
      <c r="B93" s="120">
        <f t="shared" ref="B93:B103" si="1">(B9/B30+B51/$B$46)/B72</f>
        <v>18741.020223700176</v>
      </c>
      <c r="C93" s="120">
        <f t="shared" ref="C93:C103" si="2">(C9/C30+C51/$C$46)/C72</f>
        <v>19776.277363681336</v>
      </c>
      <c r="D93" s="120">
        <f t="shared" ref="D93:D103" si="3">(D9/D30+D51/$D$46)/D72</f>
        <v>20528.038505595425</v>
      </c>
      <c r="E93" s="120">
        <f>(E9/E30+E51/$E$46)/E72</f>
        <v>25324.667324617905</v>
      </c>
      <c r="F93" s="120">
        <f>(F9/F30+F51/$F$46)/F72</f>
        <v>30532.153688501377</v>
      </c>
      <c r="G93" s="146">
        <f>SUM(B93:F93)/5</f>
        <v>22980.431421219248</v>
      </c>
      <c r="H93" s="100"/>
      <c r="K93" s="143" t="s">
        <v>5</v>
      </c>
      <c r="L93" s="146">
        <v>12256.416267676457</v>
      </c>
    </row>
    <row r="94" spans="1:12">
      <c r="A94" s="143" t="s">
        <v>2</v>
      </c>
      <c r="B94" s="120">
        <f t="shared" si="1"/>
        <v>15859.355433391071</v>
      </c>
      <c r="C94" s="120">
        <f t="shared" si="2"/>
        <v>15326.782798201186</v>
      </c>
      <c r="D94" s="120">
        <f t="shared" si="3"/>
        <v>15993.326115356916</v>
      </c>
      <c r="E94" s="120">
        <f t="shared" ref="E94:E103" si="4">(E10/E31+E52/$E$46)/E73</f>
        <v>17089.343986427066</v>
      </c>
      <c r="F94" s="120">
        <f>(F10/F31+F52/$F$46)/F73</f>
        <v>18247.818672629135</v>
      </c>
      <c r="G94" s="146">
        <f t="shared" ref="G94:G108" si="5">SUM(B94:F94)/5</f>
        <v>16503.325401201073</v>
      </c>
      <c r="H94" s="100"/>
      <c r="K94" s="143" t="s">
        <v>15</v>
      </c>
      <c r="L94" s="146">
        <v>15297.901948113455</v>
      </c>
    </row>
    <row r="95" spans="1:12">
      <c r="A95" s="143" t="s">
        <v>3</v>
      </c>
      <c r="B95" s="120">
        <f t="shared" si="1"/>
        <v>17103.775679417424</v>
      </c>
      <c r="C95" s="120">
        <f t="shared" si="2"/>
        <v>17411.981310816307</v>
      </c>
      <c r="D95" s="120">
        <f t="shared" si="3"/>
        <v>17834.441760634374</v>
      </c>
      <c r="E95" s="120">
        <f t="shared" si="4"/>
        <v>18126.664519116046</v>
      </c>
      <c r="F95" s="120">
        <f t="shared" ref="F95:F103" si="6">(F11/F32+F53/$F$46)/F74</f>
        <v>18811.148366168127</v>
      </c>
      <c r="G95" s="146">
        <f t="shared" si="5"/>
        <v>17857.602327230456</v>
      </c>
      <c r="H95" s="100"/>
      <c r="K95" s="143" t="s">
        <v>6</v>
      </c>
      <c r="L95" s="146">
        <v>15878.409694322472</v>
      </c>
    </row>
    <row r="96" spans="1:12">
      <c r="A96" s="143" t="s">
        <v>4</v>
      </c>
      <c r="B96" s="120">
        <f t="shared" si="1"/>
        <v>16490.482907855283</v>
      </c>
      <c r="C96" s="120">
        <f t="shared" si="2"/>
        <v>17630.730256880313</v>
      </c>
      <c r="D96" s="120">
        <f t="shared" si="3"/>
        <v>18295.65521690801</v>
      </c>
      <c r="E96" s="120">
        <f t="shared" si="4"/>
        <v>19091.994238010204</v>
      </c>
      <c r="F96" s="120">
        <f t="shared" si="6"/>
        <v>19259.457578718011</v>
      </c>
      <c r="G96" s="146">
        <f t="shared" si="5"/>
        <v>18153.664039674364</v>
      </c>
      <c r="H96" s="100"/>
      <c r="K96" s="143" t="s">
        <v>9</v>
      </c>
      <c r="L96" s="146">
        <v>15944.897865056875</v>
      </c>
    </row>
    <row r="97" spans="1:12">
      <c r="A97" s="143" t="s">
        <v>5</v>
      </c>
      <c r="B97" s="120">
        <f t="shared" si="1"/>
        <v>12006.42482929248</v>
      </c>
      <c r="C97" s="120">
        <f t="shared" si="2"/>
        <v>12085.648548878777</v>
      </c>
      <c r="D97" s="120">
        <f t="shared" si="3"/>
        <v>12016.127746430075</v>
      </c>
      <c r="E97" s="120">
        <f t="shared" si="4"/>
        <v>12367.37634663125</v>
      </c>
      <c r="F97" s="120">
        <f t="shared" si="6"/>
        <v>12806.503867149702</v>
      </c>
      <c r="G97" s="146">
        <f t="shared" si="5"/>
        <v>12256.416267676457</v>
      </c>
      <c r="H97" s="100"/>
      <c r="K97" s="143" t="s">
        <v>2</v>
      </c>
      <c r="L97" s="146">
        <v>16503.325401201073</v>
      </c>
    </row>
    <row r="98" spans="1:12">
      <c r="A98" s="143" t="s">
        <v>6</v>
      </c>
      <c r="B98" s="120">
        <f t="shared" si="1"/>
        <v>15903.624284935806</v>
      </c>
      <c r="C98" s="120">
        <f t="shared" si="2"/>
        <v>15248.102176495291</v>
      </c>
      <c r="D98" s="120">
        <f t="shared" si="3"/>
        <v>15513.89658286212</v>
      </c>
      <c r="E98" s="120">
        <f t="shared" si="4"/>
        <v>16008.213548061594</v>
      </c>
      <c r="F98" s="120">
        <f t="shared" si="6"/>
        <v>16718.211879257549</v>
      </c>
      <c r="G98" s="146">
        <f t="shared" si="5"/>
        <v>15878.409694322472</v>
      </c>
      <c r="H98" s="100"/>
      <c r="K98" s="143" t="s">
        <v>14</v>
      </c>
      <c r="L98" s="146">
        <v>17186.764346143718</v>
      </c>
    </row>
    <row r="99" spans="1:12">
      <c r="A99" s="143" t="s">
        <v>7</v>
      </c>
      <c r="B99" s="120">
        <f t="shared" si="1"/>
        <v>20425.445184164495</v>
      </c>
      <c r="C99" s="120">
        <f t="shared" si="2"/>
        <v>20580.766397136853</v>
      </c>
      <c r="D99" s="120">
        <f t="shared" si="3"/>
        <v>20924.242532255368</v>
      </c>
      <c r="E99" s="120">
        <f t="shared" si="4"/>
        <v>21317.044078776569</v>
      </c>
      <c r="F99" s="120">
        <f t="shared" si="6"/>
        <v>22171.535595720612</v>
      </c>
      <c r="G99" s="146">
        <f t="shared" si="5"/>
        <v>21083.806757610779</v>
      </c>
      <c r="H99" s="100"/>
      <c r="K99" s="143" t="s">
        <v>3</v>
      </c>
      <c r="L99" s="146">
        <v>17857.602327230456</v>
      </c>
    </row>
    <row r="100" spans="1:12">
      <c r="A100" s="143" t="s">
        <v>8</v>
      </c>
      <c r="B100" s="120">
        <f t="shared" si="1"/>
        <v>17443.528671005213</v>
      </c>
      <c r="C100" s="120">
        <f t="shared" si="2"/>
        <v>17467.826412539845</v>
      </c>
      <c r="D100" s="120">
        <f t="shared" si="3"/>
        <v>18624.699034854784</v>
      </c>
      <c r="E100" s="120">
        <f t="shared" si="4"/>
        <v>18774.976352823061</v>
      </c>
      <c r="F100" s="120">
        <f t="shared" si="6"/>
        <v>19526.010358093725</v>
      </c>
      <c r="G100" s="146">
        <f t="shared" si="5"/>
        <v>18367.408165863329</v>
      </c>
      <c r="H100" s="100"/>
      <c r="K100" s="143" t="s">
        <v>4</v>
      </c>
      <c r="L100" s="146">
        <v>18153.664039674364</v>
      </c>
    </row>
    <row r="101" spans="1:12">
      <c r="A101" s="143" t="s">
        <v>9</v>
      </c>
      <c r="B101" s="120">
        <f t="shared" si="1"/>
        <v>15483.886439081651</v>
      </c>
      <c r="C101" s="120">
        <f t="shared" si="2"/>
        <v>15535.676664177612</v>
      </c>
      <c r="D101" s="120">
        <f t="shared" si="3"/>
        <v>15079.13583446046</v>
      </c>
      <c r="E101" s="120">
        <f t="shared" si="4"/>
        <v>15043.80974257223</v>
      </c>
      <c r="F101" s="120">
        <f t="shared" si="6"/>
        <v>18581.980644992418</v>
      </c>
      <c r="G101" s="146">
        <f t="shared" si="5"/>
        <v>15944.897865056875</v>
      </c>
      <c r="H101" s="100"/>
      <c r="K101" s="143" t="s">
        <v>8</v>
      </c>
      <c r="L101" s="146">
        <v>18367.408165863329</v>
      </c>
    </row>
    <row r="102" spans="1:12">
      <c r="A102" s="143" t="s">
        <v>10</v>
      </c>
      <c r="B102" s="120">
        <f t="shared" si="1"/>
        <v>18144.784487059747</v>
      </c>
      <c r="C102" s="120">
        <f t="shared" si="2"/>
        <v>18400.324778183836</v>
      </c>
      <c r="D102" s="120">
        <f t="shared" si="3"/>
        <v>18474.224705866494</v>
      </c>
      <c r="E102" s="120">
        <f t="shared" si="4"/>
        <v>19047.83498996048</v>
      </c>
      <c r="F102" s="120">
        <f t="shared" si="6"/>
        <v>20171.455916924708</v>
      </c>
      <c r="G102" s="146">
        <f t="shared" si="5"/>
        <v>18847.724975599056</v>
      </c>
      <c r="H102" s="100"/>
      <c r="K102" s="143" t="s">
        <v>10</v>
      </c>
      <c r="L102" s="146">
        <v>18847.724975599056</v>
      </c>
    </row>
    <row r="103" spans="1:12">
      <c r="A103" s="143" t="s">
        <v>11</v>
      </c>
      <c r="B103" s="120">
        <f t="shared" si="1"/>
        <v>17734.999152144355</v>
      </c>
      <c r="C103" s="120">
        <f t="shared" si="2"/>
        <v>17584.262003133634</v>
      </c>
      <c r="D103" s="120">
        <f t="shared" si="3"/>
        <v>18781.340959871075</v>
      </c>
      <c r="E103" s="120">
        <f t="shared" si="4"/>
        <v>19496.058848007848</v>
      </c>
      <c r="F103" s="120">
        <f t="shared" si="6"/>
        <v>20717.177159745424</v>
      </c>
      <c r="G103" s="146">
        <f t="shared" si="5"/>
        <v>18862.767624580465</v>
      </c>
      <c r="H103" s="100"/>
      <c r="K103" s="143" t="s">
        <v>11</v>
      </c>
      <c r="L103" s="146">
        <v>18862.767624580465</v>
      </c>
    </row>
    <row r="104" spans="1:12">
      <c r="A104" s="143" t="s">
        <v>12</v>
      </c>
      <c r="B104" s="120">
        <f>(B21/B41+B63/$B$46)/B83</f>
        <v>19104.897408557241</v>
      </c>
      <c r="C104" s="120">
        <f>(C21/C41+C63/$C$46)/C83</f>
        <v>18778.971979460595</v>
      </c>
      <c r="D104" s="120">
        <f>(D21/D41+D63/$D$46)/D83</f>
        <v>18956.368920236444</v>
      </c>
      <c r="E104" s="120">
        <f t="shared" ref="E104:E107" si="7">(E21/E41+E63/$E$46)/E83</f>
        <v>19859.208550942516</v>
      </c>
      <c r="F104" s="120">
        <f>(F21/F41+F63/$F$46)/F83</f>
        <v>21657.587273045825</v>
      </c>
      <c r="G104" s="146">
        <f t="shared" si="5"/>
        <v>19671.406826448521</v>
      </c>
      <c r="H104" s="100"/>
      <c r="K104" s="143" t="s">
        <v>12</v>
      </c>
      <c r="L104" s="146">
        <v>19671.406826448521</v>
      </c>
    </row>
    <row r="105" spans="1:12">
      <c r="A105" s="143" t="s">
        <v>13</v>
      </c>
      <c r="B105" s="120">
        <f>(B22/B42+B64/$B$46)/B84</f>
        <v>20286.62929599197</v>
      </c>
      <c r="C105" s="120">
        <f>(C22/C42+C64/$C$46)/C84</f>
        <v>21549.773610234566</v>
      </c>
      <c r="D105" s="120">
        <f>(D22/D42+D64/$D$46)/D84</f>
        <v>19848.94766459462</v>
      </c>
      <c r="E105" s="120">
        <f t="shared" si="7"/>
        <v>20532.981698178282</v>
      </c>
      <c r="F105" s="120">
        <f>(F22/F42+F64/$F$46)/F84</f>
        <v>20519.505141318634</v>
      </c>
      <c r="G105" s="146">
        <f t="shared" si="5"/>
        <v>20547.567482063612</v>
      </c>
      <c r="H105" s="100"/>
      <c r="K105" s="143" t="s">
        <v>13</v>
      </c>
      <c r="L105" s="146">
        <v>20547.567482063612</v>
      </c>
    </row>
    <row r="106" spans="1:12">
      <c r="A106" s="143" t="s">
        <v>14</v>
      </c>
      <c r="B106" s="120">
        <f>(B23/B43+B65/$B$46)/B85</f>
        <v>16775.020695121275</v>
      </c>
      <c r="C106" s="120">
        <f>(C23/C43+C65/$C$46)/C85</f>
        <v>16515.424304502969</v>
      </c>
      <c r="D106" s="120">
        <f>(D23/D43+D65/$D$46)/D85</f>
        <v>16742.347036422372</v>
      </c>
      <c r="E106" s="120">
        <f t="shared" si="7"/>
        <v>17396.602777838158</v>
      </c>
      <c r="F106" s="120">
        <f>(F23/F43+F65/$F$46)/F85</f>
        <v>18504.426916833807</v>
      </c>
      <c r="G106" s="146">
        <f t="shared" si="5"/>
        <v>17186.764346143718</v>
      </c>
      <c r="H106" s="100"/>
      <c r="K106" s="143" t="s">
        <v>7</v>
      </c>
      <c r="L106" s="146">
        <v>21083.806757610779</v>
      </c>
    </row>
    <row r="107" spans="1:12">
      <c r="A107" s="143" t="s">
        <v>15</v>
      </c>
      <c r="B107" s="120">
        <f>(B24/B44+B66/$B$46)/B86</f>
        <v>14637.422373418962</v>
      </c>
      <c r="C107" s="120">
        <f>(C24/C44+C66/$C$46)/C86</f>
        <v>14769.206077496194</v>
      </c>
      <c r="D107" s="120">
        <f>(D24/D44+D66/$D$46)/D86</f>
        <v>15746.268371688955</v>
      </c>
      <c r="E107" s="120">
        <f t="shared" si="7"/>
        <v>15725.674911789247</v>
      </c>
      <c r="F107" s="120">
        <f>(F24/F44+F66/$F$46)/F86</f>
        <v>15610.938006173916</v>
      </c>
      <c r="G107" s="146">
        <f t="shared" si="5"/>
        <v>15297.901948113455</v>
      </c>
      <c r="H107" s="100"/>
      <c r="K107" s="143" t="s">
        <v>1</v>
      </c>
      <c r="L107" s="146">
        <v>22980.431421219248</v>
      </c>
    </row>
    <row r="108" spans="1:12">
      <c r="A108" s="135" t="s">
        <v>16</v>
      </c>
      <c r="B108" s="121">
        <f>(B20/B45+B62/$B$46)/B87</f>
        <v>22996.615797346203</v>
      </c>
      <c r="C108" s="121">
        <f>(C20/C45+C62/$C$46)/C87</f>
        <v>23431.854586585592</v>
      </c>
      <c r="D108" s="121">
        <f>(D20/D45+D62/$D$46)/D87</f>
        <v>23939.304052989592</v>
      </c>
      <c r="E108" s="121">
        <f>(E20/E45+E62/$E$46)/E87</f>
        <v>24120.414643653017</v>
      </c>
      <c r="F108" s="121">
        <f>(F20/F45+F62/$F$46)/F87</f>
        <v>25420.789321557815</v>
      </c>
      <c r="G108" s="147">
        <f t="shared" si="5"/>
        <v>23981.795680426447</v>
      </c>
      <c r="H108" s="100"/>
      <c r="K108" s="135" t="s">
        <v>16</v>
      </c>
      <c r="L108" s="147">
        <v>23981.795680426447</v>
      </c>
    </row>
    <row r="109" spans="1:12">
      <c r="A109" s="100" t="s">
        <v>147</v>
      </c>
      <c r="B109" s="120">
        <f>(B25+B67)/B46/B88</f>
        <v>19961.535703122387</v>
      </c>
      <c r="C109" s="120">
        <f>(C25+C67)/C46/C88</f>
        <v>20173.784453845419</v>
      </c>
      <c r="D109" s="120">
        <f>(D25+D67)/D46/D88</f>
        <v>20578.547615114305</v>
      </c>
      <c r="E109" s="120">
        <f>(E25+E67)/E46/E88</f>
        <v>21027.54904964245</v>
      </c>
      <c r="F109" s="120">
        <f>(F25+F67)/F46/F88</f>
        <v>22173.152135158758</v>
      </c>
      <c r="G109" s="120"/>
      <c r="K109" s="100" t="s">
        <v>147</v>
      </c>
    </row>
    <row r="110" spans="1:12">
      <c r="A110" s="100"/>
      <c r="B110" s="120"/>
      <c r="C110" s="120"/>
      <c r="D110" s="120"/>
      <c r="E110" s="120"/>
      <c r="F110" s="120"/>
      <c r="G110" s="100"/>
    </row>
    <row r="111" spans="1:12">
      <c r="A111" s="143"/>
      <c r="B111" s="120"/>
      <c r="C111" s="120"/>
      <c r="D111" s="120"/>
      <c r="E111" s="120"/>
      <c r="F111" s="120"/>
      <c r="G111" s="120"/>
      <c r="H111" s="100"/>
    </row>
    <row r="112" spans="1:12">
      <c r="A112" s="143" t="s">
        <v>84</v>
      </c>
      <c r="B112" s="100"/>
      <c r="C112" s="120"/>
      <c r="D112" s="120"/>
      <c r="E112" s="100"/>
      <c r="F112" s="120"/>
      <c r="G112" s="120"/>
      <c r="H112" s="100"/>
    </row>
    <row r="113" spans="1:17">
      <c r="A113" s="144"/>
      <c r="B113" s="144"/>
      <c r="C113" s="138">
        <v>2023</v>
      </c>
      <c r="D113" s="100"/>
      <c r="E113" s="120"/>
      <c r="F113" s="120"/>
      <c r="G113" s="120"/>
      <c r="H113" s="100"/>
    </row>
    <row r="114" spans="1:17">
      <c r="A114" s="100" t="s">
        <v>94</v>
      </c>
      <c r="B114" s="100"/>
      <c r="C114" s="100">
        <v>1.1499999999999999</v>
      </c>
      <c r="D114" s="100"/>
      <c r="E114" s="100"/>
      <c r="F114" s="100"/>
      <c r="G114" s="100"/>
      <c r="H114" s="100"/>
    </row>
    <row r="115" spans="1:17">
      <c r="A115" s="100"/>
      <c r="B115" s="100"/>
      <c r="C115" s="100"/>
      <c r="D115" s="100"/>
      <c r="E115" s="100"/>
      <c r="F115" s="100"/>
      <c r="G115" s="100"/>
      <c r="H115" s="100"/>
    </row>
    <row r="116" spans="1:17">
      <c r="A116" s="100"/>
      <c r="B116" s="100"/>
      <c r="C116" s="100"/>
      <c r="D116" s="100"/>
      <c r="E116" s="100"/>
      <c r="F116" s="100"/>
      <c r="G116" s="100"/>
      <c r="H116" s="100"/>
    </row>
    <row r="117" spans="1:17">
      <c r="A117" s="135" t="s">
        <v>85</v>
      </c>
      <c r="B117" s="136"/>
      <c r="C117" s="135">
        <v>2023</v>
      </c>
      <c r="D117" s="100"/>
      <c r="E117" s="100"/>
      <c r="F117" s="100"/>
      <c r="G117" s="100"/>
      <c r="H117" s="100"/>
    </row>
    <row r="118" spans="1:17">
      <c r="A118" s="100" t="s">
        <v>82</v>
      </c>
      <c r="B118" s="100"/>
      <c r="C118" s="120">
        <f>SUM($B$109:$F$109)/5*C114</f>
        <v>23900.350860083163</v>
      </c>
      <c r="D118" s="100"/>
      <c r="E118" s="100"/>
      <c r="F118" s="100"/>
      <c r="G118" s="100"/>
      <c r="H118" s="100"/>
    </row>
    <row r="119" spans="1:17">
      <c r="A119" s="100"/>
      <c r="B119" s="100"/>
      <c r="C119" s="100"/>
      <c r="D119" s="100"/>
      <c r="E119" s="100"/>
      <c r="F119" s="100"/>
      <c r="G119" s="100"/>
      <c r="H119" s="100"/>
    </row>
    <row r="120" spans="1:17">
      <c r="A120" s="100"/>
      <c r="B120" s="100"/>
      <c r="C120" s="100"/>
      <c r="D120" s="100"/>
      <c r="E120" s="100"/>
      <c r="F120" s="100"/>
      <c r="G120" s="100"/>
      <c r="H120" s="100"/>
    </row>
    <row r="121" spans="1:17">
      <c r="A121" s="100"/>
      <c r="B121" s="100"/>
      <c r="C121" s="100"/>
      <c r="D121" s="100"/>
      <c r="E121" s="100"/>
      <c r="F121" s="100"/>
      <c r="G121" s="100"/>
      <c r="H121" s="100"/>
    </row>
    <row r="122" spans="1:17">
      <c r="A122" s="135" t="s">
        <v>101</v>
      </c>
      <c r="B122" s="136"/>
      <c r="C122" s="136"/>
      <c r="D122" s="136"/>
      <c r="E122" s="136"/>
      <c r="F122" s="136"/>
      <c r="G122" s="136"/>
      <c r="H122" s="100"/>
      <c r="I122" s="6"/>
    </row>
    <row r="123" spans="1:17" ht="24.5">
      <c r="A123" s="144"/>
      <c r="B123" s="148" t="s">
        <v>152</v>
      </c>
      <c r="C123" s="148" t="s">
        <v>516</v>
      </c>
      <c r="D123" s="736" t="s">
        <v>402</v>
      </c>
      <c r="E123" s="144"/>
      <c r="F123" s="138">
        <v>2023</v>
      </c>
      <c r="G123" s="149">
        <v>2023</v>
      </c>
      <c r="H123" s="100"/>
      <c r="I123" s="149">
        <v>2022</v>
      </c>
      <c r="J123" s="755" t="s">
        <v>511</v>
      </c>
      <c r="L123" s="6"/>
      <c r="O123" s="6"/>
    </row>
    <row r="124" spans="1:17">
      <c r="A124" s="143" t="s">
        <v>1</v>
      </c>
      <c r="B124" s="120">
        <f>$C$118-G93</f>
        <v>919.91943886391527</v>
      </c>
      <c r="C124" s="536">
        <f>IF(H30&lt;$H$46,H30,$H$46)</f>
        <v>0.174899</v>
      </c>
      <c r="D124" s="132">
        <v>449</v>
      </c>
      <c r="E124" s="150">
        <v>0.95</v>
      </c>
      <c r="F124" s="150">
        <f>ROUND(B124*C124*D124*E124,2)</f>
        <v>68628.899999999994</v>
      </c>
      <c r="G124" s="530">
        <f>ROUND(IF(F124&gt;0,F124,0),2)</f>
        <v>68628.899999999994</v>
      </c>
      <c r="H124" s="100"/>
      <c r="I124" s="530">
        <v>216981.09</v>
      </c>
      <c r="J124" s="530">
        <f>G124-I124</f>
        <v>-148352.19</v>
      </c>
      <c r="L124" s="6"/>
      <c r="O124" s="6"/>
      <c r="P124" s="471"/>
      <c r="Q124" s="527"/>
    </row>
    <row r="125" spans="1:17">
      <c r="A125" s="143" t="s">
        <v>2</v>
      </c>
      <c r="B125" s="120">
        <f t="shared" ref="B125:B138" si="8">$C$118-G94</f>
        <v>7397.0254588820899</v>
      </c>
      <c r="C125" s="536">
        <f t="shared" ref="C125:C139" si="9">IF(H31&lt;$H$46,H31,$H$46)</f>
        <v>0.174899</v>
      </c>
      <c r="D125" s="132">
        <v>933</v>
      </c>
      <c r="E125" s="150">
        <v>0.95</v>
      </c>
      <c r="F125" s="150">
        <f t="shared" ref="F125:F139" si="10">ROUND(B125*C125*D125*E125,2)</f>
        <v>1146699.67</v>
      </c>
      <c r="G125" s="530">
        <f t="shared" ref="G125:G139" si="11">ROUND(IF(F125&gt;0,F125,0),2)</f>
        <v>1146699.67</v>
      </c>
      <c r="H125" s="100"/>
      <c r="I125" s="530">
        <v>1206607.57</v>
      </c>
      <c r="J125" s="530">
        <f t="shared" ref="J125:J140" si="12">G125-I125</f>
        <v>-59907.90000000014</v>
      </c>
      <c r="L125" s="6"/>
      <c r="O125" s="6"/>
      <c r="P125" s="471"/>
      <c r="Q125" s="527"/>
    </row>
    <row r="126" spans="1:17">
      <c r="A126" s="143" t="s">
        <v>3</v>
      </c>
      <c r="B126" s="120">
        <f t="shared" si="8"/>
        <v>6042.7485328527073</v>
      </c>
      <c r="C126" s="536">
        <f t="shared" si="9"/>
        <v>0.174899</v>
      </c>
      <c r="D126" s="132">
        <v>2638</v>
      </c>
      <c r="E126" s="150">
        <v>0.95</v>
      </c>
      <c r="F126" s="150">
        <f t="shared" si="10"/>
        <v>2648623.6</v>
      </c>
      <c r="G126" s="530">
        <f t="shared" si="11"/>
        <v>2648623.6</v>
      </c>
      <c r="H126" s="100"/>
      <c r="I126" s="530">
        <v>2545236.81</v>
      </c>
      <c r="J126" s="530">
        <f t="shared" si="12"/>
        <v>103386.79000000004</v>
      </c>
      <c r="L126" s="6"/>
      <c r="O126" s="6"/>
      <c r="P126" s="471"/>
      <c r="Q126" s="527"/>
    </row>
    <row r="127" spans="1:17">
      <c r="A127" s="143" t="s">
        <v>4</v>
      </c>
      <c r="B127" s="120">
        <f t="shared" si="8"/>
        <v>5746.6868204087987</v>
      </c>
      <c r="C127" s="536">
        <f t="shared" si="9"/>
        <v>0.174899</v>
      </c>
      <c r="D127" s="132">
        <v>501</v>
      </c>
      <c r="E127" s="150">
        <v>0.95</v>
      </c>
      <c r="F127" s="150">
        <f t="shared" si="10"/>
        <v>478372.48</v>
      </c>
      <c r="G127" s="530">
        <f t="shared" si="11"/>
        <v>478372.48</v>
      </c>
      <c r="H127" s="100"/>
      <c r="I127" s="530">
        <v>476366.81</v>
      </c>
      <c r="J127" s="530">
        <f t="shared" si="12"/>
        <v>2005.6699999999837</v>
      </c>
      <c r="L127" s="6"/>
      <c r="O127" s="6"/>
      <c r="P127" s="471"/>
      <c r="Q127" s="527"/>
    </row>
    <row r="128" spans="1:17">
      <c r="A128" s="143" t="s">
        <v>5</v>
      </c>
      <c r="B128" s="120">
        <f t="shared" si="8"/>
        <v>11643.934592406706</v>
      </c>
      <c r="C128" s="536">
        <f t="shared" si="9"/>
        <v>0.174899</v>
      </c>
      <c r="D128" s="132">
        <v>505</v>
      </c>
      <c r="E128" s="150">
        <v>0.95</v>
      </c>
      <c r="F128" s="150">
        <f t="shared" si="10"/>
        <v>977016.88</v>
      </c>
      <c r="G128" s="530">
        <f t="shared" si="11"/>
        <v>977016.88</v>
      </c>
      <c r="H128" s="100"/>
      <c r="I128" s="530">
        <v>954328.62</v>
      </c>
      <c r="J128" s="530">
        <f t="shared" si="12"/>
        <v>22688.260000000009</v>
      </c>
      <c r="L128" s="6"/>
      <c r="O128" s="6"/>
      <c r="P128" s="471"/>
      <c r="Q128" s="527"/>
    </row>
    <row r="129" spans="1:17">
      <c r="A129" s="143" t="s">
        <v>6</v>
      </c>
      <c r="B129" s="120">
        <f t="shared" si="8"/>
        <v>8021.9411657606906</v>
      </c>
      <c r="C129" s="536">
        <f t="shared" si="9"/>
        <v>0.174899</v>
      </c>
      <c r="D129" s="132">
        <v>1619</v>
      </c>
      <c r="E129" s="150">
        <v>0.95</v>
      </c>
      <c r="F129" s="150">
        <f t="shared" si="10"/>
        <v>2157929.5</v>
      </c>
      <c r="G129" s="530">
        <f t="shared" si="11"/>
        <v>2157929.5</v>
      </c>
      <c r="H129" s="100"/>
      <c r="I129" s="530">
        <v>2056521.35</v>
      </c>
      <c r="J129" s="530">
        <f t="shared" si="12"/>
        <v>101408.14999999991</v>
      </c>
      <c r="L129" s="6"/>
      <c r="O129" s="6"/>
      <c r="P129" s="471"/>
      <c r="Q129" s="527"/>
    </row>
    <row r="130" spans="1:17">
      <c r="A130" s="143" t="s">
        <v>7</v>
      </c>
      <c r="B130" s="120">
        <f t="shared" si="8"/>
        <v>2816.5441024723841</v>
      </c>
      <c r="C130" s="536">
        <f t="shared" si="9"/>
        <v>0.16500000000000001</v>
      </c>
      <c r="D130" s="132">
        <v>5512</v>
      </c>
      <c r="E130" s="150">
        <v>0.95</v>
      </c>
      <c r="F130" s="150">
        <f t="shared" si="10"/>
        <v>2433511</v>
      </c>
      <c r="G130" s="530">
        <f t="shared" si="11"/>
        <v>2433511</v>
      </c>
      <c r="H130" s="100"/>
      <c r="I130" s="530">
        <v>2209239.21</v>
      </c>
      <c r="J130" s="530">
        <f t="shared" si="12"/>
        <v>224271.79000000004</v>
      </c>
      <c r="L130" s="6"/>
      <c r="O130" s="6"/>
      <c r="P130" s="471"/>
      <c r="Q130" s="527"/>
    </row>
    <row r="131" spans="1:17">
      <c r="A131" s="143" t="s">
        <v>8</v>
      </c>
      <c r="B131" s="120">
        <f t="shared" si="8"/>
        <v>5532.9426942198334</v>
      </c>
      <c r="C131" s="536">
        <f t="shared" si="9"/>
        <v>0.174899</v>
      </c>
      <c r="D131" s="132">
        <v>313</v>
      </c>
      <c r="E131" s="150">
        <v>0.95</v>
      </c>
      <c r="F131" s="150">
        <f t="shared" si="10"/>
        <v>287747.42</v>
      </c>
      <c r="G131" s="530">
        <f t="shared" si="11"/>
        <v>287747.42</v>
      </c>
      <c r="H131" s="100"/>
      <c r="I131" s="530">
        <v>290024.40000000002</v>
      </c>
      <c r="J131" s="530">
        <f t="shared" si="12"/>
        <v>-2276.9800000000396</v>
      </c>
      <c r="L131" s="6"/>
      <c r="O131" s="6"/>
      <c r="P131" s="471"/>
      <c r="Q131" s="527"/>
    </row>
    <row r="132" spans="1:17">
      <c r="A132" s="143" t="s">
        <v>9</v>
      </c>
      <c r="B132" s="120">
        <f t="shared" si="8"/>
        <v>7955.4529950262877</v>
      </c>
      <c r="C132" s="536">
        <f t="shared" si="9"/>
        <v>0.174899</v>
      </c>
      <c r="D132" s="132">
        <v>224</v>
      </c>
      <c r="E132" s="150">
        <v>0.95</v>
      </c>
      <c r="F132" s="150">
        <f t="shared" si="10"/>
        <v>296090.08</v>
      </c>
      <c r="G132" s="530">
        <f t="shared" si="11"/>
        <v>296090.08</v>
      </c>
      <c r="H132" s="100"/>
      <c r="I132" s="530">
        <v>312692.25</v>
      </c>
      <c r="J132" s="530">
        <f t="shared" si="12"/>
        <v>-16602.169999999984</v>
      </c>
      <c r="L132" s="6"/>
      <c r="O132" s="6"/>
      <c r="P132" s="471"/>
      <c r="Q132" s="527"/>
    </row>
    <row r="133" spans="1:17">
      <c r="A133" s="143" t="s">
        <v>10</v>
      </c>
      <c r="B133" s="120">
        <f t="shared" si="8"/>
        <v>5052.6258844841068</v>
      </c>
      <c r="C133" s="536">
        <f t="shared" si="9"/>
        <v>0.174899</v>
      </c>
      <c r="D133" s="132">
        <v>2135</v>
      </c>
      <c r="E133" s="150">
        <v>0.95</v>
      </c>
      <c r="F133" s="150">
        <f t="shared" si="10"/>
        <v>1792362.93</v>
      </c>
      <c r="G133" s="530">
        <f t="shared" si="11"/>
        <v>1792362.93</v>
      </c>
      <c r="H133" s="100"/>
      <c r="I133" s="530">
        <v>1731484.94</v>
      </c>
      <c r="J133" s="530">
        <f t="shared" si="12"/>
        <v>60877.989999999991</v>
      </c>
      <c r="L133" s="6"/>
      <c r="O133" s="6"/>
      <c r="P133" s="471"/>
      <c r="Q133" s="527"/>
    </row>
    <row r="134" spans="1:17">
      <c r="A134" s="143" t="s">
        <v>11</v>
      </c>
      <c r="B134" s="120">
        <f t="shared" si="8"/>
        <v>5037.5832355026978</v>
      </c>
      <c r="C134" s="536">
        <f t="shared" si="9"/>
        <v>0.174899</v>
      </c>
      <c r="D134" s="132">
        <v>376</v>
      </c>
      <c r="E134" s="150">
        <v>0.95</v>
      </c>
      <c r="F134" s="150">
        <f t="shared" si="10"/>
        <v>314717.59000000003</v>
      </c>
      <c r="G134" s="530">
        <f t="shared" si="11"/>
        <v>314717.59000000003</v>
      </c>
      <c r="H134" s="100"/>
      <c r="I134" s="530">
        <v>318862.11</v>
      </c>
      <c r="J134" s="530">
        <f t="shared" si="12"/>
        <v>-4144.5199999999604</v>
      </c>
      <c r="L134" s="6"/>
      <c r="O134" s="6"/>
      <c r="P134" s="471"/>
      <c r="Q134" s="527"/>
    </row>
    <row r="135" spans="1:17">
      <c r="A135" s="143" t="s">
        <v>12</v>
      </c>
      <c r="B135" s="120">
        <f t="shared" si="8"/>
        <v>4228.9440336346415</v>
      </c>
      <c r="C135" s="536">
        <f t="shared" si="9"/>
        <v>0.174899</v>
      </c>
      <c r="D135" s="132">
        <v>1810</v>
      </c>
      <c r="E135" s="150">
        <v>0.95</v>
      </c>
      <c r="F135" s="150">
        <f t="shared" si="10"/>
        <v>1271807.68</v>
      </c>
      <c r="G135" s="530">
        <f t="shared" si="11"/>
        <v>1271807.68</v>
      </c>
      <c r="H135" s="100"/>
      <c r="I135" s="530">
        <v>1261547.3600000001</v>
      </c>
      <c r="J135" s="530">
        <f t="shared" si="12"/>
        <v>10260.319999999832</v>
      </c>
      <c r="L135" s="6"/>
      <c r="O135" s="6"/>
      <c r="P135" s="471"/>
      <c r="Q135" s="527"/>
    </row>
    <row r="136" spans="1:17">
      <c r="A136" s="143" t="s">
        <v>13</v>
      </c>
      <c r="B136" s="120">
        <f t="shared" si="8"/>
        <v>3352.7833780195506</v>
      </c>
      <c r="C136" s="536">
        <f t="shared" si="9"/>
        <v>0.174899</v>
      </c>
      <c r="D136" s="132">
        <v>105</v>
      </c>
      <c r="E136" s="150">
        <v>0.95</v>
      </c>
      <c r="F136" s="150">
        <f t="shared" si="10"/>
        <v>58493.25</v>
      </c>
      <c r="G136" s="530">
        <f t="shared" si="11"/>
        <v>58493.25</v>
      </c>
      <c r="H136" s="100"/>
      <c r="I136" s="530">
        <v>45327.6</v>
      </c>
      <c r="J136" s="530">
        <f t="shared" si="12"/>
        <v>13165.650000000001</v>
      </c>
      <c r="L136" s="6"/>
      <c r="O136" s="6"/>
      <c r="P136" s="471"/>
      <c r="Q136" s="527"/>
    </row>
    <row r="137" spans="1:17">
      <c r="A137" s="143" t="s">
        <v>14</v>
      </c>
      <c r="B137" s="120">
        <f t="shared" si="8"/>
        <v>6713.5865139394446</v>
      </c>
      <c r="C137" s="536">
        <f t="shared" si="9"/>
        <v>0.174899</v>
      </c>
      <c r="D137" s="132">
        <v>1019</v>
      </c>
      <c r="E137" s="150">
        <v>0.95</v>
      </c>
      <c r="F137" s="150">
        <f t="shared" si="10"/>
        <v>1136683.8899999999</v>
      </c>
      <c r="G137" s="530">
        <f t="shared" si="11"/>
        <v>1136683.8899999999</v>
      </c>
      <c r="H137" s="100"/>
      <c r="I137" s="530">
        <v>1122068.55</v>
      </c>
      <c r="J137" s="530">
        <f t="shared" si="12"/>
        <v>14615.339999999851</v>
      </c>
      <c r="L137" s="6"/>
      <c r="O137" s="6"/>
      <c r="P137" s="471"/>
      <c r="Q137" s="527"/>
    </row>
    <row r="138" spans="1:17">
      <c r="A138" s="143" t="s">
        <v>15</v>
      </c>
      <c r="B138" s="120">
        <f t="shared" si="8"/>
        <v>8602.4489119697082</v>
      </c>
      <c r="C138" s="536">
        <f t="shared" si="9"/>
        <v>0.174899</v>
      </c>
      <c r="D138" s="132">
        <v>463</v>
      </c>
      <c r="E138" s="150">
        <v>0.95</v>
      </c>
      <c r="F138" s="150">
        <f t="shared" si="10"/>
        <v>661780.59</v>
      </c>
      <c r="G138" s="530">
        <f t="shared" si="11"/>
        <v>661780.59</v>
      </c>
      <c r="H138" s="100"/>
      <c r="I138" s="530">
        <v>642574.14</v>
      </c>
      <c r="J138" s="530">
        <f t="shared" si="12"/>
        <v>19206.449999999953</v>
      </c>
      <c r="L138" s="6"/>
      <c r="O138" s="6"/>
      <c r="P138" s="471"/>
      <c r="Q138" s="527"/>
    </row>
    <row r="139" spans="1:17" ht="15" thickBot="1">
      <c r="A139" s="135" t="s">
        <v>16</v>
      </c>
      <c r="B139" s="121">
        <f>$C$118-G108</f>
        <v>-81.444820343283936</v>
      </c>
      <c r="C139" s="537">
        <f t="shared" si="9"/>
        <v>0.17</v>
      </c>
      <c r="D139" s="737">
        <v>11742</v>
      </c>
      <c r="E139" s="152">
        <v>0.95</v>
      </c>
      <c r="F139" s="152">
        <f t="shared" si="10"/>
        <v>-154446.5</v>
      </c>
      <c r="G139" s="531">
        <f t="shared" si="11"/>
        <v>0</v>
      </c>
      <c r="H139" s="100"/>
      <c r="I139" s="531">
        <v>0</v>
      </c>
      <c r="J139" s="531">
        <f t="shared" si="12"/>
        <v>0</v>
      </c>
      <c r="N139" s="688"/>
      <c r="O139" s="6"/>
      <c r="P139" s="471"/>
      <c r="Q139" s="527"/>
    </row>
    <row r="140" spans="1:17">
      <c r="A140" s="143" t="s">
        <v>18</v>
      </c>
      <c r="B140" s="100"/>
      <c r="C140" s="100"/>
      <c r="D140" s="132"/>
      <c r="E140" s="100"/>
      <c r="F140" s="154"/>
      <c r="G140" s="532">
        <f>SUM(G124:G139)</f>
        <v>15730465.460000001</v>
      </c>
      <c r="H140" s="100"/>
      <c r="I140" s="532">
        <v>15389862.810000001</v>
      </c>
      <c r="J140" s="532">
        <f t="shared" si="12"/>
        <v>340602.65000000037</v>
      </c>
      <c r="K140" s="471"/>
      <c r="P140" s="471"/>
      <c r="Q140" s="527"/>
    </row>
    <row r="141" spans="1:17">
      <c r="A141" s="100"/>
      <c r="B141" s="100"/>
      <c r="C141" s="100"/>
      <c r="D141" s="100"/>
      <c r="E141" s="100"/>
      <c r="F141" s="100"/>
      <c r="G141" s="100"/>
      <c r="H141" s="100"/>
      <c r="J141" s="546"/>
      <c r="K141" s="534"/>
    </row>
    <row r="142" spans="1:17">
      <c r="A142" s="143" t="s">
        <v>92</v>
      </c>
      <c r="B142" s="100"/>
      <c r="C142" s="100"/>
      <c r="D142" s="100"/>
      <c r="E142" s="100"/>
      <c r="F142" s="100"/>
      <c r="G142" s="100"/>
      <c r="H142" s="100"/>
    </row>
    <row r="143" spans="1:17">
      <c r="A143" s="100"/>
      <c r="B143" s="100"/>
      <c r="C143" s="100"/>
      <c r="D143" s="100"/>
      <c r="E143" s="100"/>
      <c r="F143" s="100"/>
      <c r="G143" s="100"/>
      <c r="H143" s="100"/>
    </row>
    <row r="144" spans="1:17">
      <c r="A144" s="100"/>
      <c r="B144" s="100"/>
      <c r="C144" s="100"/>
      <c r="D144" s="100"/>
      <c r="E144" s="100"/>
      <c r="F144" s="100"/>
      <c r="G144" s="100"/>
      <c r="H144" s="100"/>
    </row>
    <row r="145" spans="1:8">
      <c r="A145" s="100"/>
      <c r="B145" s="100"/>
      <c r="C145" s="100"/>
      <c r="D145" s="100"/>
      <c r="E145" s="100"/>
      <c r="F145" s="100"/>
      <c r="G145" s="100"/>
      <c r="H145" s="100"/>
    </row>
    <row r="146" spans="1:8">
      <c r="A146" s="100"/>
      <c r="B146" s="100"/>
      <c r="C146" s="143">
        <v>2023</v>
      </c>
      <c r="D146" s="100"/>
      <c r="E146" s="100"/>
      <c r="F146" s="100"/>
      <c r="G146" s="100"/>
      <c r="H146" s="100"/>
    </row>
    <row r="147" spans="1:8">
      <c r="A147" s="100" t="s">
        <v>93</v>
      </c>
      <c r="B147" s="100"/>
      <c r="C147" s="222">
        <f>G140/'Lsandelar totalt'!L26</f>
        <v>0.4048277986713324</v>
      </c>
      <c r="E147" s="100"/>
      <c r="F147" s="100"/>
      <c r="G147" s="100"/>
      <c r="H147" s="100"/>
    </row>
    <row r="148" spans="1:8">
      <c r="A148" s="100"/>
      <c r="B148" s="100"/>
      <c r="C148" s="100"/>
      <c r="D148" s="100"/>
      <c r="E148" s="100"/>
      <c r="F148" s="100"/>
      <c r="G148" s="100"/>
      <c r="H148" s="100"/>
    </row>
    <row r="149" spans="1:8">
      <c r="A149" s="100"/>
      <c r="B149" s="100"/>
      <c r="C149" s="100"/>
      <c r="D149" s="100"/>
      <c r="E149" s="100"/>
      <c r="F149" s="100"/>
      <c r="G149" s="100"/>
      <c r="H149" s="100"/>
    </row>
    <row r="150" spans="1:8">
      <c r="A150" s="156" t="s">
        <v>149</v>
      </c>
      <c r="B150" s="157"/>
      <c r="C150" s="157"/>
      <c r="D150" s="157"/>
      <c r="E150" s="157"/>
      <c r="F150" s="157"/>
      <c r="G150" s="157"/>
      <c r="H150" s="100"/>
    </row>
    <row r="151" spans="1:8">
      <c r="A151" s="157"/>
      <c r="B151" s="157"/>
      <c r="C151" s="157"/>
      <c r="D151" s="157"/>
      <c r="E151" s="157"/>
      <c r="F151" s="157"/>
      <c r="G151" s="157"/>
      <c r="H151" s="100"/>
    </row>
    <row r="152" spans="1:8">
      <c r="A152" s="158" t="s">
        <v>94</v>
      </c>
      <c r="B152" s="157"/>
      <c r="C152" s="158" t="s">
        <v>82</v>
      </c>
      <c r="D152" s="157"/>
      <c r="E152" s="157"/>
      <c r="F152" s="157"/>
      <c r="G152" s="157"/>
      <c r="H152" s="100"/>
    </row>
    <row r="153" spans="1:8">
      <c r="A153" s="157">
        <f>C114-0.01</f>
        <v>1.1399999999999999</v>
      </c>
      <c r="B153" s="157"/>
      <c r="C153" s="159">
        <f>SUM($B$109:$F$109)/5*A153</f>
        <v>23692.521722169397</v>
      </c>
      <c r="D153" s="157"/>
      <c r="E153" s="157"/>
      <c r="F153" s="157"/>
      <c r="G153" s="157"/>
      <c r="H153" s="100"/>
    </row>
    <row r="154" spans="1:8">
      <c r="A154" s="157"/>
      <c r="B154" s="157"/>
      <c r="C154" s="157"/>
      <c r="D154" s="157"/>
      <c r="E154" s="157"/>
      <c r="F154" s="157"/>
      <c r="G154" s="157"/>
      <c r="H154" s="100"/>
    </row>
    <row r="155" spans="1:8">
      <c r="A155" s="160" t="s">
        <v>101</v>
      </c>
      <c r="B155" s="161"/>
      <c r="C155" s="161"/>
      <c r="D155" s="161"/>
      <c r="E155" s="161"/>
      <c r="F155" s="161"/>
      <c r="G155" s="161"/>
      <c r="H155" s="100"/>
    </row>
    <row r="156" spans="1:8" ht="24.5">
      <c r="A156" s="162"/>
      <c r="B156" s="162" t="s">
        <v>152</v>
      </c>
      <c r="C156" s="162" t="s">
        <v>153</v>
      </c>
      <c r="D156" s="162" t="s">
        <v>88</v>
      </c>
      <c r="E156" s="162"/>
      <c r="F156" s="162"/>
      <c r="G156" s="163">
        <v>2021</v>
      </c>
      <c r="H156" s="100"/>
    </row>
    <row r="157" spans="1:8">
      <c r="A157" s="158" t="s">
        <v>1</v>
      </c>
      <c r="B157" s="159">
        <f t="shared" ref="B157:B172" si="13">$C$153-G93</f>
        <v>712.09030095014896</v>
      </c>
      <c r="C157" s="164">
        <f t="shared" ref="C157:C172" si="14">IF(H30&lt;$H$46,H30,$H$46)</f>
        <v>0.174899</v>
      </c>
      <c r="D157" s="159">
        <f t="shared" ref="D157:D172" si="15">G72</f>
        <v>0</v>
      </c>
      <c r="E157" s="165">
        <v>0.95</v>
      </c>
      <c r="F157" s="165">
        <f>ROUND(B157*C157*D157*E157,2)</f>
        <v>0</v>
      </c>
      <c r="G157" s="165">
        <f>IF(F157&gt;0,F157,0)</f>
        <v>0</v>
      </c>
      <c r="H157" s="100"/>
    </row>
    <row r="158" spans="1:8">
      <c r="A158" s="158" t="s">
        <v>2</v>
      </c>
      <c r="B158" s="159">
        <f t="shared" si="13"/>
        <v>7189.1963209683236</v>
      </c>
      <c r="C158" s="164">
        <f t="shared" si="14"/>
        <v>0.174899</v>
      </c>
      <c r="D158" s="159">
        <f t="shared" si="15"/>
        <v>0</v>
      </c>
      <c r="E158" s="165">
        <v>0.95</v>
      </c>
      <c r="F158" s="165">
        <f t="shared" ref="F158:F172" si="16">ROUND(B158*C158*D158*E158,2)</f>
        <v>0</v>
      </c>
      <c r="G158" s="165">
        <f t="shared" ref="G158:G172" si="17">IF(F158&gt;0,F158,0)</f>
        <v>0</v>
      </c>
      <c r="H158" s="100"/>
    </row>
    <row r="159" spans="1:8">
      <c r="A159" s="158" t="s">
        <v>3</v>
      </c>
      <c r="B159" s="159">
        <f t="shared" si="13"/>
        <v>5834.919394938941</v>
      </c>
      <c r="C159" s="164">
        <f t="shared" si="14"/>
        <v>0.174899</v>
      </c>
      <c r="D159" s="159">
        <f t="shared" si="15"/>
        <v>0</v>
      </c>
      <c r="E159" s="165">
        <v>0.95</v>
      </c>
      <c r="F159" s="165">
        <f t="shared" si="16"/>
        <v>0</v>
      </c>
      <c r="G159" s="165">
        <f t="shared" si="17"/>
        <v>0</v>
      </c>
      <c r="H159" s="100"/>
    </row>
    <row r="160" spans="1:8">
      <c r="A160" s="158" t="s">
        <v>4</v>
      </c>
      <c r="B160" s="159">
        <f t="shared" si="13"/>
        <v>5538.8576824950323</v>
      </c>
      <c r="C160" s="164">
        <f t="shared" si="14"/>
        <v>0.174899</v>
      </c>
      <c r="D160" s="159">
        <f t="shared" si="15"/>
        <v>0</v>
      </c>
      <c r="E160" s="165">
        <v>0.95</v>
      </c>
      <c r="F160" s="165">
        <f t="shared" si="16"/>
        <v>0</v>
      </c>
      <c r="G160" s="165">
        <f t="shared" si="17"/>
        <v>0</v>
      </c>
      <c r="H160" s="100"/>
    </row>
    <row r="161" spans="1:8">
      <c r="A161" s="158" t="s">
        <v>5</v>
      </c>
      <c r="B161" s="159">
        <f t="shared" si="13"/>
        <v>11436.105454492939</v>
      </c>
      <c r="C161" s="164">
        <f t="shared" si="14"/>
        <v>0.174899</v>
      </c>
      <c r="D161" s="159">
        <f t="shared" si="15"/>
        <v>0</v>
      </c>
      <c r="E161" s="165">
        <v>0.95</v>
      </c>
      <c r="F161" s="165">
        <f t="shared" si="16"/>
        <v>0</v>
      </c>
      <c r="G161" s="165">
        <f t="shared" si="17"/>
        <v>0</v>
      </c>
      <c r="H161" s="100"/>
    </row>
    <row r="162" spans="1:8">
      <c r="A162" s="158" t="s">
        <v>6</v>
      </c>
      <c r="B162" s="159">
        <f t="shared" si="13"/>
        <v>7814.1120278469243</v>
      </c>
      <c r="C162" s="164">
        <f t="shared" si="14"/>
        <v>0.174899</v>
      </c>
      <c r="D162" s="159">
        <f t="shared" si="15"/>
        <v>0</v>
      </c>
      <c r="E162" s="165">
        <v>0.95</v>
      </c>
      <c r="F162" s="165">
        <f t="shared" si="16"/>
        <v>0</v>
      </c>
      <c r="G162" s="165">
        <f t="shared" si="17"/>
        <v>0</v>
      </c>
      <c r="H162" s="100"/>
    </row>
    <row r="163" spans="1:8">
      <c r="A163" s="158" t="s">
        <v>7</v>
      </c>
      <c r="B163" s="159">
        <f t="shared" si="13"/>
        <v>2608.7149645586178</v>
      </c>
      <c r="C163" s="164">
        <f t="shared" si="14"/>
        <v>0.16500000000000001</v>
      </c>
      <c r="D163" s="159">
        <f t="shared" si="15"/>
        <v>0</v>
      </c>
      <c r="E163" s="165">
        <v>0.95</v>
      </c>
      <c r="F163" s="165">
        <f t="shared" si="16"/>
        <v>0</v>
      </c>
      <c r="G163" s="165">
        <f t="shared" si="17"/>
        <v>0</v>
      </c>
      <c r="H163" s="100"/>
    </row>
    <row r="164" spans="1:8">
      <c r="A164" s="158" t="s">
        <v>8</v>
      </c>
      <c r="B164" s="159">
        <f t="shared" si="13"/>
        <v>5325.113556306067</v>
      </c>
      <c r="C164" s="164">
        <f t="shared" si="14"/>
        <v>0.174899</v>
      </c>
      <c r="D164" s="159">
        <f t="shared" si="15"/>
        <v>0</v>
      </c>
      <c r="E164" s="165">
        <v>0.95</v>
      </c>
      <c r="F164" s="165">
        <f t="shared" si="16"/>
        <v>0</v>
      </c>
      <c r="G164" s="165">
        <f t="shared" si="17"/>
        <v>0</v>
      </c>
      <c r="H164" s="100"/>
    </row>
    <row r="165" spans="1:8">
      <c r="A165" s="158" t="s">
        <v>9</v>
      </c>
      <c r="B165" s="159">
        <f t="shared" si="13"/>
        <v>7747.6238571125214</v>
      </c>
      <c r="C165" s="164">
        <f t="shared" si="14"/>
        <v>0.174899</v>
      </c>
      <c r="D165" s="159">
        <f t="shared" si="15"/>
        <v>0</v>
      </c>
      <c r="E165" s="165">
        <v>0.95</v>
      </c>
      <c r="F165" s="165">
        <f t="shared" si="16"/>
        <v>0</v>
      </c>
      <c r="G165" s="165">
        <f t="shared" si="17"/>
        <v>0</v>
      </c>
      <c r="H165" s="100"/>
    </row>
    <row r="166" spans="1:8">
      <c r="A166" s="158" t="s">
        <v>10</v>
      </c>
      <c r="B166" s="159">
        <f t="shared" si="13"/>
        <v>4844.7967465703405</v>
      </c>
      <c r="C166" s="164">
        <f t="shared" si="14"/>
        <v>0.174899</v>
      </c>
      <c r="D166" s="159">
        <f t="shared" si="15"/>
        <v>0</v>
      </c>
      <c r="E166" s="165">
        <v>0.95</v>
      </c>
      <c r="F166" s="165">
        <f t="shared" si="16"/>
        <v>0</v>
      </c>
      <c r="G166" s="165">
        <f t="shared" si="17"/>
        <v>0</v>
      </c>
      <c r="H166" s="100"/>
    </row>
    <row r="167" spans="1:8">
      <c r="A167" s="158" t="s">
        <v>11</v>
      </c>
      <c r="B167" s="159">
        <f t="shared" si="13"/>
        <v>4829.7540975889315</v>
      </c>
      <c r="C167" s="164">
        <f t="shared" si="14"/>
        <v>0.174899</v>
      </c>
      <c r="D167" s="159">
        <f t="shared" si="15"/>
        <v>0</v>
      </c>
      <c r="E167" s="165">
        <v>0.95</v>
      </c>
      <c r="F167" s="165">
        <f t="shared" si="16"/>
        <v>0</v>
      </c>
      <c r="G167" s="165">
        <f t="shared" si="17"/>
        <v>0</v>
      </c>
      <c r="H167" s="100"/>
    </row>
    <row r="168" spans="1:8">
      <c r="A168" s="158" t="s">
        <v>12</v>
      </c>
      <c r="B168" s="159">
        <f t="shared" si="13"/>
        <v>4021.1148957208752</v>
      </c>
      <c r="C168" s="164">
        <f t="shared" si="14"/>
        <v>0.174899</v>
      </c>
      <c r="D168" s="159">
        <f t="shared" si="15"/>
        <v>0</v>
      </c>
      <c r="E168" s="165">
        <v>0.95</v>
      </c>
      <c r="F168" s="165">
        <f t="shared" si="16"/>
        <v>0</v>
      </c>
      <c r="G168" s="165">
        <f t="shared" si="17"/>
        <v>0</v>
      </c>
      <c r="H168" s="100"/>
    </row>
    <row r="169" spans="1:8">
      <c r="A169" s="158" t="s">
        <v>13</v>
      </c>
      <c r="B169" s="159">
        <f t="shared" si="13"/>
        <v>3144.9542401057843</v>
      </c>
      <c r="C169" s="164">
        <f t="shared" si="14"/>
        <v>0.174899</v>
      </c>
      <c r="D169" s="159">
        <f t="shared" si="15"/>
        <v>0</v>
      </c>
      <c r="E169" s="165">
        <v>0.95</v>
      </c>
      <c r="F169" s="165">
        <f t="shared" si="16"/>
        <v>0</v>
      </c>
      <c r="G169" s="165">
        <f t="shared" si="17"/>
        <v>0</v>
      </c>
      <c r="H169" s="100"/>
    </row>
    <row r="170" spans="1:8">
      <c r="A170" s="158" t="s">
        <v>14</v>
      </c>
      <c r="B170" s="159">
        <f t="shared" si="13"/>
        <v>6505.7573760256782</v>
      </c>
      <c r="C170" s="164">
        <f t="shared" si="14"/>
        <v>0.174899</v>
      </c>
      <c r="D170" s="159">
        <f t="shared" si="15"/>
        <v>0</v>
      </c>
      <c r="E170" s="165">
        <v>0.95</v>
      </c>
      <c r="F170" s="165">
        <f t="shared" si="16"/>
        <v>0</v>
      </c>
      <c r="G170" s="165">
        <f t="shared" si="17"/>
        <v>0</v>
      </c>
      <c r="H170" s="100"/>
    </row>
    <row r="171" spans="1:8">
      <c r="A171" s="158" t="s">
        <v>15</v>
      </c>
      <c r="B171" s="159">
        <f t="shared" si="13"/>
        <v>8394.6197740559419</v>
      </c>
      <c r="C171" s="164">
        <f t="shared" si="14"/>
        <v>0.174899</v>
      </c>
      <c r="D171" s="159">
        <f t="shared" si="15"/>
        <v>0</v>
      </c>
      <c r="E171" s="165">
        <v>0.95</v>
      </c>
      <c r="F171" s="165">
        <f t="shared" si="16"/>
        <v>0</v>
      </c>
      <c r="G171" s="165">
        <f t="shared" si="17"/>
        <v>0</v>
      </c>
      <c r="H171" s="100"/>
    </row>
    <row r="172" spans="1:8">
      <c r="A172" s="160" t="s">
        <v>16</v>
      </c>
      <c r="B172" s="166">
        <f t="shared" si="13"/>
        <v>-289.27395825705025</v>
      </c>
      <c r="C172" s="167">
        <f t="shared" si="14"/>
        <v>0.17</v>
      </c>
      <c r="D172" s="166">
        <f t="shared" si="15"/>
        <v>0</v>
      </c>
      <c r="E172" s="168">
        <v>0.95</v>
      </c>
      <c r="F172" s="168">
        <f t="shared" si="16"/>
        <v>0</v>
      </c>
      <c r="G172" s="168">
        <f t="shared" si="17"/>
        <v>0</v>
      </c>
      <c r="H172" s="100"/>
    </row>
    <row r="173" spans="1:8">
      <c r="A173" s="158" t="s">
        <v>18</v>
      </c>
      <c r="B173" s="157"/>
      <c r="C173" s="157"/>
      <c r="D173" s="157"/>
      <c r="E173" s="157"/>
      <c r="F173" s="169"/>
      <c r="G173" s="169">
        <f>SUM(G157:G172)</f>
        <v>0</v>
      </c>
      <c r="H173" s="100"/>
    </row>
    <row r="174" spans="1:8">
      <c r="A174" s="157"/>
      <c r="B174" s="157"/>
      <c r="C174" s="157"/>
      <c r="D174" s="157"/>
      <c r="E174" s="157"/>
      <c r="F174" s="157"/>
      <c r="G174" s="157"/>
      <c r="H174" s="100"/>
    </row>
    <row r="175" spans="1:8">
      <c r="A175" s="157"/>
      <c r="B175" s="157"/>
      <c r="C175" s="157"/>
      <c r="D175" s="157"/>
      <c r="E175" s="157"/>
      <c r="F175" s="157"/>
      <c r="G175" s="157"/>
      <c r="H175" s="100"/>
    </row>
    <row r="176" spans="1:8">
      <c r="A176" s="158" t="s">
        <v>94</v>
      </c>
      <c r="B176" s="157"/>
      <c r="C176" s="158" t="s">
        <v>82</v>
      </c>
      <c r="D176" s="157"/>
      <c r="E176" s="157"/>
      <c r="F176" s="157"/>
      <c r="G176" s="157"/>
      <c r="H176" s="100"/>
    </row>
    <row r="177" spans="1:8">
      <c r="A177" s="157">
        <f>C114+0.01</f>
        <v>1.1599999999999999</v>
      </c>
      <c r="B177" s="157"/>
      <c r="C177" s="159">
        <f>SUM($B$109:$F$109)/5*A177</f>
        <v>24108.179997996929</v>
      </c>
      <c r="D177" s="157"/>
      <c r="E177" s="157"/>
      <c r="F177" s="157"/>
      <c r="G177" s="157"/>
      <c r="H177" s="100"/>
    </row>
    <row r="178" spans="1:8">
      <c r="A178" s="157"/>
      <c r="B178" s="157"/>
      <c r="C178" s="157"/>
      <c r="D178" s="157"/>
      <c r="E178" s="157"/>
      <c r="F178" s="157"/>
      <c r="G178" s="157"/>
      <c r="H178" s="100"/>
    </row>
    <row r="179" spans="1:8">
      <c r="A179" s="160" t="s">
        <v>101</v>
      </c>
      <c r="B179" s="161"/>
      <c r="C179" s="161"/>
      <c r="D179" s="161"/>
      <c r="E179" s="161"/>
      <c r="F179" s="161"/>
      <c r="G179" s="161"/>
      <c r="H179" s="100"/>
    </row>
    <row r="180" spans="1:8" ht="24.5">
      <c r="A180" s="170"/>
      <c r="B180" s="170" t="s">
        <v>152</v>
      </c>
      <c r="C180" s="170" t="s">
        <v>153</v>
      </c>
      <c r="D180" s="170" t="s">
        <v>88</v>
      </c>
      <c r="E180" s="160"/>
      <c r="F180" s="160"/>
      <c r="G180" s="160">
        <v>2021</v>
      </c>
      <c r="H180" s="100"/>
    </row>
    <row r="181" spans="1:8">
      <c r="A181" s="158" t="s">
        <v>1</v>
      </c>
      <c r="B181" s="159">
        <f t="shared" ref="B181:B196" si="18">$C$177-G93</f>
        <v>1127.7485767776816</v>
      </c>
      <c r="C181" s="164">
        <f t="shared" ref="C181:C196" si="19">IF(H30&lt;$H$46,H30,$H$46)</f>
        <v>0.174899</v>
      </c>
      <c r="D181" s="159">
        <f t="shared" ref="D181:D196" si="20">G72</f>
        <v>0</v>
      </c>
      <c r="E181" s="165">
        <v>0.95</v>
      </c>
      <c r="F181" s="165">
        <f>ROUND(B181*C181*D181*E181,2)</f>
        <v>0</v>
      </c>
      <c r="G181" s="165">
        <f>IF(F181&gt;0,F181,0)</f>
        <v>0</v>
      </c>
      <c r="H181" s="100"/>
    </row>
    <row r="182" spans="1:8">
      <c r="A182" s="158" t="s">
        <v>2</v>
      </c>
      <c r="B182" s="159">
        <f t="shared" si="18"/>
        <v>7604.8545967958562</v>
      </c>
      <c r="C182" s="164">
        <f t="shared" si="19"/>
        <v>0.174899</v>
      </c>
      <c r="D182" s="159">
        <f t="shared" si="20"/>
        <v>0</v>
      </c>
      <c r="E182" s="165">
        <v>0.95</v>
      </c>
      <c r="F182" s="165">
        <f t="shared" ref="F182:F196" si="21">ROUND(B182*C182*D182*E182,2)</f>
        <v>0</v>
      </c>
      <c r="G182" s="165">
        <f t="shared" ref="G182:G196" si="22">IF(F182&gt;0,F182,0)</f>
        <v>0</v>
      </c>
      <c r="H182" s="100"/>
    </row>
    <row r="183" spans="1:8">
      <c r="A183" s="158" t="s">
        <v>3</v>
      </c>
      <c r="B183" s="159">
        <f t="shared" si="18"/>
        <v>6250.5776707664736</v>
      </c>
      <c r="C183" s="164">
        <f t="shared" si="19"/>
        <v>0.174899</v>
      </c>
      <c r="D183" s="159">
        <f t="shared" si="20"/>
        <v>0</v>
      </c>
      <c r="E183" s="165">
        <v>0.95</v>
      </c>
      <c r="F183" s="165">
        <f t="shared" si="21"/>
        <v>0</v>
      </c>
      <c r="G183" s="165">
        <f t="shared" si="22"/>
        <v>0</v>
      </c>
      <c r="H183" s="100"/>
    </row>
    <row r="184" spans="1:8">
      <c r="A184" s="158" t="s">
        <v>4</v>
      </c>
      <c r="B184" s="159">
        <f t="shared" si="18"/>
        <v>5954.515958322565</v>
      </c>
      <c r="C184" s="164">
        <f t="shared" si="19"/>
        <v>0.174899</v>
      </c>
      <c r="D184" s="159">
        <f t="shared" si="20"/>
        <v>0</v>
      </c>
      <c r="E184" s="165">
        <v>0.95</v>
      </c>
      <c r="F184" s="165">
        <f t="shared" si="21"/>
        <v>0</v>
      </c>
      <c r="G184" s="165">
        <f t="shared" si="22"/>
        <v>0</v>
      </c>
      <c r="H184" s="100"/>
    </row>
    <row r="185" spans="1:8">
      <c r="A185" s="158" t="s">
        <v>5</v>
      </c>
      <c r="B185" s="159">
        <f t="shared" si="18"/>
        <v>11851.763730320472</v>
      </c>
      <c r="C185" s="164">
        <f t="shared" si="19"/>
        <v>0.174899</v>
      </c>
      <c r="D185" s="159">
        <f t="shared" si="20"/>
        <v>0</v>
      </c>
      <c r="E185" s="165">
        <v>0.95</v>
      </c>
      <c r="F185" s="165">
        <f t="shared" si="21"/>
        <v>0</v>
      </c>
      <c r="G185" s="165">
        <f t="shared" si="22"/>
        <v>0</v>
      </c>
      <c r="H185" s="100"/>
    </row>
    <row r="186" spans="1:8">
      <c r="A186" s="158" t="s">
        <v>6</v>
      </c>
      <c r="B186" s="159">
        <f t="shared" si="18"/>
        <v>8229.770303674457</v>
      </c>
      <c r="C186" s="164">
        <f t="shared" si="19"/>
        <v>0.174899</v>
      </c>
      <c r="D186" s="159">
        <f t="shared" si="20"/>
        <v>0</v>
      </c>
      <c r="E186" s="165">
        <v>0.95</v>
      </c>
      <c r="F186" s="165">
        <f t="shared" si="21"/>
        <v>0</v>
      </c>
      <c r="G186" s="165">
        <f t="shared" si="22"/>
        <v>0</v>
      </c>
      <c r="H186" s="100"/>
    </row>
    <row r="187" spans="1:8">
      <c r="A187" s="158" t="s">
        <v>7</v>
      </c>
      <c r="B187" s="159">
        <f t="shared" si="18"/>
        <v>3024.3732403861504</v>
      </c>
      <c r="C187" s="164">
        <f t="shared" si="19"/>
        <v>0.16500000000000001</v>
      </c>
      <c r="D187" s="159">
        <f t="shared" si="20"/>
        <v>0</v>
      </c>
      <c r="E187" s="165">
        <v>0.95</v>
      </c>
      <c r="F187" s="165">
        <f t="shared" si="21"/>
        <v>0</v>
      </c>
      <c r="G187" s="165">
        <f t="shared" si="22"/>
        <v>0</v>
      </c>
      <c r="H187" s="100"/>
    </row>
    <row r="188" spans="1:8">
      <c r="A188" s="158" t="s">
        <v>8</v>
      </c>
      <c r="B188" s="159">
        <f t="shared" si="18"/>
        <v>5740.7718321335997</v>
      </c>
      <c r="C188" s="164">
        <f t="shared" si="19"/>
        <v>0.174899</v>
      </c>
      <c r="D188" s="159">
        <f t="shared" si="20"/>
        <v>0</v>
      </c>
      <c r="E188" s="165">
        <v>0.95</v>
      </c>
      <c r="F188" s="165">
        <f t="shared" si="21"/>
        <v>0</v>
      </c>
      <c r="G188" s="165">
        <f t="shared" si="22"/>
        <v>0</v>
      </c>
      <c r="H188" s="100"/>
    </row>
    <row r="189" spans="1:8">
      <c r="A189" s="158" t="s">
        <v>9</v>
      </c>
      <c r="B189" s="159">
        <f t="shared" si="18"/>
        <v>8163.282132940054</v>
      </c>
      <c r="C189" s="164">
        <f t="shared" si="19"/>
        <v>0.174899</v>
      </c>
      <c r="D189" s="159">
        <f t="shared" si="20"/>
        <v>0</v>
      </c>
      <c r="E189" s="165">
        <v>0.95</v>
      </c>
      <c r="F189" s="165">
        <f t="shared" si="21"/>
        <v>0</v>
      </c>
      <c r="G189" s="165">
        <f t="shared" si="22"/>
        <v>0</v>
      </c>
      <c r="H189" s="100"/>
    </row>
    <row r="190" spans="1:8">
      <c r="A190" s="158" t="s">
        <v>10</v>
      </c>
      <c r="B190" s="159">
        <f t="shared" si="18"/>
        <v>5260.4550223978731</v>
      </c>
      <c r="C190" s="164">
        <f t="shared" si="19"/>
        <v>0.174899</v>
      </c>
      <c r="D190" s="159">
        <f t="shared" si="20"/>
        <v>0</v>
      </c>
      <c r="E190" s="165">
        <v>0.95</v>
      </c>
      <c r="F190" s="165">
        <f t="shared" si="21"/>
        <v>0</v>
      </c>
      <c r="G190" s="165">
        <f t="shared" si="22"/>
        <v>0</v>
      </c>
      <c r="H190" s="100"/>
    </row>
    <row r="191" spans="1:8">
      <c r="A191" s="158" t="s">
        <v>11</v>
      </c>
      <c r="B191" s="159">
        <f t="shared" si="18"/>
        <v>5245.4123734164641</v>
      </c>
      <c r="C191" s="164">
        <f t="shared" si="19"/>
        <v>0.174899</v>
      </c>
      <c r="D191" s="159">
        <f t="shared" si="20"/>
        <v>0</v>
      </c>
      <c r="E191" s="165">
        <v>0.95</v>
      </c>
      <c r="F191" s="165">
        <f t="shared" si="21"/>
        <v>0</v>
      </c>
      <c r="G191" s="165">
        <f t="shared" si="22"/>
        <v>0</v>
      </c>
      <c r="H191" s="100"/>
    </row>
    <row r="192" spans="1:8">
      <c r="A192" s="158" t="s">
        <v>12</v>
      </c>
      <c r="B192" s="159">
        <f t="shared" si="18"/>
        <v>4436.7731715484078</v>
      </c>
      <c r="C192" s="164">
        <f t="shared" si="19"/>
        <v>0.174899</v>
      </c>
      <c r="D192" s="159">
        <f t="shared" si="20"/>
        <v>0</v>
      </c>
      <c r="E192" s="165">
        <v>0.95</v>
      </c>
      <c r="F192" s="165">
        <f t="shared" si="21"/>
        <v>0</v>
      </c>
      <c r="G192" s="165">
        <f t="shared" si="22"/>
        <v>0</v>
      </c>
      <c r="H192" s="100"/>
    </row>
    <row r="193" spans="1:15">
      <c r="A193" s="158" t="s">
        <v>13</v>
      </c>
      <c r="B193" s="159">
        <f t="shared" si="18"/>
        <v>3560.6125159333169</v>
      </c>
      <c r="C193" s="164">
        <f t="shared" si="19"/>
        <v>0.174899</v>
      </c>
      <c r="D193" s="159">
        <f t="shared" si="20"/>
        <v>0</v>
      </c>
      <c r="E193" s="165">
        <v>0.95</v>
      </c>
      <c r="F193" s="165">
        <f t="shared" si="21"/>
        <v>0</v>
      </c>
      <c r="G193" s="165">
        <f t="shared" si="22"/>
        <v>0</v>
      </c>
      <c r="H193" s="100"/>
    </row>
    <row r="194" spans="1:15">
      <c r="A194" s="158" t="s">
        <v>14</v>
      </c>
      <c r="B194" s="159">
        <f t="shared" si="18"/>
        <v>6921.4156518532109</v>
      </c>
      <c r="C194" s="164">
        <f t="shared" si="19"/>
        <v>0.174899</v>
      </c>
      <c r="D194" s="159">
        <f t="shared" si="20"/>
        <v>0</v>
      </c>
      <c r="E194" s="165">
        <v>0.95</v>
      </c>
      <c r="F194" s="165">
        <f t="shared" si="21"/>
        <v>0</v>
      </c>
      <c r="G194" s="165">
        <f t="shared" si="22"/>
        <v>0</v>
      </c>
      <c r="H194" s="100"/>
    </row>
    <row r="195" spans="1:15">
      <c r="A195" s="158" t="s">
        <v>15</v>
      </c>
      <c r="B195" s="159">
        <f t="shared" si="18"/>
        <v>8810.2780498834745</v>
      </c>
      <c r="C195" s="164">
        <f t="shared" si="19"/>
        <v>0.174899</v>
      </c>
      <c r="D195" s="159">
        <f t="shared" si="20"/>
        <v>0</v>
      </c>
      <c r="E195" s="165">
        <v>0.95</v>
      </c>
      <c r="F195" s="165">
        <f t="shared" si="21"/>
        <v>0</v>
      </c>
      <c r="G195" s="165">
        <f t="shared" si="22"/>
        <v>0</v>
      </c>
      <c r="H195" s="100"/>
    </row>
    <row r="196" spans="1:15">
      <c r="A196" s="160" t="s">
        <v>16</v>
      </c>
      <c r="B196" s="166">
        <f t="shared" si="18"/>
        <v>126.38431757048238</v>
      </c>
      <c r="C196" s="167">
        <f t="shared" si="19"/>
        <v>0.17</v>
      </c>
      <c r="D196" s="166">
        <f t="shared" si="20"/>
        <v>0</v>
      </c>
      <c r="E196" s="168">
        <v>0.95</v>
      </c>
      <c r="F196" s="168">
        <f t="shared" si="21"/>
        <v>0</v>
      </c>
      <c r="G196" s="168">
        <f t="shared" si="22"/>
        <v>0</v>
      </c>
      <c r="H196" s="100"/>
    </row>
    <row r="197" spans="1:15">
      <c r="A197" s="158" t="s">
        <v>18</v>
      </c>
      <c r="B197" s="157"/>
      <c r="C197" s="157"/>
      <c r="D197" s="157"/>
      <c r="E197" s="157"/>
      <c r="F197" s="169"/>
      <c r="G197" s="169">
        <f>SUM(G181:G196)</f>
        <v>0</v>
      </c>
      <c r="H197" s="100"/>
    </row>
    <row r="198" spans="1:15">
      <c r="A198" s="100"/>
      <c r="B198" s="100"/>
      <c r="C198" s="100"/>
      <c r="D198" s="100"/>
      <c r="E198" s="100"/>
      <c r="F198" s="100"/>
      <c r="G198" s="100"/>
      <c r="H198" s="100"/>
    </row>
    <row r="200" spans="1:15" s="759" customFormat="1">
      <c r="A200" s="758" t="s">
        <v>513</v>
      </c>
    </row>
    <row r="203" spans="1:15" ht="15.5">
      <c r="A203" s="689" t="s">
        <v>462</v>
      </c>
      <c r="B203" s="689"/>
      <c r="C203" s="690"/>
      <c r="D203" s="689" t="s">
        <v>463</v>
      </c>
      <c r="E203" s="691"/>
      <c r="F203" s="689"/>
      <c r="G203" s="689"/>
      <c r="H203" s="689"/>
      <c r="I203" s="689"/>
      <c r="J203" s="692"/>
      <c r="K203" s="693" t="s">
        <v>464</v>
      </c>
      <c r="L203" s="699"/>
      <c r="M203" s="699"/>
      <c r="N203"/>
      <c r="O203"/>
    </row>
    <row r="204" spans="1:15" ht="15.5">
      <c r="A204" s="692"/>
      <c r="B204" s="692"/>
      <c r="C204" s="694"/>
      <c r="D204" s="692"/>
      <c r="E204" s="692" t="s">
        <v>465</v>
      </c>
      <c r="F204" s="692"/>
      <c r="G204" s="692"/>
      <c r="H204" s="692"/>
      <c r="I204" s="692"/>
      <c r="J204" s="695"/>
      <c r="K204" s="696">
        <v>44872</v>
      </c>
      <c r="L204" s="699"/>
      <c r="M204" s="699"/>
      <c r="N204"/>
      <c r="O204"/>
    </row>
    <row r="205" spans="1:15" ht="15.5">
      <c r="A205" s="697" t="s">
        <v>466</v>
      </c>
      <c r="B205" s="692"/>
      <c r="C205" s="694"/>
      <c r="D205" s="692"/>
      <c r="E205" s="692"/>
      <c r="F205" s="692"/>
      <c r="G205" s="692"/>
      <c r="H205" s="692"/>
      <c r="I205" s="692"/>
      <c r="J205" s="698" t="s">
        <v>467</v>
      </c>
      <c r="K205" s="698">
        <v>2021</v>
      </c>
      <c r="L205" s="699"/>
      <c r="M205" s="699"/>
      <c r="N205"/>
      <c r="O205"/>
    </row>
    <row r="206" spans="1:15" ht="15.5">
      <c r="A206" s="692"/>
      <c r="B206" s="692"/>
      <c r="C206" s="694"/>
      <c r="D206" s="692"/>
      <c r="E206" s="692"/>
      <c r="F206" s="692"/>
      <c r="G206" s="692"/>
      <c r="H206" s="692"/>
      <c r="I206" s="692"/>
      <c r="J206" s="699"/>
      <c r="K206" s="699"/>
      <c r="L206" s="699"/>
      <c r="M206" s="699"/>
      <c r="N206"/>
      <c r="O206"/>
    </row>
    <row r="207" spans="1:15" ht="15.5">
      <c r="A207" s="699"/>
      <c r="B207" s="699"/>
      <c r="C207" s="700"/>
      <c r="D207" s="699"/>
      <c r="E207" s="699"/>
      <c r="F207" s="699"/>
      <c r="G207" s="699"/>
      <c r="H207" s="699"/>
      <c r="I207" s="699"/>
      <c r="J207" s="699"/>
      <c r="K207" s="699"/>
      <c r="L207" s="699"/>
      <c r="M207" s="699"/>
      <c r="N207"/>
      <c r="O207"/>
    </row>
    <row r="208" spans="1:15" ht="15.5">
      <c r="A208" s="701"/>
      <c r="B208" s="702"/>
      <c r="C208" s="703"/>
      <c r="D208" s="702"/>
      <c r="E208" s="702"/>
      <c r="F208" s="702"/>
      <c r="G208" s="702"/>
      <c r="H208" s="702"/>
      <c r="I208" s="702"/>
      <c r="J208" s="702"/>
      <c r="K208" s="704"/>
      <c r="L208" s="699"/>
      <c r="M208" s="699"/>
      <c r="N208"/>
      <c r="O208"/>
    </row>
    <row r="209" spans="1:15" ht="15.5">
      <c r="A209" s="705"/>
      <c r="B209" s="697"/>
      <c r="C209" s="706"/>
      <c r="D209" s="707"/>
      <c r="E209" s="697"/>
      <c r="F209" s="697"/>
      <c r="G209" s="699"/>
      <c r="H209" s="699"/>
      <c r="I209" s="699"/>
      <c r="J209" s="699"/>
      <c r="K209" s="708"/>
      <c r="L209" s="699"/>
      <c r="M209" s="699"/>
      <c r="N209"/>
      <c r="O209"/>
    </row>
    <row r="210" spans="1:15" ht="15.5">
      <c r="A210" s="705"/>
      <c r="B210" s="697"/>
      <c r="C210" s="706"/>
      <c r="D210" s="707"/>
      <c r="E210" s="697"/>
      <c r="F210" s="697" t="s">
        <v>468</v>
      </c>
      <c r="G210" s="699"/>
      <c r="H210" s="699"/>
      <c r="I210" s="699"/>
      <c r="J210" s="699"/>
      <c r="K210" s="708"/>
      <c r="L210" s="699"/>
      <c r="M210" s="699"/>
      <c r="N210"/>
      <c r="O210"/>
    </row>
    <row r="211" spans="1:15" ht="15.5">
      <c r="A211" s="709"/>
      <c r="B211" s="697"/>
      <c r="C211" s="706"/>
      <c r="D211" s="707"/>
      <c r="E211" s="697"/>
      <c r="F211" s="697" t="s">
        <v>469</v>
      </c>
      <c r="G211" s="699"/>
      <c r="H211" s="699"/>
      <c r="I211" s="699"/>
      <c r="J211" s="699"/>
      <c r="K211" s="708"/>
      <c r="L211" s="699"/>
      <c r="M211" s="699"/>
      <c r="N211"/>
      <c r="O211"/>
    </row>
    <row r="212" spans="1:15" ht="15.5">
      <c r="A212" s="705"/>
      <c r="B212" s="697"/>
      <c r="C212" s="706"/>
      <c r="D212" s="707"/>
      <c r="E212" s="697"/>
      <c r="F212" s="697"/>
      <c r="G212" s="699"/>
      <c r="H212" s="699"/>
      <c r="I212" s="699"/>
      <c r="J212" s="699"/>
      <c r="K212" s="708"/>
      <c r="L212" s="699"/>
      <c r="M212" s="699"/>
      <c r="N212"/>
      <c r="O212"/>
    </row>
    <row r="213" spans="1:15" ht="15.5">
      <c r="A213" s="710"/>
      <c r="B213" s="711"/>
      <c r="C213" s="712"/>
      <c r="D213" s="711"/>
      <c r="E213" s="711"/>
      <c r="F213" s="711"/>
      <c r="G213" s="711"/>
      <c r="H213" s="711"/>
      <c r="I213" s="711"/>
      <c r="J213" s="711"/>
      <c r="K213" s="713"/>
      <c r="L213" s="699"/>
      <c r="M213" s="699"/>
      <c r="N213"/>
      <c r="O213"/>
    </row>
    <row r="214" spans="1:15" ht="34.5">
      <c r="A214" s="714" t="s">
        <v>470</v>
      </c>
      <c r="B214" s="715" t="s">
        <v>471</v>
      </c>
      <c r="C214" s="716" t="s">
        <v>472</v>
      </c>
      <c r="D214" s="717" t="s">
        <v>473</v>
      </c>
      <c r="E214" s="717" t="s">
        <v>474</v>
      </c>
      <c r="F214" s="718" t="s">
        <v>475</v>
      </c>
      <c r="G214" s="717" t="s">
        <v>476</v>
      </c>
      <c r="H214" s="717" t="s">
        <v>477</v>
      </c>
      <c r="I214" s="717" t="s">
        <v>478</v>
      </c>
      <c r="J214" s="717" t="s">
        <v>479</v>
      </c>
      <c r="K214" s="717" t="s">
        <v>480</v>
      </c>
      <c r="L214" s="719" t="s">
        <v>481</v>
      </c>
      <c r="M214" s="720" t="s">
        <v>151</v>
      </c>
      <c r="N214" s="721" t="s">
        <v>482</v>
      </c>
      <c r="O214" s="721" t="s">
        <v>483</v>
      </c>
    </row>
    <row r="215" spans="1:15">
      <c r="A215" s="722">
        <v>21</v>
      </c>
      <c r="B215" s="723">
        <v>35</v>
      </c>
      <c r="C215" s="724" t="s">
        <v>484</v>
      </c>
      <c r="D215" s="725">
        <v>1851233.38</v>
      </c>
      <c r="E215" s="726">
        <v>0.20666875048796784</v>
      </c>
      <c r="F215" s="725">
        <v>1810396.1402558859</v>
      </c>
      <c r="G215" s="725">
        <v>1669239.8899841062</v>
      </c>
      <c r="H215" s="725">
        <v>141156.25027177972</v>
      </c>
      <c r="I215" s="725">
        <v>-128259.97282038545</v>
      </c>
      <c r="J215" s="725">
        <v>12896.277451394271</v>
      </c>
      <c r="K215" s="725">
        <v>95297.199623565408</v>
      </c>
      <c r="L215" s="725">
        <v>576774.48307035281</v>
      </c>
      <c r="M215" s="727">
        <v>0.56856779413118552</v>
      </c>
      <c r="N215" s="725">
        <v>37269</v>
      </c>
      <c r="O215" s="727">
        <v>6.1045187445907034E-2</v>
      </c>
    </row>
    <row r="216" spans="1:15">
      <c r="A216" s="722">
        <v>21</v>
      </c>
      <c r="B216" s="723">
        <v>43</v>
      </c>
      <c r="C216" s="724" t="s">
        <v>485</v>
      </c>
      <c r="D216" s="725">
        <v>3015795.72</v>
      </c>
      <c r="E216" s="726">
        <v>0.10118178940396017</v>
      </c>
      <c r="F216" s="725">
        <v>2949268.8443680834</v>
      </c>
      <c r="G216" s="725">
        <v>2866155.3394173272</v>
      </c>
      <c r="H216" s="725">
        <v>83113.504950756207</v>
      </c>
      <c r="I216" s="725">
        <v>-208944.95597256074</v>
      </c>
      <c r="J216" s="725">
        <v>-125831.45102180453</v>
      </c>
      <c r="K216" s="725">
        <v>155246.16715410253</v>
      </c>
      <c r="L216" s="725">
        <v>282948.23909727426</v>
      </c>
      <c r="M216" s="727">
        <v>0.10817028314782817</v>
      </c>
      <c r="N216" s="725">
        <v>299691.17</v>
      </c>
      <c r="O216" s="727">
        <v>0.31445749793340738</v>
      </c>
    </row>
    <row r="217" spans="1:15">
      <c r="A217" s="722">
        <v>21</v>
      </c>
      <c r="B217" s="723">
        <v>60</v>
      </c>
      <c r="C217" s="724" t="s">
        <v>486</v>
      </c>
      <c r="D217" s="725">
        <v>8848344.6600000001</v>
      </c>
      <c r="E217" s="726">
        <v>7.4089168715552489E-2</v>
      </c>
      <c r="F217" s="725">
        <v>8653154.8065094743</v>
      </c>
      <c r="G217" s="725">
        <v>8838553.7759676799</v>
      </c>
      <c r="H217" s="725">
        <v>-185398.96945820563</v>
      </c>
      <c r="I217" s="725">
        <v>-613044.50203734054</v>
      </c>
      <c r="J217" s="725">
        <v>-798443.47149554617</v>
      </c>
      <c r="K217" s="725">
        <v>455492.25533202576</v>
      </c>
      <c r="L217" s="725">
        <v>631267.57773169945</v>
      </c>
      <c r="M217" s="727">
        <v>0.46511533173295749</v>
      </c>
      <c r="N217" s="725">
        <v>193368.7</v>
      </c>
      <c r="O217" s="727">
        <v>2.9639460296394748E-2</v>
      </c>
    </row>
    <row r="218" spans="1:15">
      <c r="A218" s="722">
        <v>21</v>
      </c>
      <c r="B218" s="723">
        <v>62</v>
      </c>
      <c r="C218" s="724" t="s">
        <v>487</v>
      </c>
      <c r="D218" s="725">
        <v>1452235.45</v>
      </c>
      <c r="E218" s="726">
        <v>1.0200477529085372E-3</v>
      </c>
      <c r="F218" s="725">
        <v>1420199.8958244636</v>
      </c>
      <c r="G218" s="725">
        <v>1457468.1234540381</v>
      </c>
      <c r="H218" s="725">
        <v>-37268.227629574481</v>
      </c>
      <c r="I218" s="725">
        <v>-100615.9900518865</v>
      </c>
      <c r="J218" s="725">
        <v>-137884.21768146098</v>
      </c>
      <c r="K218" s="725">
        <v>74757.711844558653</v>
      </c>
      <c r="L218" s="725">
        <v>322200.97461887798</v>
      </c>
      <c r="M218" s="727">
        <v>6.9415495058944288E-4</v>
      </c>
      <c r="N218" s="725">
        <v>161011.53</v>
      </c>
      <c r="O218" s="727">
        <v>1.2925076532759316E-3</v>
      </c>
    </row>
    <row r="219" spans="1:15">
      <c r="A219" s="722">
        <v>21</v>
      </c>
      <c r="B219" s="723">
        <v>65</v>
      </c>
      <c r="C219" s="724" t="s">
        <v>488</v>
      </c>
      <c r="D219" s="725">
        <v>1200259.18</v>
      </c>
      <c r="E219" s="726">
        <v>6.7223809103151622E-2</v>
      </c>
      <c r="F219" s="725">
        <v>1173782.090499413</v>
      </c>
      <c r="G219" s="725">
        <v>1174975.1220358168</v>
      </c>
      <c r="H219" s="725">
        <v>-1193.0315364038106</v>
      </c>
      <c r="I219" s="725">
        <v>-83158.186032826459</v>
      </c>
      <c r="J219" s="725">
        <v>-84351.21756923027</v>
      </c>
      <c r="K219" s="725">
        <v>61786.558038661184</v>
      </c>
      <c r="L219" s="725">
        <v>9890.5206762323996</v>
      </c>
      <c r="M219" s="727">
        <v>3.2034049174769708E-2</v>
      </c>
      <c r="N219" s="725">
        <v>126499.83</v>
      </c>
      <c r="O219" s="727">
        <v>2.4259103408528437E-2</v>
      </c>
    </row>
    <row r="220" spans="1:15">
      <c r="A220" s="722">
        <v>21</v>
      </c>
      <c r="B220" s="723">
        <v>76</v>
      </c>
      <c r="C220" s="724" t="s">
        <v>489</v>
      </c>
      <c r="D220" s="725">
        <v>4648811.93</v>
      </c>
      <c r="E220" s="726">
        <v>8.8815683923407773E-2</v>
      </c>
      <c r="F220" s="725">
        <v>4546261.5712166531</v>
      </c>
      <c r="G220" s="725">
        <v>4558345.1566005135</v>
      </c>
      <c r="H220" s="725">
        <v>-12083.585383860394</v>
      </c>
      <c r="I220" s="725">
        <v>-322086.07419821026</v>
      </c>
      <c r="J220" s="725">
        <v>-334169.65958207066</v>
      </c>
      <c r="K220" s="725">
        <v>239310.05312016487</v>
      </c>
      <c r="L220" s="725">
        <v>159288.03184221406</v>
      </c>
      <c r="M220" s="727">
        <v>0.55026073589159985</v>
      </c>
      <c r="N220" s="725">
        <v>97500.64</v>
      </c>
      <c r="O220" s="727">
        <v>3.5492960977465016E-2</v>
      </c>
    </row>
    <row r="221" spans="1:15">
      <c r="A221" s="722">
        <v>21</v>
      </c>
      <c r="B221" s="723">
        <v>170</v>
      </c>
      <c r="C221" s="724" t="s">
        <v>490</v>
      </c>
      <c r="D221" s="725">
        <v>18091931.199999999</v>
      </c>
      <c r="E221" s="726">
        <v>5.4926212689129672E-2</v>
      </c>
      <c r="F221" s="725">
        <v>17692832.663948096</v>
      </c>
      <c r="G221" s="725">
        <v>17893518.963082481</v>
      </c>
      <c r="H221" s="725">
        <v>-200686.29913438484</v>
      </c>
      <c r="I221" s="725">
        <v>-1253472.75446183</v>
      </c>
      <c r="J221" s="725">
        <v>-1454159.0535962149</v>
      </c>
      <c r="K221" s="725">
        <v>931330.64570292667</v>
      </c>
      <c r="L221" s="725">
        <v>1717917.7955079447</v>
      </c>
      <c r="M221" s="727">
        <v>0.29502977197767577</v>
      </c>
      <c r="N221" s="725">
        <v>337144.37</v>
      </c>
      <c r="O221" s="727">
        <v>2.29969550502227E-2</v>
      </c>
    </row>
    <row r="222" spans="1:15">
      <c r="A222" s="722">
        <v>21</v>
      </c>
      <c r="B222" s="723">
        <v>295</v>
      </c>
      <c r="C222" s="724" t="s">
        <v>491</v>
      </c>
      <c r="D222" s="725">
        <v>1100029.4099999999</v>
      </c>
      <c r="E222" s="726">
        <v>1.4274583380795569E-2</v>
      </c>
      <c r="F222" s="725">
        <v>1075763.3367825074</v>
      </c>
      <c r="G222" s="725">
        <v>1083858.7399345327</v>
      </c>
      <c r="H222" s="725">
        <v>-8095.4031520253047</v>
      </c>
      <c r="I222" s="725">
        <v>-76213.914330036889</v>
      </c>
      <c r="J222" s="725">
        <v>-84309.317482062193</v>
      </c>
      <c r="K222" s="725">
        <v>56626.962007655071</v>
      </c>
      <c r="L222" s="725">
        <v>8508.8880822157316</v>
      </c>
      <c r="M222" s="727">
        <v>0.48330197914717066</v>
      </c>
      <c r="N222" s="725">
        <v>105143.98</v>
      </c>
      <c r="O222" s="727">
        <v>2.346243098655143E-2</v>
      </c>
    </row>
    <row r="223" spans="1:15">
      <c r="A223" s="722">
        <v>21</v>
      </c>
      <c r="B223" s="723">
        <v>318</v>
      </c>
      <c r="C223" s="724" t="s">
        <v>492</v>
      </c>
      <c r="D223" s="725">
        <v>809512.49</v>
      </c>
      <c r="E223" s="726">
        <v>0.18604892467899692</v>
      </c>
      <c r="F223" s="725">
        <v>791655.06803087762</v>
      </c>
      <c r="G223" s="725">
        <v>671398.23233954562</v>
      </c>
      <c r="H223" s="725">
        <v>120256.835691332</v>
      </c>
      <c r="I223" s="725">
        <v>-56085.878251159535</v>
      </c>
      <c r="J223" s="725">
        <v>64170.957440172468</v>
      </c>
      <c r="K223" s="725">
        <v>41671.824952345822</v>
      </c>
      <c r="L223" s="725">
        <v>14447.835923932731</v>
      </c>
      <c r="M223" s="727">
        <v>1.4158087118327192</v>
      </c>
      <c r="N223" s="725">
        <v>81090.929999999993</v>
      </c>
      <c r="O223" s="727">
        <v>1.2427407015745517E-2</v>
      </c>
    </row>
    <row r="224" spans="1:15">
      <c r="A224" s="722">
        <v>21</v>
      </c>
      <c r="B224" s="723">
        <v>417</v>
      </c>
      <c r="C224" s="724" t="s">
        <v>493</v>
      </c>
      <c r="D224" s="725">
        <v>7106191.2999999998</v>
      </c>
      <c r="E224" s="726">
        <v>8.6931750579788414E-2</v>
      </c>
      <c r="F224" s="725">
        <v>6949432.4380861996</v>
      </c>
      <c r="G224" s="725">
        <v>6836968.816309412</v>
      </c>
      <c r="H224" s="725">
        <v>112463.62177678756</v>
      </c>
      <c r="I224" s="725">
        <v>-492341.97743045207</v>
      </c>
      <c r="J224" s="725">
        <v>-379878.3556536645</v>
      </c>
      <c r="K224" s="725">
        <v>365810.24207728135</v>
      </c>
      <c r="L224" s="725">
        <v>147969.52421218943</v>
      </c>
      <c r="M224" s="727">
        <v>0.31191125062450697</v>
      </c>
      <c r="N224" s="725">
        <v>338639.35</v>
      </c>
      <c r="O224" s="727">
        <v>2.5949476193376064E-2</v>
      </c>
    </row>
    <row r="225" spans="1:15">
      <c r="A225" s="722">
        <v>21</v>
      </c>
      <c r="B225" s="723">
        <v>438</v>
      </c>
      <c r="C225" s="724" t="s">
        <v>494</v>
      </c>
      <c r="D225" s="725">
        <v>1407273.38</v>
      </c>
      <c r="E225" s="726">
        <v>7.4340616222531075E-2</v>
      </c>
      <c r="F225" s="725">
        <v>1376229.6655632118</v>
      </c>
      <c r="G225" s="725">
        <v>1352486.1603366428</v>
      </c>
      <c r="H225" s="725">
        <v>23743.505226569017</v>
      </c>
      <c r="I225" s="725">
        <v>-97500.859383624527</v>
      </c>
      <c r="J225" s="725">
        <v>-73757.35415705551</v>
      </c>
      <c r="K225" s="725">
        <v>72443.168790954718</v>
      </c>
      <c r="L225" s="725">
        <v>86179.435304053841</v>
      </c>
      <c r="M225" s="727">
        <v>0.18279016194194098</v>
      </c>
      <c r="N225" s="725">
        <v>79074.720000000001</v>
      </c>
      <c r="O225" s="727">
        <v>2.7598475341252815E-2</v>
      </c>
    </row>
    <row r="226" spans="1:15">
      <c r="A226" s="722">
        <v>21</v>
      </c>
      <c r="B226" s="723">
        <v>478</v>
      </c>
      <c r="C226" s="724" t="s">
        <v>495</v>
      </c>
      <c r="D226" s="725">
        <v>43343000.359999999</v>
      </c>
      <c r="E226" s="726">
        <v>4.0158522106114702E-2</v>
      </c>
      <c r="F226" s="725">
        <v>42386876.450366013</v>
      </c>
      <c r="G226" s="725">
        <v>42354379.982431181</v>
      </c>
      <c r="H226" s="725">
        <v>32496.467934831977</v>
      </c>
      <c r="I226" s="725">
        <v>-3002955.8175574583</v>
      </c>
      <c r="J226" s="725">
        <v>-2970459.3496226263</v>
      </c>
      <c r="K226" s="725">
        <v>2231197.1047060457</v>
      </c>
      <c r="L226" s="725">
        <v>8140659.5460576974</v>
      </c>
      <c r="M226" s="727">
        <v>0.1639184467966297</v>
      </c>
      <c r="N226" s="725">
        <v>2596969.7000000002</v>
      </c>
      <c r="O226" s="727">
        <v>0.72138657403956641</v>
      </c>
    </row>
    <row r="227" spans="1:15">
      <c r="A227" s="722">
        <v>21</v>
      </c>
      <c r="B227" s="723">
        <v>736</v>
      </c>
      <c r="C227" s="724" t="s">
        <v>496</v>
      </c>
      <c r="D227" s="725">
        <v>5772827.6399999997</v>
      </c>
      <c r="E227" s="726">
        <v>3.2479213889886616E-2</v>
      </c>
      <c r="F227" s="725">
        <v>5645482.0827714847</v>
      </c>
      <c r="G227" s="725">
        <v>5689511.4449656252</v>
      </c>
      <c r="H227" s="725">
        <v>-44029.362194140442</v>
      </c>
      <c r="I227" s="725">
        <v>-399961.84392654471</v>
      </c>
      <c r="J227" s="725">
        <v>-443991.20612068515</v>
      </c>
      <c r="K227" s="725">
        <v>297171.77420467429</v>
      </c>
      <c r="L227" s="725">
        <v>1391019.6245439257</v>
      </c>
      <c r="M227" s="727">
        <v>0.41110059095312401</v>
      </c>
      <c r="N227" s="725">
        <v>72412.179999999993</v>
      </c>
      <c r="O227" s="727">
        <v>3.2111366039013545E-2</v>
      </c>
    </row>
    <row r="228" spans="1:15">
      <c r="A228" s="722">
        <v>21</v>
      </c>
      <c r="B228" s="723">
        <v>766</v>
      </c>
      <c r="C228" s="724" t="s">
        <v>497</v>
      </c>
      <c r="D228" s="725">
        <v>353900.42</v>
      </c>
      <c r="E228" s="726">
        <v>0.13474531522924504</v>
      </c>
      <c r="F228" s="725">
        <v>346093.56190570467</v>
      </c>
      <c r="G228" s="725">
        <v>363066.04250118684</v>
      </c>
      <c r="H228" s="725">
        <v>-16972.480595482164</v>
      </c>
      <c r="I228" s="725">
        <v>-24519.468339709278</v>
      </c>
      <c r="J228" s="725">
        <v>-41491.948935191438</v>
      </c>
      <c r="K228" s="725">
        <v>18217.972588417586</v>
      </c>
      <c r="L228" s="725">
        <v>18705.4838693192</v>
      </c>
      <c r="M228" s="727">
        <v>0.44569393986247952</v>
      </c>
      <c r="N228" s="725">
        <v>24553.1</v>
      </c>
      <c r="O228" s="727">
        <v>4.0383389018243676E-2</v>
      </c>
    </row>
    <row r="229" spans="1:15">
      <c r="A229" s="722">
        <v>21</v>
      </c>
      <c r="B229" s="723">
        <v>771</v>
      </c>
      <c r="C229" s="724" t="s">
        <v>498</v>
      </c>
      <c r="D229" s="725">
        <v>3526558.97</v>
      </c>
      <c r="E229" s="726">
        <v>3.639415077680197E-2</v>
      </c>
      <c r="F229" s="725">
        <v>3448764.9243191439</v>
      </c>
      <c r="G229" s="725">
        <v>3414251.065896864</v>
      </c>
      <c r="H229" s="725">
        <v>34513.858422279824</v>
      </c>
      <c r="I229" s="725">
        <v>-244332.43400229013</v>
      </c>
      <c r="J229" s="725">
        <v>-209818.57558001031</v>
      </c>
      <c r="K229" s="725">
        <v>181539.07431615415</v>
      </c>
      <c r="L229" s="725">
        <v>96562.539221077852</v>
      </c>
      <c r="M229" s="727">
        <v>0.5975847993639416</v>
      </c>
      <c r="N229" s="725">
        <v>109859.11</v>
      </c>
      <c r="O229" s="727">
        <v>3.476893222867905E-2</v>
      </c>
    </row>
    <row r="230" spans="1:15">
      <c r="A230" s="722">
        <v>21</v>
      </c>
      <c r="B230" s="723">
        <v>941</v>
      </c>
      <c r="C230" s="724" t="s">
        <v>499</v>
      </c>
      <c r="D230" s="725">
        <v>1332748.55</v>
      </c>
      <c r="E230" s="726">
        <v>1.8157447381963232E-2</v>
      </c>
      <c r="F230" s="725">
        <v>1303348.8143194721</v>
      </c>
      <c r="G230" s="725">
        <v>1366277.8681965335</v>
      </c>
      <c r="H230" s="725">
        <v>-62929.053877061466</v>
      </c>
      <c r="I230" s="725">
        <v>-92337.516515291078</v>
      </c>
      <c r="J230" s="725">
        <v>-155266.57039235253</v>
      </c>
      <c r="K230" s="725">
        <v>68606.803436834831</v>
      </c>
      <c r="L230" s="725">
        <v>29294.728350992238</v>
      </c>
      <c r="M230" s="727">
        <v>0.20083215319085479</v>
      </c>
      <c r="N230" s="725">
        <v>78287.100000000006</v>
      </c>
      <c r="O230" s="727">
        <v>5.4888444271712356E-3</v>
      </c>
    </row>
    <row r="233" spans="1:15" ht="15.5">
      <c r="A233" s="738"/>
      <c r="B233"/>
      <c r="C233"/>
      <c r="D233"/>
      <c r="E233"/>
      <c r="F233"/>
      <c r="G233"/>
      <c r="H233"/>
      <c r="I233"/>
      <c r="J233"/>
      <c r="K233"/>
      <c r="L233"/>
      <c r="M233"/>
      <c r="N233"/>
      <c r="O233"/>
    </row>
    <row r="234" spans="1:15" ht="16" thickBot="1">
      <c r="A234" s="739"/>
      <c r="B234" s="739"/>
      <c r="C234" s="739"/>
      <c r="D234" s="739"/>
      <c r="E234" s="739"/>
      <c r="F234" s="739"/>
      <c r="G234" s="739"/>
      <c r="H234" s="739"/>
      <c r="I234" s="739"/>
      <c r="J234" s="739"/>
      <c r="K234" s="739"/>
      <c r="L234" s="739"/>
      <c r="M234" s="739"/>
      <c r="N234"/>
      <c r="O234"/>
    </row>
    <row r="235" spans="1:15" ht="16" thickBot="1">
      <c r="A235" s="100"/>
      <c r="B235" s="100"/>
      <c r="E235" s="100"/>
      <c r="F235" s="799"/>
      <c r="G235" s="799"/>
      <c r="H235" s="799"/>
      <c r="I235" s="799"/>
      <c r="J235" s="799"/>
      <c r="K235" s="799"/>
      <c r="L235" s="799"/>
      <c r="M235" s="799"/>
      <c r="N235"/>
      <c r="O235"/>
    </row>
    <row r="236" spans="1:15" ht="16" thickBot="1">
      <c r="A236" s="100"/>
      <c r="B236" s="747"/>
      <c r="C236" s="798"/>
      <c r="D236" s="798"/>
      <c r="E236" s="747"/>
      <c r="F236" s="752">
        <v>2016</v>
      </c>
      <c r="G236" s="752">
        <v>2017</v>
      </c>
      <c r="H236" s="752">
        <v>2018</v>
      </c>
      <c r="I236" s="753">
        <v>2019</v>
      </c>
      <c r="J236" s="753">
        <v>2020</v>
      </c>
      <c r="K236" s="753">
        <v>2021</v>
      </c>
      <c r="L236" s="753" t="s">
        <v>503</v>
      </c>
      <c r="M236" s="753" t="s">
        <v>504</v>
      </c>
      <c r="N236" s="750"/>
      <c r="O236"/>
    </row>
    <row r="237" spans="1:15" ht="15.5">
      <c r="A237" s="136"/>
      <c r="B237" s="745"/>
      <c r="C237" s="745"/>
      <c r="D237" s="746"/>
      <c r="E237" s="100" t="s">
        <v>1</v>
      </c>
      <c r="F237" s="750">
        <v>16.75</v>
      </c>
      <c r="G237" s="750">
        <v>16.75</v>
      </c>
      <c r="H237" s="750">
        <v>16.75</v>
      </c>
      <c r="I237" s="750">
        <v>16.75</v>
      </c>
      <c r="J237" s="750">
        <v>16.75</v>
      </c>
      <c r="K237" s="750">
        <v>17.75</v>
      </c>
      <c r="L237" s="750">
        <v>17.75</v>
      </c>
      <c r="M237" s="750">
        <v>17.75</v>
      </c>
      <c r="N237" s="750"/>
      <c r="O237"/>
    </row>
    <row r="238" spans="1:15" ht="15.5">
      <c r="A238" s="100"/>
      <c r="B238" s="744"/>
      <c r="C238" s="744"/>
      <c r="D238" s="744"/>
      <c r="E238" s="100" t="s">
        <v>2</v>
      </c>
      <c r="F238" s="750">
        <v>18.5</v>
      </c>
      <c r="G238" s="750">
        <v>18.5</v>
      </c>
      <c r="H238" s="750">
        <v>18.5</v>
      </c>
      <c r="I238" s="750">
        <v>18.5</v>
      </c>
      <c r="J238" s="750">
        <v>18.5</v>
      </c>
      <c r="K238" s="750">
        <v>19</v>
      </c>
      <c r="L238" s="750">
        <v>19</v>
      </c>
      <c r="M238" s="750">
        <v>18.5</v>
      </c>
      <c r="N238" s="750"/>
      <c r="O238"/>
    </row>
    <row r="239" spans="1:15" ht="15.5">
      <c r="A239" s="100"/>
      <c r="B239" s="744"/>
      <c r="C239" s="744"/>
      <c r="D239" s="744"/>
      <c r="E239" s="100" t="s">
        <v>3</v>
      </c>
      <c r="F239" s="750">
        <v>19.5</v>
      </c>
      <c r="G239" s="750">
        <v>19</v>
      </c>
      <c r="H239" s="750">
        <v>19</v>
      </c>
      <c r="I239" s="750">
        <v>18.5</v>
      </c>
      <c r="J239" s="750">
        <v>18.5</v>
      </c>
      <c r="K239" s="750">
        <v>19.5</v>
      </c>
      <c r="L239" s="750">
        <v>19.5</v>
      </c>
      <c r="M239" s="750">
        <v>19.5</v>
      </c>
      <c r="N239" s="750"/>
      <c r="O239"/>
    </row>
    <row r="240" spans="1:15" ht="15.5">
      <c r="A240" s="100"/>
      <c r="B240" s="744"/>
      <c r="C240" s="744"/>
      <c r="D240" s="744"/>
      <c r="E240" s="100" t="s">
        <v>4</v>
      </c>
      <c r="F240" s="750">
        <v>17.25</v>
      </c>
      <c r="G240" s="750">
        <v>17.25</v>
      </c>
      <c r="H240" s="750">
        <v>17.5</v>
      </c>
      <c r="I240" s="750">
        <v>17.5</v>
      </c>
      <c r="J240" s="750">
        <v>17.5</v>
      </c>
      <c r="K240" s="750">
        <v>17.5</v>
      </c>
      <c r="L240" s="750">
        <v>17.5</v>
      </c>
      <c r="M240" s="750">
        <v>17.5</v>
      </c>
      <c r="N240" s="750"/>
      <c r="O240"/>
    </row>
    <row r="241" spans="1:15" ht="15.5">
      <c r="A241" s="100"/>
      <c r="B241" s="744"/>
      <c r="C241" s="744"/>
      <c r="D241" s="744"/>
      <c r="E241" s="100" t="s">
        <v>5</v>
      </c>
      <c r="F241" s="750">
        <v>17.5</v>
      </c>
      <c r="G241" s="750">
        <v>17.5</v>
      </c>
      <c r="H241" s="750">
        <v>17.5</v>
      </c>
      <c r="I241" s="750">
        <v>18.5</v>
      </c>
      <c r="J241" s="750">
        <v>18.5</v>
      </c>
      <c r="K241" s="750">
        <v>18.5</v>
      </c>
      <c r="L241" s="750">
        <v>18.5</v>
      </c>
      <c r="M241" s="750">
        <v>18.5</v>
      </c>
      <c r="N241" s="750"/>
      <c r="O241"/>
    </row>
    <row r="242" spans="1:15" ht="15.5">
      <c r="A242" s="100"/>
      <c r="B242" s="744"/>
      <c r="C242" s="744"/>
      <c r="D242" s="744"/>
      <c r="E242" s="100" t="s">
        <v>6</v>
      </c>
      <c r="F242" s="750">
        <v>17.25</v>
      </c>
      <c r="G242" s="750">
        <v>17.25</v>
      </c>
      <c r="H242" s="750">
        <v>17.25</v>
      </c>
      <c r="I242" s="750">
        <v>17.25</v>
      </c>
      <c r="J242" s="750">
        <v>17.25</v>
      </c>
      <c r="K242" s="750">
        <v>18</v>
      </c>
      <c r="L242" s="750">
        <v>18</v>
      </c>
      <c r="M242" s="750">
        <v>18</v>
      </c>
      <c r="N242" s="750"/>
      <c r="O242"/>
    </row>
    <row r="243" spans="1:15" ht="15.5">
      <c r="A243" s="100"/>
      <c r="B243" s="744"/>
      <c r="C243" s="744"/>
      <c r="D243" s="744"/>
      <c r="E243" s="100" t="s">
        <v>7</v>
      </c>
      <c r="F243" s="750">
        <v>17</v>
      </c>
      <c r="G243" s="750">
        <v>16.5</v>
      </c>
      <c r="H243" s="750">
        <v>16.5</v>
      </c>
      <c r="I243" s="750">
        <v>16.5</v>
      </c>
      <c r="J243" s="750">
        <v>16.5</v>
      </c>
      <c r="K243" s="750">
        <v>16.5</v>
      </c>
      <c r="L243" s="750">
        <v>16.5</v>
      </c>
      <c r="M243" s="750">
        <v>16.5</v>
      </c>
      <c r="N243" s="750"/>
      <c r="O243"/>
    </row>
    <row r="244" spans="1:15" ht="15.5">
      <c r="A244" s="100"/>
      <c r="B244" s="744"/>
      <c r="C244" s="744"/>
      <c r="D244" s="744"/>
      <c r="E244" s="100" t="s">
        <v>8</v>
      </c>
      <c r="F244" s="750">
        <v>19</v>
      </c>
      <c r="G244" s="750">
        <v>19</v>
      </c>
      <c r="H244" s="750">
        <v>19</v>
      </c>
      <c r="I244" s="750">
        <v>18.5</v>
      </c>
      <c r="J244" s="750">
        <v>18.5</v>
      </c>
      <c r="K244" s="750">
        <v>18.5</v>
      </c>
      <c r="L244" s="750">
        <v>18.5</v>
      </c>
      <c r="M244" s="750">
        <v>18.5</v>
      </c>
      <c r="N244" s="750"/>
      <c r="O244"/>
    </row>
    <row r="245" spans="1:15" ht="15.5">
      <c r="A245" s="100"/>
      <c r="B245" s="744"/>
      <c r="C245" s="744"/>
      <c r="D245" s="744"/>
      <c r="E245" s="100" t="s">
        <v>9</v>
      </c>
      <c r="F245" s="750">
        <v>19.75</v>
      </c>
      <c r="G245" s="750">
        <v>19.75</v>
      </c>
      <c r="H245" s="750">
        <v>19.75</v>
      </c>
      <c r="I245" s="750">
        <v>19.75</v>
      </c>
      <c r="J245" s="750">
        <v>19.75</v>
      </c>
      <c r="K245" s="750">
        <v>19.75</v>
      </c>
      <c r="L245" s="750">
        <v>19.75</v>
      </c>
      <c r="M245" s="750">
        <v>19.75</v>
      </c>
      <c r="N245" s="750"/>
      <c r="O245"/>
    </row>
    <row r="246" spans="1:15">
      <c r="A246" s="100"/>
      <c r="B246" s="744"/>
      <c r="C246" s="744"/>
      <c r="D246" s="744"/>
      <c r="E246" s="100" t="s">
        <v>10</v>
      </c>
      <c r="F246" s="750">
        <v>16.75</v>
      </c>
      <c r="G246" s="750">
        <v>16.75</v>
      </c>
      <c r="H246" s="750">
        <v>16.75</v>
      </c>
      <c r="I246" s="750">
        <v>16.75</v>
      </c>
      <c r="J246" s="750">
        <v>17</v>
      </c>
      <c r="K246" s="750">
        <v>17</v>
      </c>
      <c r="L246" s="750">
        <v>17.5</v>
      </c>
      <c r="M246" s="750">
        <v>17.5</v>
      </c>
      <c r="N246" s="750"/>
      <c r="O246" s="740"/>
    </row>
    <row r="247" spans="1:15" ht="15.5">
      <c r="A247" s="100"/>
      <c r="B247" s="744"/>
      <c r="C247" s="744"/>
      <c r="D247" s="744"/>
      <c r="E247" s="100" t="s">
        <v>11</v>
      </c>
      <c r="F247" s="750">
        <v>19.5</v>
      </c>
      <c r="G247" s="750">
        <v>19.5</v>
      </c>
      <c r="H247" s="750">
        <v>19.5</v>
      </c>
      <c r="I247" s="750">
        <v>19.5</v>
      </c>
      <c r="J247" s="750">
        <v>19.5</v>
      </c>
      <c r="K247" s="750">
        <v>19.5</v>
      </c>
      <c r="L247" s="750">
        <v>19.5</v>
      </c>
      <c r="M247" s="750">
        <v>19.5</v>
      </c>
      <c r="N247" s="750"/>
      <c r="O247"/>
    </row>
    <row r="248" spans="1:15" ht="15.5">
      <c r="A248" s="100"/>
      <c r="B248" s="744"/>
      <c r="C248" s="744"/>
      <c r="D248" s="744"/>
      <c r="E248" s="100" t="s">
        <v>12</v>
      </c>
      <c r="F248" s="750">
        <v>16.75</v>
      </c>
      <c r="G248" s="750">
        <v>16.75</v>
      </c>
      <c r="H248" s="750">
        <v>17</v>
      </c>
      <c r="I248" s="750">
        <v>17.25</v>
      </c>
      <c r="J248" s="750">
        <v>18</v>
      </c>
      <c r="K248" s="750">
        <v>18.5</v>
      </c>
      <c r="L248" s="750">
        <v>18.5</v>
      </c>
      <c r="M248" s="750">
        <v>18.25</v>
      </c>
      <c r="N248" s="750"/>
      <c r="O248"/>
    </row>
    <row r="249" spans="1:15" ht="15.5">
      <c r="A249" s="100"/>
      <c r="B249" s="744"/>
      <c r="C249" s="744"/>
      <c r="D249" s="744"/>
      <c r="E249" s="100" t="s">
        <v>13</v>
      </c>
      <c r="F249" s="750">
        <v>18</v>
      </c>
      <c r="G249" s="750">
        <v>18</v>
      </c>
      <c r="H249" s="750">
        <v>18</v>
      </c>
      <c r="I249" s="750">
        <v>18</v>
      </c>
      <c r="J249" s="750">
        <v>18</v>
      </c>
      <c r="K249" s="750">
        <v>18</v>
      </c>
      <c r="L249" s="750">
        <v>18</v>
      </c>
      <c r="M249" s="750">
        <v>18</v>
      </c>
      <c r="N249" s="750"/>
      <c r="O249"/>
    </row>
    <row r="250" spans="1:15" ht="15.5">
      <c r="A250" s="100"/>
      <c r="B250" s="744"/>
      <c r="C250" s="744"/>
      <c r="D250" s="744"/>
      <c r="E250" s="100" t="s">
        <v>14</v>
      </c>
      <c r="F250" s="750">
        <v>19.5</v>
      </c>
      <c r="G250" s="750">
        <v>19.5</v>
      </c>
      <c r="H250" s="750">
        <v>19.5</v>
      </c>
      <c r="I250" s="750">
        <v>19.5</v>
      </c>
      <c r="J250" s="750">
        <v>19.5</v>
      </c>
      <c r="K250" s="750">
        <v>19.5</v>
      </c>
      <c r="L250" s="750">
        <v>19.5</v>
      </c>
      <c r="M250" s="750">
        <v>19.5</v>
      </c>
      <c r="N250" s="750"/>
      <c r="O250"/>
    </row>
    <row r="251" spans="1:15" ht="15.5">
      <c r="A251" s="100"/>
      <c r="B251" s="744"/>
      <c r="C251" s="744"/>
      <c r="D251" s="744"/>
      <c r="E251" s="100" t="s">
        <v>15</v>
      </c>
      <c r="F251" s="750">
        <v>19</v>
      </c>
      <c r="G251" s="750">
        <v>19</v>
      </c>
      <c r="H251" s="750">
        <v>19</v>
      </c>
      <c r="I251" s="750">
        <v>19</v>
      </c>
      <c r="J251" s="750">
        <v>19</v>
      </c>
      <c r="K251" s="750">
        <v>19</v>
      </c>
      <c r="L251" s="750">
        <v>19</v>
      </c>
      <c r="M251" s="750">
        <v>19</v>
      </c>
      <c r="N251" s="750"/>
      <c r="O251"/>
    </row>
    <row r="252" spans="1:15" ht="15.5">
      <c r="A252" s="100"/>
      <c r="B252" s="744"/>
      <c r="C252" s="744"/>
      <c r="D252" s="744"/>
      <c r="E252" s="100" t="s">
        <v>16</v>
      </c>
      <c r="F252" s="750">
        <v>17.75</v>
      </c>
      <c r="G252" s="750">
        <v>17.75</v>
      </c>
      <c r="H252" s="750">
        <v>17.5</v>
      </c>
      <c r="I252" s="750">
        <v>17.25</v>
      </c>
      <c r="J252" s="750">
        <v>17.25</v>
      </c>
      <c r="K252" s="750">
        <v>17.25</v>
      </c>
      <c r="L252" s="750">
        <v>17</v>
      </c>
      <c r="M252" s="750">
        <v>17</v>
      </c>
      <c r="N252" s="750"/>
      <c r="O252"/>
    </row>
    <row r="253" spans="1:15" ht="15.5">
      <c r="A253" s="100"/>
      <c r="B253" s="744"/>
      <c r="C253" s="744"/>
      <c r="D253" s="744"/>
      <c r="E253" s="100" t="s">
        <v>500</v>
      </c>
      <c r="F253" s="750">
        <v>17.705140362695765</v>
      </c>
      <c r="G253" s="750">
        <v>17.488200507878037</v>
      </c>
      <c r="H253" s="750">
        <v>17.509875773556587</v>
      </c>
      <c r="I253" s="750">
        <v>17.468895777931937</v>
      </c>
      <c r="J253" s="750">
        <v>17.555360863780759</v>
      </c>
      <c r="K253" s="750">
        <v>17.837493624858496</v>
      </c>
      <c r="L253" s="750">
        <v>17.89909774040207</v>
      </c>
      <c r="M253" s="750">
        <v>17.852711906743892</v>
      </c>
      <c r="N253" s="750"/>
      <c r="O253"/>
    </row>
    <row r="254" spans="1:15" ht="15.5">
      <c r="A254" s="100"/>
      <c r="B254" s="744"/>
      <c r="C254" s="744"/>
      <c r="D254" s="744"/>
      <c r="E254" s="100" t="s">
        <v>501</v>
      </c>
      <c r="F254" s="750">
        <v>17.662277858610739</v>
      </c>
      <c r="G254" s="750">
        <v>17.415415564693014</v>
      </c>
      <c r="H254" s="750">
        <v>17.435041745391157</v>
      </c>
      <c r="I254" s="750">
        <v>17.397103391653513</v>
      </c>
      <c r="J254" s="750">
        <v>17.499730697279571</v>
      </c>
      <c r="K254" s="750">
        <v>17.782641390644869</v>
      </c>
      <c r="L254" s="750">
        <v>17.851959017588168</v>
      </c>
      <c r="M254" s="750">
        <v>17.799765168450001</v>
      </c>
      <c r="N254" s="750"/>
      <c r="O254"/>
    </row>
    <row r="255" spans="1:15" ht="15.5">
      <c r="A255" s="100"/>
      <c r="B255" s="744"/>
      <c r="C255" s="744"/>
      <c r="D255" s="744"/>
      <c r="E255" s="100" t="s">
        <v>502</v>
      </c>
      <c r="F255" s="750">
        <v>18.040906596340292</v>
      </c>
      <c r="G255" s="750">
        <v>18.065042204818592</v>
      </c>
      <c r="H255" s="750">
        <v>18.112850556807267</v>
      </c>
      <c r="I255" s="750">
        <v>18.048907996347719</v>
      </c>
      <c r="J255" s="750">
        <v>18.007750046260625</v>
      </c>
      <c r="K255" s="750">
        <v>18.275572108082184</v>
      </c>
      <c r="L255" s="750">
        <v>18.275572108082184</v>
      </c>
      <c r="M255" s="750">
        <v>18.275572108082184</v>
      </c>
      <c r="N255" s="750"/>
      <c r="O255"/>
    </row>
    <row r="256" spans="1:15" ht="16" thickBot="1">
      <c r="A256" s="100"/>
      <c r="B256" s="744"/>
      <c r="C256" s="744"/>
      <c r="D256" s="744"/>
      <c r="E256" s="741" t="s">
        <v>18</v>
      </c>
      <c r="F256" s="751">
        <v>17.724811839527728</v>
      </c>
      <c r="G256" s="751">
        <v>17.603000827995199</v>
      </c>
      <c r="H256" s="751">
        <v>17.50554895682788</v>
      </c>
      <c r="I256" s="751">
        <v>17.373595220998947</v>
      </c>
      <c r="J256" s="751">
        <v>17.424745951586733</v>
      </c>
      <c r="K256" s="751">
        <v>17.587524316776737</v>
      </c>
      <c r="L256" s="751">
        <v>17.516545776335548</v>
      </c>
      <c r="M256" s="751">
        <v>17.489896386195582</v>
      </c>
      <c r="N256" s="750"/>
      <c r="O256"/>
    </row>
    <row r="257" spans="1:15" ht="16" thickBot="1">
      <c r="A257" s="741"/>
      <c r="B257" s="749"/>
      <c r="C257" s="749"/>
      <c r="D257" s="749"/>
      <c r="E257" s="749"/>
      <c r="F257" s="750"/>
      <c r="G257" s="750"/>
      <c r="H257" s="750"/>
      <c r="I257" s="750"/>
      <c r="J257" s="750"/>
      <c r="K257" s="750"/>
      <c r="L257" s="750"/>
      <c r="M257" s="750"/>
      <c r="N257" s="750"/>
      <c r="O257"/>
    </row>
    <row r="258" spans="1:15" ht="15.5">
      <c r="A258" s="742"/>
      <c r="B258" s="748"/>
      <c r="C258" s="748"/>
      <c r="D258" s="748"/>
      <c r="E258" s="748"/>
      <c r="F258" s="748"/>
      <c r="G258" s="748"/>
      <c r="H258" s="744"/>
      <c r="I258"/>
      <c r="J258"/>
      <c r="K258"/>
      <c r="L258"/>
      <c r="M258"/>
      <c r="N258"/>
      <c r="O258"/>
    </row>
    <row r="259" spans="1:15" ht="15.5">
      <c r="A259" s="742"/>
      <c r="B259" s="744"/>
      <c r="C259" s="744"/>
      <c r="D259" s="744"/>
      <c r="E259" s="744"/>
      <c r="F259" s="744"/>
      <c r="G259" s="744"/>
      <c r="H259" s="744"/>
      <c r="I259"/>
      <c r="J259"/>
      <c r="K259"/>
      <c r="L259"/>
      <c r="M259"/>
      <c r="N259"/>
      <c r="O259"/>
    </row>
    <row r="260" spans="1:15" ht="15.5">
      <c r="A260" s="743"/>
      <c r="B260" s="797"/>
      <c r="C260" s="797"/>
      <c r="D260" s="797"/>
      <c r="E260" s="797"/>
      <c r="F260" s="797"/>
      <c r="G260" s="797"/>
      <c r="H260" s="744"/>
      <c r="I260"/>
      <c r="J260"/>
      <c r="K260"/>
      <c r="L260"/>
      <c r="M260"/>
      <c r="N260"/>
      <c r="O260"/>
    </row>
    <row r="262" spans="1:15">
      <c r="E262" s="743" t="s">
        <v>505</v>
      </c>
      <c r="F262" s="100"/>
      <c r="G262" s="100"/>
    </row>
    <row r="263" spans="1:15">
      <c r="E263" s="742" t="s">
        <v>506</v>
      </c>
      <c r="F263" s="100"/>
      <c r="G263" s="100"/>
    </row>
    <row r="264" spans="1:15">
      <c r="E264" s="743" t="s">
        <v>507</v>
      </c>
      <c r="F264" s="100"/>
      <c r="G264" s="100"/>
    </row>
    <row r="265" spans="1:15">
      <c r="E265" s="743" t="s">
        <v>508</v>
      </c>
      <c r="F265" s="100"/>
      <c r="G265" s="100"/>
    </row>
    <row r="266" spans="1:15">
      <c r="E266" s="100"/>
      <c r="F266" s="100"/>
      <c r="G266" s="100"/>
    </row>
  </sheetData>
  <sortState xmlns:xlrd2="http://schemas.microsoft.com/office/spreadsheetml/2017/richdata2" ref="K92:L109">
    <sortCondition ref="L93:L109"/>
  </sortState>
  <mergeCells count="5">
    <mergeCell ref="B260:C260"/>
    <mergeCell ref="D260:E260"/>
    <mergeCell ref="F260:G260"/>
    <mergeCell ref="C236:D236"/>
    <mergeCell ref="F235:M235"/>
  </mergeCells>
  <phoneticPr fontId="120" type="noConversion"/>
  <hyperlinks>
    <hyperlink ref="A26" r:id="rId1" xr:uid="{083346EE-9AEC-49EB-8231-33F062888D1D}"/>
    <hyperlink ref="A47" r:id="rId2" xr:uid="{CEA30670-D3F5-409B-A090-24044DF1749D}"/>
    <hyperlink ref="A68" r:id="rId3" xr:uid="{85D2102C-78DC-47B0-895D-478C5B183516}"/>
  </hyperlinks>
  <pageMargins left="0.7" right="0.7" top="0.75" bottom="0.75" header="0.3" footer="0.3"/>
  <pageSetup paperSize="9" scale="86" orientation="landscape" r:id="rId4"/>
  <rowBreaks count="7" manualBreakCount="7">
    <brk id="27" max="16383" man="1"/>
    <brk id="48" max="16383" man="1"/>
    <brk id="69" max="16383" man="1"/>
    <brk id="90" max="16383" man="1"/>
    <brk id="121" max="16383" man="1"/>
    <brk id="149" max="16383" man="1"/>
    <brk id="178" max="16383" man="1"/>
  </rowBreaks>
  <drawing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102"/>
  <sheetViews>
    <sheetView topLeftCell="J61" zoomScaleNormal="100" workbookViewId="0">
      <selection activeCell="S88" sqref="S88"/>
    </sheetView>
  </sheetViews>
  <sheetFormatPr defaultRowHeight="15.5"/>
  <cols>
    <col min="1" max="1" width="15.4609375" customWidth="1"/>
    <col min="2" max="2" width="10.23046875" customWidth="1"/>
    <col min="3" max="3" width="13.69140625" customWidth="1"/>
    <col min="4" max="4" width="10.4609375" bestFit="1" customWidth="1"/>
    <col min="5" max="5" width="10.23046875" bestFit="1" customWidth="1"/>
    <col min="6" max="8" width="8.765625" bestFit="1" customWidth="1"/>
    <col min="9" max="9" width="2.23046875" customWidth="1"/>
    <col min="11" max="11" width="13.765625" customWidth="1"/>
    <col min="12" max="12" width="11.4609375" bestFit="1" customWidth="1"/>
    <col min="13" max="13" width="2.23046875" customWidth="1"/>
    <col min="14" max="14" width="2.69140625" customWidth="1"/>
    <col min="15" max="17" width="8.4609375" customWidth="1"/>
    <col min="18" max="18" width="3.23046875" customWidth="1"/>
    <col min="19" max="19" width="8.4609375" customWidth="1"/>
    <col min="20" max="20" width="11.3046875" customWidth="1"/>
    <col min="21" max="21" width="9.765625" customWidth="1"/>
    <col min="22" max="23" width="8.4609375" customWidth="1"/>
    <col min="24" max="24" width="7.765625" customWidth="1"/>
    <col min="25" max="25" width="9.23046875" customWidth="1"/>
    <col min="26" max="26" width="9.765625" customWidth="1"/>
    <col min="27" max="27" width="5.3046875" customWidth="1"/>
    <col min="28" max="28" width="3.84375" customWidth="1"/>
    <col min="29" max="29" width="12.53515625" customWidth="1"/>
    <col min="30" max="30" width="7.84375" customWidth="1"/>
    <col min="31" max="31" width="13.07421875" customWidth="1"/>
    <col min="32" max="32" width="2" customWidth="1"/>
    <col min="33" max="33" width="9.07421875" customWidth="1"/>
    <col min="34" max="34" width="8" customWidth="1"/>
    <col min="35" max="35" width="8.4609375" customWidth="1"/>
    <col min="36" max="36" width="2.23046875" customWidth="1"/>
    <col min="37" max="37" width="9.07421875" customWidth="1"/>
    <col min="38" max="38" width="4.4609375" customWidth="1"/>
    <col min="39" max="39" width="15.53515625" customWidth="1"/>
    <col min="42" max="42" width="2.23046875" customWidth="1"/>
    <col min="43" max="43" width="20.69140625" customWidth="1"/>
    <col min="44" max="44" width="11.23046875" customWidth="1"/>
    <col min="45" max="45" width="4.4609375" customWidth="1"/>
    <col min="46" max="46" width="15.53515625" customWidth="1"/>
  </cols>
  <sheetData>
    <row r="1" spans="1:46">
      <c r="A1" s="17" t="s">
        <v>56</v>
      </c>
      <c r="O1" s="17" t="s">
        <v>37</v>
      </c>
      <c r="AC1" s="17" t="s">
        <v>80</v>
      </c>
      <c r="AT1" s="24" t="s">
        <v>90</v>
      </c>
    </row>
    <row r="2" spans="1:46">
      <c r="A2" s="26" t="s">
        <v>96</v>
      </c>
      <c r="AC2" s="26" t="s">
        <v>100</v>
      </c>
      <c r="AT2" s="26" t="s">
        <v>95</v>
      </c>
    </row>
    <row r="3" spans="1:46">
      <c r="A3" s="26"/>
      <c r="D3" s="540"/>
      <c r="E3" s="540"/>
      <c r="F3" s="540"/>
      <c r="G3" s="540"/>
      <c r="H3" s="392"/>
      <c r="O3" s="100"/>
      <c r="P3" s="100"/>
      <c r="Q3" s="100"/>
      <c r="R3" s="100"/>
      <c r="S3" s="100"/>
      <c r="T3" s="100"/>
      <c r="U3" s="100"/>
      <c r="V3" s="100"/>
      <c r="W3" s="100"/>
      <c r="AC3" s="26"/>
      <c r="AT3" s="26"/>
    </row>
    <row r="4" spans="1:46">
      <c r="A4" s="67" t="s">
        <v>166</v>
      </c>
      <c r="B4" s="251"/>
      <c r="C4" s="251"/>
      <c r="D4" s="251"/>
      <c r="E4" s="251"/>
      <c r="F4" s="251"/>
      <c r="G4" s="251"/>
      <c r="H4" s="251"/>
      <c r="I4" s="251"/>
      <c r="J4" s="251"/>
      <c r="K4" s="251"/>
      <c r="L4" s="251"/>
      <c r="M4" s="251"/>
      <c r="N4" s="251"/>
      <c r="X4" s="251"/>
      <c r="Y4" s="251"/>
      <c r="Z4" s="251"/>
      <c r="AA4" s="251"/>
      <c r="AB4" s="251"/>
      <c r="AC4" s="67" t="s">
        <v>165</v>
      </c>
      <c r="AD4" s="251"/>
      <c r="AE4" s="251"/>
      <c r="AF4" s="251"/>
      <c r="AG4" s="251"/>
      <c r="AH4" s="251"/>
      <c r="AI4" s="251"/>
      <c r="AJ4" s="251"/>
      <c r="AK4" s="251"/>
      <c r="AT4" s="67" t="s">
        <v>165</v>
      </c>
    </row>
    <row r="5" spans="1:46">
      <c r="A5" s="251"/>
      <c r="B5" s="251"/>
      <c r="C5" s="251"/>
      <c r="D5" s="251"/>
      <c r="E5" s="277"/>
      <c r="F5" s="251"/>
      <c r="G5" s="251"/>
      <c r="H5" s="251"/>
      <c r="I5" s="251"/>
      <c r="J5" s="251"/>
      <c r="K5" s="251"/>
      <c r="L5" s="251"/>
      <c r="M5" s="251"/>
      <c r="N5" s="251"/>
      <c r="X5" s="251"/>
      <c r="Y5" s="251"/>
      <c r="Z5" s="251"/>
      <c r="AA5" s="251"/>
      <c r="AB5" s="251"/>
      <c r="AC5" s="251"/>
      <c r="AD5" s="251"/>
      <c r="AE5" s="251"/>
      <c r="AF5" s="251"/>
      <c r="AG5" s="251"/>
      <c r="AH5" s="251"/>
      <c r="AI5" s="251"/>
      <c r="AJ5" s="251"/>
      <c r="AK5" s="254"/>
    </row>
    <row r="6" spans="1:46">
      <c r="A6" s="172" t="s">
        <v>23</v>
      </c>
      <c r="B6" s="172"/>
      <c r="C6" s="172" t="s">
        <v>30</v>
      </c>
      <c r="D6" s="172" t="s">
        <v>57</v>
      </c>
      <c r="E6" s="172" t="s">
        <v>58</v>
      </c>
      <c r="F6" s="172" t="s">
        <v>59</v>
      </c>
      <c r="G6" s="172" t="s">
        <v>60</v>
      </c>
      <c r="H6" s="172" t="s">
        <v>61</v>
      </c>
      <c r="I6" s="251"/>
      <c r="J6" s="158" t="s">
        <v>156</v>
      </c>
      <c r="K6" s="157"/>
      <c r="L6" s="157"/>
      <c r="M6" s="251"/>
      <c r="N6" s="251"/>
      <c r="X6" s="251"/>
      <c r="Y6" s="251"/>
      <c r="Z6" s="251"/>
      <c r="AA6" s="251"/>
      <c r="AB6" s="251"/>
      <c r="AC6" s="172" t="s">
        <v>31</v>
      </c>
      <c r="AD6" s="172"/>
      <c r="AE6" s="172" t="s">
        <v>24</v>
      </c>
      <c r="AF6" s="172"/>
      <c r="AG6" s="172" t="s">
        <v>26</v>
      </c>
      <c r="AH6" s="172" t="s">
        <v>27</v>
      </c>
      <c r="AI6" s="172" t="s">
        <v>28</v>
      </c>
      <c r="AJ6" s="335"/>
      <c r="AK6" s="268" t="s">
        <v>25</v>
      </c>
    </row>
    <row r="7" spans="1:46" s="7" customFormat="1" ht="14.5">
      <c r="A7" s="340">
        <v>2015</v>
      </c>
      <c r="B7" s="340"/>
      <c r="C7" s="340"/>
      <c r="D7" s="340"/>
      <c r="E7" s="340"/>
      <c r="F7" s="340"/>
      <c r="G7" s="340"/>
      <c r="H7" s="340"/>
      <c r="I7" s="172"/>
      <c r="J7" s="157"/>
      <c r="K7" s="157"/>
      <c r="L7" s="157"/>
      <c r="M7" s="172"/>
      <c r="N7" s="172"/>
      <c r="O7" s="340">
        <v>2015</v>
      </c>
      <c r="P7" s="340"/>
      <c r="Q7" s="340"/>
      <c r="R7" s="100"/>
      <c r="S7" s="158" t="s">
        <v>156</v>
      </c>
      <c r="T7" s="157"/>
      <c r="U7" s="157"/>
      <c r="V7" s="157"/>
      <c r="W7" s="157"/>
      <c r="X7" s="172"/>
      <c r="Y7" s="172"/>
      <c r="Z7" s="172"/>
      <c r="AA7" s="172"/>
      <c r="AB7" s="172"/>
      <c r="AC7" s="349">
        <v>2015</v>
      </c>
      <c r="AD7" s="335"/>
      <c r="AE7" s="335"/>
      <c r="AF7" s="335"/>
      <c r="AG7" s="335"/>
      <c r="AH7" s="335"/>
      <c r="AI7" s="335"/>
      <c r="AJ7" s="335"/>
      <c r="AK7" s="335"/>
    </row>
    <row r="8" spans="1:46" s="7" customFormat="1" ht="14.5">
      <c r="A8" s="336" t="s">
        <v>22</v>
      </c>
      <c r="B8" s="337"/>
      <c r="C8" s="342">
        <f>C9*E8</f>
        <v>26246.25</v>
      </c>
      <c r="D8" s="342">
        <f>D9*E8</f>
        <v>16331.000000000002</v>
      </c>
      <c r="E8" s="342">
        <v>11665</v>
      </c>
      <c r="F8" s="342">
        <f>F9*E8</f>
        <v>4665.9999999999991</v>
      </c>
      <c r="G8" s="342">
        <f>G9*E8</f>
        <v>2332.9999999999995</v>
      </c>
      <c r="H8" s="342">
        <f>H9*E8</f>
        <v>1458.125</v>
      </c>
      <c r="I8" s="100"/>
      <c r="J8" s="212" t="s">
        <v>157</v>
      </c>
      <c r="K8" s="278"/>
      <c r="L8" s="159">
        <f>38394000-Basbelopp!T10</f>
        <v>37422153</v>
      </c>
      <c r="M8" s="100"/>
      <c r="N8" s="100"/>
      <c r="O8" s="336" t="s">
        <v>22</v>
      </c>
      <c r="P8" s="337"/>
      <c r="Q8" s="338">
        <f>T12</f>
        <v>38821</v>
      </c>
      <c r="R8" s="172"/>
      <c r="S8" s="157" t="s">
        <v>172</v>
      </c>
      <c r="T8" s="157"/>
      <c r="U8" s="157"/>
      <c r="V8" s="157"/>
      <c r="W8" s="157"/>
      <c r="X8" s="100"/>
      <c r="Y8" s="100"/>
      <c r="Z8" s="100"/>
      <c r="AA8" s="100"/>
      <c r="AB8" s="100"/>
      <c r="AC8" s="336" t="s">
        <v>22</v>
      </c>
      <c r="AD8" s="337"/>
      <c r="AE8" s="338">
        <v>10849.67</v>
      </c>
      <c r="AF8" s="338"/>
      <c r="AG8" s="338">
        <v>1311</v>
      </c>
      <c r="AH8" s="338">
        <v>5813</v>
      </c>
      <c r="AI8" s="338">
        <v>21095</v>
      </c>
      <c r="AJ8" s="339"/>
      <c r="AK8" s="338">
        <v>1026.3</v>
      </c>
    </row>
    <row r="9" spans="1:46" s="7" customFormat="1" ht="14.5">
      <c r="A9" s="143" t="s">
        <v>79</v>
      </c>
      <c r="B9" s="100"/>
      <c r="C9" s="279">
        <v>2.25</v>
      </c>
      <c r="D9" s="279">
        <v>1.4000000000000001</v>
      </c>
      <c r="E9" s="279">
        <v>1</v>
      </c>
      <c r="F9" s="279">
        <v>0.39999999999999991</v>
      </c>
      <c r="G9" s="279">
        <v>0.19999999999999996</v>
      </c>
      <c r="H9" s="279">
        <v>0.125</v>
      </c>
      <c r="I9" s="100"/>
      <c r="J9" s="212" t="s">
        <v>174</v>
      </c>
      <c r="K9" s="280"/>
      <c r="L9" s="159">
        <v>3208</v>
      </c>
      <c r="M9" s="100"/>
      <c r="N9" s="100"/>
      <c r="O9" s="100"/>
      <c r="P9" s="100"/>
      <c r="Q9" s="100"/>
      <c r="R9" s="172"/>
      <c r="S9" s="157"/>
      <c r="T9" s="157"/>
      <c r="U9" s="157"/>
      <c r="V9" s="157"/>
      <c r="W9" s="157"/>
      <c r="X9" s="100"/>
      <c r="Y9" s="100"/>
      <c r="Z9" s="100"/>
      <c r="AA9" s="100"/>
      <c r="AB9" s="100"/>
      <c r="AC9" s="67" t="s">
        <v>163</v>
      </c>
      <c r="AD9" s="251"/>
      <c r="AE9" s="267"/>
      <c r="AF9" s="267"/>
      <c r="AG9" s="267"/>
      <c r="AH9" s="267"/>
      <c r="AI9" s="267"/>
      <c r="AJ9" s="335"/>
      <c r="AK9" s="267"/>
    </row>
    <row r="10" spans="1:46">
      <c r="A10" s="251"/>
      <c r="B10" s="251"/>
      <c r="C10" s="251"/>
      <c r="D10" s="251"/>
      <c r="E10" s="251"/>
      <c r="F10" s="251"/>
      <c r="G10" s="251"/>
      <c r="H10" s="251"/>
      <c r="I10" s="251"/>
      <c r="J10" s="212" t="s">
        <v>159</v>
      </c>
      <c r="K10" s="280"/>
      <c r="L10" s="159">
        <f>ROUND(L8/L9,0)</f>
        <v>11665</v>
      </c>
      <c r="M10" s="30"/>
      <c r="N10" s="30"/>
      <c r="R10" s="100"/>
      <c r="S10" s="212" t="s">
        <v>158</v>
      </c>
      <c r="T10" s="159">
        <v>971847</v>
      </c>
      <c r="U10" s="159"/>
      <c r="V10" s="159"/>
      <c r="W10" s="159"/>
      <c r="X10" s="30"/>
      <c r="Y10" s="30"/>
      <c r="Z10" s="30"/>
      <c r="AA10" s="30"/>
      <c r="AB10" s="30"/>
      <c r="AC10" s="251"/>
      <c r="AD10" s="251"/>
      <c r="AE10" s="267"/>
      <c r="AF10" s="267"/>
      <c r="AG10" s="267"/>
      <c r="AH10" s="267"/>
      <c r="AI10" s="267"/>
      <c r="AJ10" s="335"/>
      <c r="AK10" s="269"/>
    </row>
    <row r="11" spans="1:46">
      <c r="A11" s="340">
        <v>2017</v>
      </c>
      <c r="B11" s="340"/>
      <c r="C11" s="340"/>
      <c r="D11" s="340"/>
      <c r="E11" s="340"/>
      <c r="F11" s="340"/>
      <c r="G11" s="340"/>
      <c r="H11" s="340"/>
      <c r="I11" s="251"/>
      <c r="J11" s="251"/>
      <c r="K11" s="251"/>
      <c r="L11" s="100"/>
      <c r="M11" s="31"/>
      <c r="N11" s="31"/>
      <c r="O11" s="340">
        <v>2017</v>
      </c>
      <c r="P11" s="340"/>
      <c r="Q11" s="340"/>
      <c r="R11" s="100"/>
      <c r="S11" s="212" t="s">
        <v>173</v>
      </c>
      <c r="T11" s="215">
        <f>7/12*18+5/12*21</f>
        <v>19.25</v>
      </c>
      <c r="U11" s="215"/>
      <c r="V11" s="215"/>
      <c r="W11" s="215"/>
      <c r="X11" s="31"/>
      <c r="Y11" s="31"/>
      <c r="Z11" s="31"/>
      <c r="AA11" s="31"/>
      <c r="AB11" s="31"/>
      <c r="AC11" s="349">
        <v>2017</v>
      </c>
      <c r="AD11" s="335"/>
      <c r="AE11" s="335"/>
      <c r="AF11" s="335"/>
      <c r="AG11" s="335"/>
      <c r="AH11" s="335"/>
      <c r="AI11" s="335"/>
      <c r="AJ11" s="335"/>
      <c r="AK11" s="335"/>
    </row>
    <row r="12" spans="1:46">
      <c r="A12" s="213" t="s">
        <v>186</v>
      </c>
      <c r="B12" s="214">
        <f>151.2/150.1</f>
        <v>1.0073284477015323</v>
      </c>
      <c r="C12" s="172"/>
      <c r="D12" s="172"/>
      <c r="E12" s="172"/>
      <c r="F12" s="172"/>
      <c r="G12" s="172"/>
      <c r="H12" s="172"/>
      <c r="I12" s="251"/>
      <c r="J12" s="67" t="s">
        <v>161</v>
      </c>
      <c r="K12" s="100"/>
      <c r="L12" s="100"/>
      <c r="M12" s="31"/>
      <c r="N12" s="31"/>
      <c r="O12" s="213" t="s">
        <v>186</v>
      </c>
      <c r="P12" s="214">
        <f>Basbelopp!B12</f>
        <v>1.0073284477015323</v>
      </c>
      <c r="Q12" s="172"/>
      <c r="R12" s="100"/>
      <c r="S12" s="212" t="s">
        <v>160</v>
      </c>
      <c r="T12" s="159">
        <f>ROUND(T10/T11-Basbelopp!L10,0)</f>
        <v>38821</v>
      </c>
      <c r="U12" s="159"/>
      <c r="V12" s="159"/>
      <c r="W12" s="159"/>
      <c r="X12" s="31"/>
      <c r="Y12" s="31"/>
      <c r="Z12" s="31"/>
      <c r="AA12" s="31"/>
      <c r="AB12" s="31"/>
      <c r="AC12" s="213" t="s">
        <v>186</v>
      </c>
      <c r="AD12" s="214">
        <f>Basbelopp!B12</f>
        <v>1.0073284477015323</v>
      </c>
      <c r="AE12" s="270"/>
      <c r="AF12" s="270"/>
      <c r="AG12" s="270"/>
      <c r="AH12" s="270"/>
      <c r="AI12" s="270"/>
      <c r="AJ12" s="335"/>
      <c r="AK12" s="270"/>
    </row>
    <row r="13" spans="1:46">
      <c r="A13" s="336" t="s">
        <v>22</v>
      </c>
      <c r="B13" s="342"/>
      <c r="C13" s="342">
        <f t="shared" ref="C13:H13" si="0">$B$12*C8</f>
        <v>26438.594270486341</v>
      </c>
      <c r="D13" s="342">
        <f t="shared" si="0"/>
        <v>16450.680879413725</v>
      </c>
      <c r="E13" s="342">
        <f t="shared" si="0"/>
        <v>11750.486342438375</v>
      </c>
      <c r="F13" s="342">
        <f t="shared" si="0"/>
        <v>4700.1945369753485</v>
      </c>
      <c r="G13" s="342">
        <f t="shared" si="0"/>
        <v>2350.0972684876742</v>
      </c>
      <c r="H13" s="342">
        <f t="shared" si="0"/>
        <v>1468.8107928047968</v>
      </c>
      <c r="I13" s="251"/>
      <c r="J13" s="251"/>
      <c r="K13" s="251"/>
      <c r="L13" s="251"/>
      <c r="M13" s="31"/>
      <c r="N13" s="31"/>
      <c r="O13" s="336" t="s">
        <v>22</v>
      </c>
      <c r="P13" s="341"/>
      <c r="Q13" s="513">
        <f>P12*Q8</f>
        <v>39105.497668221185</v>
      </c>
      <c r="R13" s="100"/>
      <c r="S13" s="100"/>
      <c r="T13" s="100"/>
      <c r="U13" s="100"/>
      <c r="V13" s="100"/>
      <c r="W13" s="100"/>
      <c r="X13" s="31"/>
      <c r="Y13" s="31"/>
      <c r="Z13" s="31"/>
      <c r="AA13" s="31"/>
      <c r="AB13" s="31"/>
      <c r="AC13" s="336" t="s">
        <v>22</v>
      </c>
      <c r="AD13" s="337"/>
      <c r="AE13" s="338">
        <f>AE8*$AD$12</f>
        <v>10929.181239173884</v>
      </c>
      <c r="AF13" s="338"/>
      <c r="AG13" s="338">
        <f>AG8*$AD$12</f>
        <v>1320.6075949367089</v>
      </c>
      <c r="AH13" s="338">
        <f>AH8*$AD$12</f>
        <v>5855.6002664890075</v>
      </c>
      <c r="AI13" s="338">
        <f>AI8*$AD$12</f>
        <v>21249.593604263824</v>
      </c>
      <c r="AJ13" s="339"/>
      <c r="AK13" s="338">
        <f>AK8*$AD$12</f>
        <v>1033.8211858760826</v>
      </c>
    </row>
    <row r="14" spans="1:46">
      <c r="A14" s="251"/>
      <c r="B14" s="251"/>
      <c r="C14" s="251"/>
      <c r="D14" s="251"/>
      <c r="E14" s="251"/>
      <c r="F14" s="251"/>
      <c r="G14" s="251"/>
      <c r="H14" s="251"/>
      <c r="I14" s="251"/>
      <c r="J14" s="251"/>
      <c r="K14" s="251"/>
      <c r="L14" s="251"/>
      <c r="M14" s="31"/>
      <c r="N14" s="31"/>
      <c r="O14" s="100"/>
      <c r="P14" s="216"/>
      <c r="Q14" s="100"/>
      <c r="R14" s="100"/>
      <c r="S14" s="100"/>
      <c r="T14" s="100"/>
      <c r="U14" s="100"/>
      <c r="V14" s="100"/>
      <c r="W14" s="100"/>
      <c r="X14" s="31"/>
      <c r="Y14" s="31"/>
      <c r="Z14" s="31"/>
      <c r="AA14" s="31"/>
      <c r="AB14" s="31"/>
      <c r="AC14" s="251"/>
      <c r="AD14" s="271"/>
      <c r="AE14" s="267"/>
      <c r="AF14" s="267"/>
      <c r="AG14" s="267"/>
      <c r="AH14" s="267"/>
      <c r="AI14" s="267"/>
      <c r="AJ14" s="335"/>
      <c r="AK14" s="269"/>
    </row>
    <row r="15" spans="1:46">
      <c r="A15" s="340">
        <v>2018</v>
      </c>
      <c r="B15" s="340"/>
      <c r="C15" s="340"/>
      <c r="D15" s="340"/>
      <c r="E15" s="340"/>
      <c r="F15" s="340"/>
      <c r="G15" s="340"/>
      <c r="H15" s="340"/>
      <c r="I15" s="251"/>
      <c r="J15" s="251"/>
      <c r="K15" s="251"/>
      <c r="L15" s="251"/>
      <c r="M15" s="31"/>
      <c r="N15" s="31"/>
      <c r="O15" s="340">
        <v>2018</v>
      </c>
      <c r="P15" s="340"/>
      <c r="Q15" s="340"/>
      <c r="R15" s="100"/>
      <c r="S15" s="100"/>
      <c r="T15" s="100"/>
      <c r="U15" s="100"/>
      <c r="V15" s="100"/>
      <c r="W15" s="100"/>
      <c r="X15" s="31"/>
      <c r="Y15" s="31"/>
      <c r="Z15" s="31"/>
      <c r="AA15" s="31"/>
      <c r="AB15" s="31"/>
      <c r="AC15" s="349">
        <v>2018</v>
      </c>
      <c r="AD15" s="335"/>
      <c r="AE15" s="335"/>
      <c r="AF15" s="335"/>
      <c r="AG15" s="335"/>
      <c r="AH15" s="335"/>
      <c r="AI15" s="335"/>
      <c r="AJ15" s="335"/>
      <c r="AK15" s="335"/>
    </row>
    <row r="16" spans="1:46">
      <c r="A16" s="213" t="s">
        <v>185</v>
      </c>
      <c r="B16" s="214">
        <v>1.0006613756613758</v>
      </c>
      <c r="C16" s="172"/>
      <c r="D16" s="172"/>
      <c r="E16" s="172"/>
      <c r="F16" s="172"/>
      <c r="G16" s="172"/>
      <c r="H16" s="172"/>
      <c r="I16" s="251"/>
      <c r="J16" s="251"/>
      <c r="K16" s="251"/>
      <c r="L16" s="271"/>
      <c r="M16" s="31"/>
      <c r="N16" s="31"/>
      <c r="O16" s="213" t="s">
        <v>185</v>
      </c>
      <c r="P16" s="214">
        <v>1.0006613756613758</v>
      </c>
      <c r="Q16" s="172"/>
      <c r="R16" s="100"/>
      <c r="S16" s="100"/>
      <c r="T16" s="100"/>
      <c r="U16" s="100"/>
      <c r="V16" s="100"/>
      <c r="W16" s="100"/>
      <c r="X16" s="31"/>
      <c r="Y16" s="31"/>
      <c r="Z16" s="31"/>
      <c r="AA16" s="31"/>
      <c r="AB16" s="31"/>
      <c r="AC16" s="213" t="s">
        <v>185</v>
      </c>
      <c r="AD16" s="214">
        <v>1.0006613756613758</v>
      </c>
      <c r="AE16" s="270"/>
      <c r="AF16" s="270"/>
      <c r="AG16" s="270"/>
      <c r="AH16" s="270"/>
      <c r="AI16" s="270"/>
      <c r="AJ16" s="335"/>
      <c r="AK16" s="270"/>
    </row>
    <row r="17" spans="1:44">
      <c r="A17" s="336" t="s">
        <v>22</v>
      </c>
      <c r="B17" s="342"/>
      <c r="C17" s="342">
        <v>26456.080000000002</v>
      </c>
      <c r="D17" s="342">
        <v>16461.560000000001</v>
      </c>
      <c r="E17" s="342">
        <v>11758.26</v>
      </c>
      <c r="F17" s="342">
        <v>4703.3</v>
      </c>
      <c r="G17" s="342">
        <v>2351.65</v>
      </c>
      <c r="H17" s="342">
        <v>1469.78</v>
      </c>
      <c r="I17" s="251"/>
      <c r="J17" s="251"/>
      <c r="K17" s="251"/>
      <c r="L17" s="251"/>
      <c r="M17" s="31"/>
      <c r="N17" s="31"/>
      <c r="O17" s="336" t="s">
        <v>22</v>
      </c>
      <c r="P17" s="337"/>
      <c r="Q17" s="338">
        <v>39131.360000000001</v>
      </c>
      <c r="R17" s="100"/>
      <c r="S17" s="100"/>
      <c r="T17" s="100"/>
      <c r="U17" s="100"/>
      <c r="V17" s="100"/>
      <c r="W17" s="100"/>
      <c r="X17" s="31"/>
      <c r="Y17" s="31"/>
      <c r="Z17" s="31"/>
      <c r="AA17" s="31"/>
      <c r="AB17" s="31"/>
      <c r="AC17" s="336" t="s">
        <v>22</v>
      </c>
      <c r="AD17" s="337"/>
      <c r="AE17" s="338">
        <f>ROUND(AE13*$AD$16,2)</f>
        <v>10936.41</v>
      </c>
      <c r="AF17" s="338"/>
      <c r="AG17" s="338">
        <f>ROUND(AG13*$AD$16,2)</f>
        <v>1321.48</v>
      </c>
      <c r="AH17" s="338">
        <f>ROUND(AH13*$AD$16,2)</f>
        <v>5859.47</v>
      </c>
      <c r="AI17" s="338">
        <f>ROUND(AI13*$AD$16,2)</f>
        <v>21263.65</v>
      </c>
      <c r="AJ17" s="335"/>
      <c r="AK17" s="338">
        <f>ROUND(AK13*$AD$16,2)</f>
        <v>1034.5</v>
      </c>
    </row>
    <row r="18" spans="1:44">
      <c r="A18" s="198"/>
      <c r="B18" s="391"/>
      <c r="C18" s="391"/>
      <c r="D18" s="391"/>
      <c r="E18" s="391"/>
      <c r="F18" s="391"/>
      <c r="G18" s="391"/>
      <c r="H18" s="391"/>
      <c r="I18" s="251"/>
      <c r="J18" s="251"/>
      <c r="K18" s="251"/>
      <c r="L18" s="251"/>
      <c r="M18" s="31"/>
      <c r="N18" s="31"/>
      <c r="O18" s="100"/>
      <c r="P18" s="216"/>
      <c r="Q18" s="100"/>
      <c r="R18" s="100"/>
      <c r="S18" s="100"/>
      <c r="X18" s="31"/>
      <c r="Y18" s="31"/>
      <c r="Z18" s="31"/>
      <c r="AA18" s="31"/>
      <c r="AB18" s="31"/>
      <c r="AC18" s="251"/>
      <c r="AD18" s="271"/>
      <c r="AE18" s="267"/>
      <c r="AF18" s="267"/>
      <c r="AG18" s="267"/>
      <c r="AH18" s="267"/>
      <c r="AI18" s="267"/>
      <c r="AJ18" s="335"/>
      <c r="AK18" s="269"/>
    </row>
    <row r="19" spans="1:44">
      <c r="A19" s="340">
        <v>2019</v>
      </c>
      <c r="B19" s="340"/>
      <c r="C19" s="340"/>
      <c r="D19" s="340"/>
      <c r="E19" s="340"/>
      <c r="F19" s="340"/>
      <c r="G19" s="340"/>
      <c r="H19" s="340"/>
      <c r="I19" s="251"/>
      <c r="J19" s="251"/>
      <c r="K19" s="251"/>
      <c r="L19" s="251"/>
      <c r="M19" s="31"/>
      <c r="N19" s="31"/>
      <c r="O19" s="340">
        <v>2019</v>
      </c>
      <c r="P19" s="340"/>
      <c r="Q19" s="340"/>
      <c r="R19" s="100"/>
      <c r="S19" s="100"/>
      <c r="X19" s="31"/>
      <c r="Y19" s="31"/>
      <c r="Z19" s="31"/>
      <c r="AA19" s="31"/>
      <c r="AB19" s="31"/>
      <c r="AC19" s="349">
        <v>2019</v>
      </c>
      <c r="AD19" s="335"/>
      <c r="AE19" s="335"/>
      <c r="AF19" s="335"/>
      <c r="AG19" s="335"/>
      <c r="AH19" s="335"/>
      <c r="AI19" s="335"/>
      <c r="AJ19" s="335"/>
      <c r="AK19" s="335"/>
    </row>
    <row r="20" spans="1:44">
      <c r="A20" s="213" t="s">
        <v>187</v>
      </c>
      <c r="B20" s="214">
        <v>0.98545935228023795</v>
      </c>
      <c r="C20" s="172"/>
      <c r="D20" s="318" t="s">
        <v>183</v>
      </c>
      <c r="E20" s="213">
        <v>151.30000000000001</v>
      </c>
      <c r="F20" s="318" t="s">
        <v>184</v>
      </c>
      <c r="G20" s="213">
        <v>149.1</v>
      </c>
      <c r="H20" s="172"/>
      <c r="I20" s="251"/>
      <c r="J20" s="251" t="s">
        <v>251</v>
      </c>
      <c r="K20" s="251"/>
      <c r="L20" s="251"/>
      <c r="M20" s="31"/>
      <c r="N20" s="31"/>
      <c r="O20" s="214" t="str">
        <f>Basbelopp!A24</f>
        <v>Indexförändring 2019</v>
      </c>
      <c r="P20" s="214">
        <f>B20</f>
        <v>0.98545935228023795</v>
      </c>
      <c r="Q20" s="172"/>
      <c r="R20" s="100"/>
      <c r="S20" s="100"/>
      <c r="X20" s="31"/>
      <c r="Y20" s="31"/>
      <c r="Z20" s="31"/>
      <c r="AA20" s="31"/>
      <c r="AB20" s="31"/>
      <c r="AC20" s="214" t="s">
        <v>187</v>
      </c>
      <c r="AD20" s="214">
        <v>0.98545935228023784</v>
      </c>
      <c r="AE20" s="270"/>
      <c r="AF20" s="270"/>
      <c r="AG20" s="270"/>
      <c r="AH20" s="270"/>
      <c r="AI20" s="270"/>
      <c r="AJ20" s="335"/>
      <c r="AK20" s="270"/>
    </row>
    <row r="21" spans="1:44">
      <c r="A21" s="336" t="s">
        <v>22</v>
      </c>
      <c r="B21" s="342"/>
      <c r="C21" s="342">
        <v>26071.39</v>
      </c>
      <c r="D21" s="342">
        <v>16222.2</v>
      </c>
      <c r="E21" s="342">
        <v>11587.29</v>
      </c>
      <c r="F21" s="342">
        <v>4634.91</v>
      </c>
      <c r="G21" s="342">
        <v>2317.46</v>
      </c>
      <c r="H21" s="342">
        <v>1448.41</v>
      </c>
      <c r="I21" s="251"/>
      <c r="J21" s="251"/>
      <c r="K21" s="251"/>
      <c r="L21" s="251"/>
      <c r="M21" s="31"/>
      <c r="N21" s="31"/>
      <c r="O21" s="336" t="s">
        <v>22</v>
      </c>
      <c r="P21" s="337"/>
      <c r="Q21" s="338">
        <f>ROUND(P20*Q17,2)</f>
        <v>38562.36</v>
      </c>
      <c r="X21" s="31"/>
      <c r="Y21" s="31"/>
      <c r="Z21" s="31"/>
      <c r="AA21" s="31"/>
      <c r="AB21" s="31"/>
      <c r="AC21" s="336" t="s">
        <v>22</v>
      </c>
      <c r="AD21" s="337"/>
      <c r="AE21" s="338">
        <f>ROUND($AD$20*AE17,2)</f>
        <v>10777.39</v>
      </c>
      <c r="AF21" s="338"/>
      <c r="AG21" s="338">
        <f>ROUND($AD$20*AG17,2)</f>
        <v>1302.26</v>
      </c>
      <c r="AH21" s="338">
        <f>ROUND($AD$20*AH17,2)</f>
        <v>5774.27</v>
      </c>
      <c r="AI21" s="338">
        <f>ROUND($AD$20*AI17,2)</f>
        <v>20954.46</v>
      </c>
      <c r="AJ21" s="335"/>
      <c r="AK21" s="338">
        <f>ROUND($AD$20*AK17,2)</f>
        <v>1019.46</v>
      </c>
    </row>
    <row r="22" spans="1:44">
      <c r="A22" s="251"/>
      <c r="B22" s="251"/>
      <c r="C22" s="251"/>
      <c r="D22" s="251"/>
      <c r="E22" s="251"/>
      <c r="F22" s="251"/>
      <c r="G22" s="251"/>
      <c r="H22" s="251"/>
      <c r="I22" s="251"/>
      <c r="J22" s="251"/>
      <c r="K22" s="251"/>
      <c r="L22" s="251"/>
      <c r="M22" s="31"/>
      <c r="N22" s="31"/>
      <c r="X22" s="31"/>
      <c r="Y22" s="31"/>
      <c r="Z22" s="31"/>
      <c r="AA22" s="31"/>
      <c r="AB22" s="31"/>
      <c r="AC22" s="251"/>
      <c r="AD22" s="271"/>
      <c r="AE22" s="267"/>
      <c r="AF22" s="267"/>
      <c r="AG22" s="267"/>
      <c r="AH22" s="267"/>
      <c r="AI22" s="267"/>
      <c r="AJ22" s="335"/>
      <c r="AK22" s="269"/>
    </row>
    <row r="23" spans="1:44" ht="16" thickBot="1">
      <c r="A23" s="340">
        <v>2020</v>
      </c>
      <c r="B23" s="340"/>
      <c r="C23" s="340"/>
      <c r="D23" s="340"/>
      <c r="E23" s="340"/>
      <c r="F23" s="340"/>
      <c r="G23" s="340"/>
      <c r="H23" s="340"/>
      <c r="I23" s="251"/>
      <c r="L23" s="251"/>
      <c r="M23" s="31"/>
      <c r="N23" s="31"/>
      <c r="O23" s="340">
        <v>2020</v>
      </c>
      <c r="P23" s="340"/>
      <c r="Q23" s="340"/>
      <c r="X23" s="31"/>
      <c r="Y23" s="31"/>
      <c r="Z23" s="31"/>
      <c r="AA23" s="31"/>
      <c r="AB23" s="31"/>
      <c r="AC23" s="349">
        <v>2020</v>
      </c>
      <c r="AD23" s="335"/>
      <c r="AE23" s="335"/>
      <c r="AF23" s="335"/>
      <c r="AG23" s="335"/>
      <c r="AH23" s="335"/>
      <c r="AI23" s="335"/>
      <c r="AJ23" s="335"/>
      <c r="AK23" s="335"/>
    </row>
    <row r="24" spans="1:44" ht="16.5" thickTop="1" thickBot="1">
      <c r="A24" s="316" t="s">
        <v>222</v>
      </c>
      <c r="B24" s="317">
        <f>G24/E24</f>
        <v>1.0090543259557343</v>
      </c>
      <c r="C24" s="172"/>
      <c r="D24" s="318" t="s">
        <v>184</v>
      </c>
      <c r="E24" s="213">
        <v>99.4</v>
      </c>
      <c r="F24" s="318" t="s">
        <v>223</v>
      </c>
      <c r="G24" s="213">
        <v>100.3</v>
      </c>
      <c r="H24" s="172"/>
      <c r="I24" s="251"/>
      <c r="J24" s="251"/>
      <c r="K24" s="251"/>
      <c r="L24" s="251"/>
      <c r="M24" s="31"/>
      <c r="N24" s="31"/>
      <c r="O24" s="214" t="str">
        <f>A24</f>
        <v>Indexförändring 2019</v>
      </c>
      <c r="P24" s="214">
        <f>B24</f>
        <v>1.0090543259557343</v>
      </c>
      <c r="Q24" s="172"/>
      <c r="X24" s="31"/>
      <c r="Y24" s="31"/>
      <c r="Z24" s="31"/>
      <c r="AA24" s="31"/>
      <c r="AB24" s="31"/>
      <c r="AC24" s="214" t="str">
        <f>Basbelopp!A24</f>
        <v>Indexförändring 2019</v>
      </c>
      <c r="AD24" s="214">
        <f>Basbelopp!B24</f>
        <v>1.0090543259557343</v>
      </c>
      <c r="AE24" s="270"/>
      <c r="AF24" s="270"/>
      <c r="AG24" s="270"/>
      <c r="AH24" s="270"/>
      <c r="AI24" s="270"/>
      <c r="AJ24" s="335"/>
      <c r="AK24" s="270"/>
    </row>
    <row r="25" spans="1:44" ht="16" thickTop="1">
      <c r="A25" s="336" t="s">
        <v>22</v>
      </c>
      <c r="B25" s="342"/>
      <c r="C25" s="342">
        <f>ROUND($B$24*C21,2)</f>
        <v>26307.45</v>
      </c>
      <c r="D25" s="342">
        <f>ROUND($B$24*D21,2)</f>
        <v>16369.08</v>
      </c>
      <c r="E25" s="342">
        <f t="shared" ref="E25:H25" si="1">ROUND($B$24*E21,2)</f>
        <v>11692.21</v>
      </c>
      <c r="F25" s="342">
        <f t="shared" si="1"/>
        <v>4676.88</v>
      </c>
      <c r="G25" s="342">
        <f t="shared" si="1"/>
        <v>2338.44</v>
      </c>
      <c r="H25" s="342">
        <f t="shared" si="1"/>
        <v>1461.52</v>
      </c>
      <c r="I25" s="251"/>
      <c r="J25" s="251" t="s">
        <v>252</v>
      </c>
      <c r="K25" s="251"/>
      <c r="L25" s="251"/>
      <c r="M25" s="31"/>
      <c r="N25" s="31"/>
      <c r="O25" s="336" t="s">
        <v>22</v>
      </c>
      <c r="P25" s="337"/>
      <c r="Q25" s="338">
        <f>ROUND(P24*Q21,2)</f>
        <v>38911.519999999997</v>
      </c>
      <c r="X25" s="31"/>
      <c r="Y25" s="31"/>
      <c r="Z25" s="31"/>
      <c r="AA25" s="31"/>
      <c r="AB25" s="31"/>
      <c r="AC25" s="336" t="s">
        <v>22</v>
      </c>
      <c r="AD25" s="337"/>
      <c r="AE25" s="338">
        <f>ROUND($AD$24*AE21,2)</f>
        <v>10874.97</v>
      </c>
      <c r="AF25" s="338"/>
      <c r="AG25" s="338">
        <f>ROUND($AD$24*AG21,2)</f>
        <v>1314.05</v>
      </c>
      <c r="AH25" s="338">
        <f>ROUND($AD$24*AH21,2)</f>
        <v>5826.55</v>
      </c>
      <c r="AI25" s="338">
        <f>ROUND($AD$24*AI21,2)</f>
        <v>21144.19</v>
      </c>
      <c r="AJ25" s="335"/>
      <c r="AK25" s="338">
        <f>ROUND($AD$24*AK21,2)</f>
        <v>1028.69</v>
      </c>
    </row>
    <row r="26" spans="1:44" ht="16" thickBot="1">
      <c r="A26" s="251"/>
      <c r="B26" s="251"/>
      <c r="C26" s="251"/>
      <c r="D26" s="251"/>
      <c r="E26" s="251"/>
      <c r="F26" s="251"/>
      <c r="G26" s="251"/>
      <c r="H26" s="251"/>
      <c r="I26" s="251"/>
      <c r="J26" s="251"/>
      <c r="K26" s="251"/>
      <c r="L26" s="251"/>
      <c r="M26" s="31"/>
      <c r="N26" s="31"/>
      <c r="X26" s="31"/>
      <c r="Y26" s="31"/>
      <c r="Z26" s="31"/>
      <c r="AA26" s="31"/>
      <c r="AB26" s="31"/>
      <c r="AN26" s="801" t="s">
        <v>401</v>
      </c>
      <c r="AO26" s="801"/>
      <c r="AP26" s="801"/>
      <c r="AQ26" s="801"/>
      <c r="AR26" s="801"/>
    </row>
    <row r="27" spans="1:44" s="632" customFormat="1" ht="16" thickBot="1">
      <c r="A27" s="634"/>
      <c r="B27" s="635"/>
      <c r="C27" s="635"/>
      <c r="D27" s="636"/>
      <c r="E27" s="635"/>
      <c r="F27" s="635"/>
      <c r="G27" s="635"/>
      <c r="H27" s="635"/>
      <c r="I27" s="635"/>
      <c r="M27" s="637"/>
      <c r="N27" s="637"/>
      <c r="X27" s="637"/>
      <c r="Y27" s="637"/>
      <c r="Z27" s="637"/>
      <c r="AA27" s="637"/>
      <c r="AB27" s="637"/>
      <c r="AN27" s="802" t="s">
        <v>401</v>
      </c>
      <c r="AO27" s="802"/>
      <c r="AP27" s="802"/>
      <c r="AQ27" s="802"/>
      <c r="AR27" s="802"/>
    </row>
    <row r="28" spans="1:44">
      <c r="A28" s="256"/>
      <c r="B28" s="256"/>
      <c r="C28" s="251"/>
      <c r="D28" s="251"/>
      <c r="E28" s="251"/>
      <c r="F28" s="251"/>
      <c r="G28" s="251"/>
      <c r="H28" s="251"/>
      <c r="I28" s="251"/>
      <c r="M28" s="31"/>
      <c r="N28" s="31"/>
      <c r="X28" s="31"/>
      <c r="Y28" s="31"/>
      <c r="Z28" s="31"/>
      <c r="AA28" s="31"/>
      <c r="AB28" s="31"/>
    </row>
    <row r="29" spans="1:44">
      <c r="A29" s="411" t="s">
        <v>253</v>
      </c>
      <c r="C29" s="28">
        <v>44086</v>
      </c>
      <c r="D29" s="28" t="s">
        <v>277</v>
      </c>
      <c r="E29" s="251"/>
      <c r="F29" s="251"/>
      <c r="G29" s="251"/>
      <c r="H29" s="251"/>
      <c r="I29" s="251"/>
      <c r="M29" s="31"/>
      <c r="N29" s="31"/>
      <c r="X29" s="31"/>
      <c r="Y29" s="31"/>
      <c r="Z29" s="31"/>
      <c r="AA29" s="31"/>
      <c r="AB29" s="31"/>
    </row>
    <row r="30" spans="1:44">
      <c r="A30" s="256"/>
      <c r="B30" s="256"/>
      <c r="C30" s="251"/>
      <c r="D30" s="251"/>
      <c r="E30" s="251"/>
      <c r="F30" s="251"/>
      <c r="G30" s="251"/>
      <c r="H30" s="251"/>
      <c r="I30" s="251"/>
      <c r="M30" s="31"/>
      <c r="N30" s="31"/>
      <c r="X30" s="31"/>
      <c r="Y30" s="31"/>
      <c r="Z30" s="31"/>
      <c r="AA30" s="31"/>
      <c r="AB30" s="31"/>
    </row>
    <row r="31" spans="1:44">
      <c r="A31" s="541" t="s">
        <v>349</v>
      </c>
      <c r="B31" s="542"/>
      <c r="C31" s="542"/>
      <c r="D31" s="542"/>
      <c r="E31" s="542"/>
      <c r="F31" s="542"/>
      <c r="G31" s="542"/>
      <c r="H31" s="542"/>
      <c r="I31" s="251"/>
      <c r="M31" s="31"/>
      <c r="N31" s="31"/>
      <c r="X31" s="31"/>
      <c r="Y31" s="31"/>
      <c r="Z31" s="31"/>
      <c r="AA31" s="31"/>
      <c r="AB31" s="31"/>
    </row>
    <row r="32" spans="1:44">
      <c r="A32" s="439" t="s">
        <v>346</v>
      </c>
      <c r="B32" s="439"/>
      <c r="C32" s="439"/>
      <c r="D32" s="439"/>
      <c r="E32" s="438"/>
      <c r="F32" s="438"/>
      <c r="G32" s="438"/>
      <c r="H32" s="438"/>
      <c r="I32" s="251"/>
      <c r="J32" s="158" t="s">
        <v>267</v>
      </c>
      <c r="K32" s="157"/>
      <c r="L32" s="157"/>
      <c r="M32" s="31"/>
      <c r="N32" s="31"/>
      <c r="O32" s="439" t="s">
        <v>347</v>
      </c>
      <c r="P32" s="440"/>
      <c r="Q32" s="440"/>
      <c r="S32" s="158" t="s">
        <v>267</v>
      </c>
      <c r="T32" s="157"/>
      <c r="U32" s="134"/>
      <c r="V32" s="439" t="s">
        <v>348</v>
      </c>
      <c r="W32" s="440"/>
      <c r="X32" s="440"/>
      <c r="Y32" s="440"/>
      <c r="Z32" s="31"/>
      <c r="AA32" s="31"/>
      <c r="AB32" s="31"/>
      <c r="AC32" s="439" t="s">
        <v>350</v>
      </c>
      <c r="AD32" s="439"/>
      <c r="AE32" s="439"/>
      <c r="AF32" s="439"/>
      <c r="AG32" s="439"/>
      <c r="AH32" s="438"/>
      <c r="AI32" s="438"/>
      <c r="AJ32" s="440"/>
      <c r="AK32" s="440"/>
      <c r="AL32" s="440"/>
      <c r="AM32" s="440"/>
      <c r="AN32" s="440"/>
      <c r="AO32" s="440"/>
    </row>
    <row r="33" spans="1:44" ht="25.5" customHeight="1">
      <c r="A33" s="251"/>
      <c r="B33" s="251"/>
      <c r="C33" s="251"/>
      <c r="D33" s="251"/>
      <c r="E33" s="251"/>
      <c r="F33" s="251"/>
      <c r="G33" s="251"/>
      <c r="H33" s="251"/>
      <c r="I33" s="251"/>
      <c r="J33" s="212" t="s">
        <v>268</v>
      </c>
      <c r="K33" s="157"/>
      <c r="L33" s="159">
        <v>38818000</v>
      </c>
      <c r="M33" s="31"/>
      <c r="N33" s="31"/>
      <c r="S33" s="157"/>
      <c r="T33" s="157"/>
      <c r="U33" s="134"/>
      <c r="Z33" s="31"/>
      <c r="AA33" s="31"/>
      <c r="AB33" s="31"/>
      <c r="AE33" s="448" t="s">
        <v>286</v>
      </c>
      <c r="AF33" s="446"/>
      <c r="AG33" s="444" t="s">
        <v>285</v>
      </c>
      <c r="AH33" s="444"/>
      <c r="AI33" s="444"/>
      <c r="AJ33" s="447"/>
      <c r="AK33" s="445" t="s">
        <v>284</v>
      </c>
    </row>
    <row r="34" spans="1:44">
      <c r="A34" s="172" t="s">
        <v>23</v>
      </c>
      <c r="B34" s="172"/>
      <c r="C34" s="172" t="s">
        <v>30</v>
      </c>
      <c r="D34" s="172" t="s">
        <v>57</v>
      </c>
      <c r="E34" s="172" t="s">
        <v>58</v>
      </c>
      <c r="F34" s="172" t="s">
        <v>59</v>
      </c>
      <c r="G34" s="172" t="s">
        <v>60</v>
      </c>
      <c r="H34" s="172" t="s">
        <v>61</v>
      </c>
      <c r="I34" s="251"/>
      <c r="J34" s="212" t="s">
        <v>328</v>
      </c>
      <c r="K34" s="278"/>
      <c r="L34" s="159">
        <f>38818000-T34</f>
        <v>37689784.200000003</v>
      </c>
      <c r="M34" s="31"/>
      <c r="N34" s="31"/>
      <c r="S34" s="212" t="s">
        <v>271</v>
      </c>
      <c r="T34" s="159">
        <v>1128215.8</v>
      </c>
      <c r="U34" s="132"/>
      <c r="V34" s="158" t="s">
        <v>311</v>
      </c>
      <c r="W34" s="157"/>
      <c r="Z34" s="31"/>
      <c r="AA34" s="31"/>
      <c r="AB34" s="31"/>
      <c r="AC34" s="172" t="s">
        <v>31</v>
      </c>
      <c r="AD34" s="172"/>
      <c r="AE34" s="172" t="s">
        <v>24</v>
      </c>
      <c r="AF34" s="335"/>
      <c r="AG34" s="172" t="s">
        <v>26</v>
      </c>
      <c r="AH34" s="172" t="s">
        <v>27</v>
      </c>
      <c r="AI34" s="172" t="s">
        <v>28</v>
      </c>
      <c r="AJ34" s="335"/>
      <c r="AK34" s="268" t="s">
        <v>283</v>
      </c>
    </row>
    <row r="35" spans="1:44">
      <c r="A35" s="340">
        <v>2018</v>
      </c>
      <c r="B35" s="340"/>
      <c r="C35" s="340"/>
      <c r="D35" s="340"/>
      <c r="E35" s="340"/>
      <c r="F35" s="340"/>
      <c r="G35" s="340"/>
      <c r="H35" s="340"/>
      <c r="J35" s="212" t="s">
        <v>269</v>
      </c>
      <c r="K35" s="280"/>
      <c r="L35" s="159">
        <v>3274</v>
      </c>
      <c r="M35" s="31"/>
      <c r="N35" s="31"/>
      <c r="O35" s="340">
        <v>2018</v>
      </c>
      <c r="P35" s="340"/>
      <c r="Q35" s="340"/>
      <c r="S35" s="212" t="s">
        <v>272</v>
      </c>
      <c r="T35" s="159">
        <v>26</v>
      </c>
      <c r="U35" s="132"/>
      <c r="V35" s="157"/>
      <c r="W35" s="157"/>
      <c r="X35" s="131"/>
      <c r="Z35" s="31"/>
      <c r="AA35" s="31"/>
      <c r="AB35" s="31"/>
      <c r="AC35" s="349">
        <v>2018</v>
      </c>
      <c r="AD35" s="335"/>
      <c r="AE35" s="335"/>
      <c r="AF35" s="335"/>
      <c r="AG35" s="335"/>
      <c r="AH35" s="335"/>
      <c r="AI35" s="335"/>
      <c r="AJ35" s="335"/>
      <c r="AK35" s="335"/>
      <c r="AM35" s="449" t="s">
        <v>294</v>
      </c>
      <c r="AN35" s="280"/>
      <c r="AO35" s="159"/>
    </row>
    <row r="36" spans="1:44">
      <c r="A36" s="336" t="s">
        <v>22</v>
      </c>
      <c r="B36" s="337"/>
      <c r="C36" s="342">
        <f>$E$36*C37</f>
        <v>25902</v>
      </c>
      <c r="D36" s="342">
        <f>$E$36*D37</f>
        <v>16116.800000000001</v>
      </c>
      <c r="E36" s="342">
        <f>L36</f>
        <v>11512</v>
      </c>
      <c r="F36" s="342">
        <f>$E$36*F37</f>
        <v>4604.7999999999993</v>
      </c>
      <c r="G36" s="342">
        <f>$E$36*G37</f>
        <v>2302.3999999999996</v>
      </c>
      <c r="H36" s="342">
        <f>$E$36*H37</f>
        <v>1439</v>
      </c>
      <c r="J36" s="212" t="s">
        <v>270</v>
      </c>
      <c r="K36" s="280"/>
      <c r="L36" s="165">
        <f>ROUND((L34)/L35,0)</f>
        <v>11512</v>
      </c>
      <c r="M36" s="31"/>
      <c r="N36" s="31"/>
      <c r="O36" s="214"/>
      <c r="P36" s="214"/>
      <c r="Q36" s="172"/>
      <c r="S36" s="212" t="s">
        <v>273</v>
      </c>
      <c r="T36" s="159">
        <f>ROUND(T34/T35-L36,0)</f>
        <v>31881</v>
      </c>
      <c r="U36" s="132"/>
      <c r="V36" s="212" t="s">
        <v>327</v>
      </c>
      <c r="W36" s="159">
        <v>193976.01</v>
      </c>
      <c r="X36" s="172"/>
      <c r="Z36" s="31"/>
      <c r="AA36" s="31"/>
      <c r="AB36" s="31"/>
      <c r="AC36" s="213"/>
      <c r="AD36" s="214"/>
      <c r="AE36" s="270"/>
      <c r="AF36" s="335"/>
      <c r="AG36" s="270"/>
      <c r="AH36" s="270"/>
      <c r="AI36" s="270"/>
      <c r="AJ36" s="335"/>
      <c r="AK36" s="270"/>
      <c r="AM36" s="212" t="s">
        <v>290</v>
      </c>
      <c r="AN36" s="280"/>
      <c r="AO36" s="159">
        <v>25179000</v>
      </c>
    </row>
    <row r="37" spans="1:44">
      <c r="A37" s="143" t="s">
        <v>79</v>
      </c>
      <c r="B37" s="100"/>
      <c r="C37" s="279">
        <v>2.25</v>
      </c>
      <c r="D37" s="279">
        <v>1.4000000000000001</v>
      </c>
      <c r="E37" s="279">
        <v>1</v>
      </c>
      <c r="F37" s="279">
        <v>0.39999999999999991</v>
      </c>
      <c r="G37" s="279">
        <v>0.19999999999999996</v>
      </c>
      <c r="H37" s="279">
        <v>0.125</v>
      </c>
      <c r="M37" s="31"/>
      <c r="N37" s="31"/>
      <c r="O37" s="336" t="s">
        <v>22</v>
      </c>
      <c r="P37" s="337"/>
      <c r="Q37" s="338">
        <f>T36</f>
        <v>31881</v>
      </c>
      <c r="S37" s="441"/>
      <c r="T37" s="133"/>
      <c r="U37" s="133"/>
      <c r="V37" s="212" t="s">
        <v>312</v>
      </c>
      <c r="W37" s="455">
        <v>18</v>
      </c>
      <c r="X37" s="175"/>
      <c r="Z37" s="31"/>
      <c r="AA37" s="31"/>
      <c r="AB37" s="31"/>
      <c r="AC37" s="336" t="s">
        <v>22</v>
      </c>
      <c r="AD37" s="337"/>
      <c r="AE37" s="338">
        <f>ROUND(11424.2286751361,2)</f>
        <v>11424.23</v>
      </c>
      <c r="AF37" s="335"/>
      <c r="AG37" s="338">
        <f>ROUND(1248.68616490682,2)</f>
        <v>1248.69</v>
      </c>
      <c r="AH37" s="338">
        <f>ROUND(5500.49617081802,2)</f>
        <v>5500.5</v>
      </c>
      <c r="AI37" s="338">
        <f>ROUND(19455.8070229914,2)</f>
        <v>19455.810000000001</v>
      </c>
      <c r="AJ37" s="335"/>
      <c r="AK37" s="515">
        <f>ROUND(806.334565431178,2)</f>
        <v>806.33</v>
      </c>
      <c r="AM37" s="212" t="s">
        <v>295</v>
      </c>
      <c r="AN37" s="280"/>
      <c r="AO37" s="159">
        <v>30560000</v>
      </c>
    </row>
    <row r="38" spans="1:44" s="69" customFormat="1" ht="24.75" customHeight="1">
      <c r="D38" s="71"/>
      <c r="F38" s="68"/>
      <c r="G38" s="68"/>
      <c r="J38" s="800" t="s">
        <v>455</v>
      </c>
      <c r="K38" s="800"/>
      <c r="M38" s="70"/>
      <c r="N38" s="70"/>
      <c r="O38"/>
      <c r="P38"/>
      <c r="Q38"/>
      <c r="R38"/>
      <c r="S38"/>
      <c r="T38" s="480"/>
      <c r="U38"/>
      <c r="V38" s="212" t="s">
        <v>313</v>
      </c>
      <c r="W38" s="159">
        <f>W36/W37</f>
        <v>10776.445</v>
      </c>
      <c r="X38" s="392"/>
      <c r="Y38"/>
      <c r="Z38" s="70"/>
      <c r="AA38" s="70"/>
      <c r="AB38" s="70"/>
      <c r="AC38" s="251"/>
      <c r="AE38" s="267"/>
      <c r="AF38" s="335"/>
      <c r="AG38" s="267"/>
      <c r="AH38" s="267"/>
      <c r="AI38" s="267"/>
      <c r="AJ38" s="335"/>
      <c r="AK38" s="269"/>
      <c r="AM38" s="212" t="s">
        <v>284</v>
      </c>
      <c r="AN38" s="280"/>
      <c r="AO38" s="159">
        <v>23778000</v>
      </c>
    </row>
    <row r="39" spans="1:44">
      <c r="A39" s="340">
        <v>2019</v>
      </c>
      <c r="B39" s="340"/>
      <c r="C39" s="340"/>
      <c r="D39" s="340"/>
      <c r="E39" s="340"/>
      <c r="F39" s="340"/>
      <c r="G39" s="340"/>
      <c r="H39" s="340"/>
      <c r="L39" s="3"/>
      <c r="O39" s="340">
        <v>2019</v>
      </c>
      <c r="P39" s="340"/>
      <c r="Q39" s="340"/>
      <c r="T39" s="450"/>
      <c r="V39" s="158" t="s">
        <v>309</v>
      </c>
      <c r="W39" s="157">
        <v>660000</v>
      </c>
      <c r="X39" s="131"/>
      <c r="AC39" s="349">
        <v>2019</v>
      </c>
      <c r="AD39" s="335"/>
      <c r="AE39" s="335"/>
      <c r="AF39" s="335"/>
      <c r="AG39" s="335"/>
      <c r="AH39" s="335"/>
      <c r="AI39" s="335"/>
      <c r="AJ39" s="335"/>
      <c r="AK39" s="335"/>
      <c r="AM39" s="212"/>
      <c r="AN39" s="280"/>
      <c r="AO39" s="159"/>
    </row>
    <row r="40" spans="1:44">
      <c r="A40" s="213">
        <v>2018</v>
      </c>
      <c r="B40" s="214">
        <v>0.98545935228023795</v>
      </c>
      <c r="C40" s="172"/>
      <c r="D40" s="318" t="s">
        <v>183</v>
      </c>
      <c r="E40" s="213">
        <v>151.30000000000001</v>
      </c>
      <c r="F40" s="318" t="s">
        <v>184</v>
      </c>
      <c r="G40" s="213">
        <v>149.1</v>
      </c>
      <c r="H40" s="172"/>
      <c r="J40" s="251" t="s">
        <v>251</v>
      </c>
      <c r="O40" s="214" t="s">
        <v>282</v>
      </c>
      <c r="P40" s="214">
        <f>B40</f>
        <v>0.98545935228023795</v>
      </c>
      <c r="Q40" s="172"/>
      <c r="V40" s="158" t="s">
        <v>314</v>
      </c>
      <c r="W40" s="157">
        <v>60</v>
      </c>
      <c r="X40" s="172"/>
      <c r="AC40" s="214" t="s">
        <v>306</v>
      </c>
      <c r="AD40" s="271">
        <f>P40</f>
        <v>0.98545935228023795</v>
      </c>
      <c r="AE40" s="270"/>
      <c r="AF40" s="335"/>
      <c r="AG40" s="270"/>
      <c r="AH40" s="270"/>
      <c r="AI40" s="270"/>
      <c r="AJ40" s="335"/>
      <c r="AK40" s="270"/>
      <c r="AM40" s="212"/>
      <c r="AN40" s="280"/>
      <c r="AO40" s="165"/>
    </row>
    <row r="41" spans="1:44">
      <c r="A41" s="336" t="s">
        <v>22</v>
      </c>
      <c r="B41" s="342"/>
      <c r="C41" s="514">
        <f>C36*$B$40</f>
        <v>25525.368142762723</v>
      </c>
      <c r="D41" s="342">
        <f t="shared" ref="D41:H41" si="2">D36*$B$40</f>
        <v>15882.45128883014</v>
      </c>
      <c r="E41" s="342">
        <f t="shared" si="2"/>
        <v>11344.6080634501</v>
      </c>
      <c r="F41" s="342">
        <f t="shared" si="2"/>
        <v>4537.8432253800393</v>
      </c>
      <c r="G41" s="342">
        <f t="shared" si="2"/>
        <v>2268.9216126900196</v>
      </c>
      <c r="H41" s="342">
        <f t="shared" si="2"/>
        <v>1418.0760079312624</v>
      </c>
      <c r="O41" s="336" t="s">
        <v>22</v>
      </c>
      <c r="P41" s="337"/>
      <c r="Q41" s="513">
        <f>ROUND(P40*Q37,5)</f>
        <v>31417.429609999999</v>
      </c>
      <c r="V41" s="212" t="s">
        <v>313</v>
      </c>
      <c r="W41" s="159">
        <f>W39/W40</f>
        <v>11000</v>
      </c>
      <c r="X41" s="175"/>
      <c r="AC41" s="336" t="s">
        <v>22</v>
      </c>
      <c r="AD41" s="337"/>
      <c r="AE41" s="338">
        <f>ROUND($AD$40*AE37,2)</f>
        <v>11258.11</v>
      </c>
      <c r="AF41" s="335"/>
      <c r="AG41" s="338">
        <f>ROUND($AD$40*AG37,2)</f>
        <v>1230.53</v>
      </c>
      <c r="AH41" s="338">
        <f>ROUND($AD$40*AH37,2)</f>
        <v>5420.52</v>
      </c>
      <c r="AI41" s="338">
        <f>ROUND($AD$40*AI37,2)</f>
        <v>19172.91</v>
      </c>
      <c r="AJ41" s="335"/>
      <c r="AK41" s="338">
        <f>ROUND($AD$40*AK37,2)</f>
        <v>794.61</v>
      </c>
      <c r="AM41" s="212" t="s">
        <v>297</v>
      </c>
      <c r="AN41" s="280"/>
      <c r="AO41" s="159">
        <v>2204</v>
      </c>
      <c r="AR41" s="479">
        <f>AO36/AO41</f>
        <v>11424.228675136115</v>
      </c>
    </row>
    <row r="42" spans="1:44">
      <c r="E42" s="26"/>
      <c r="V42" s="212" t="s">
        <v>310</v>
      </c>
      <c r="W42" s="159">
        <v>50000</v>
      </c>
      <c r="X42" s="392"/>
      <c r="AC42" s="251"/>
      <c r="AD42" s="271"/>
      <c r="AE42" s="267"/>
      <c r="AF42" s="335"/>
      <c r="AG42" s="267"/>
      <c r="AH42" s="267"/>
      <c r="AI42" s="267"/>
      <c r="AJ42" s="335"/>
      <c r="AK42" s="269"/>
      <c r="AM42" s="212" t="s">
        <v>298</v>
      </c>
      <c r="AN42" s="280"/>
      <c r="AO42" s="159">
        <v>29489</v>
      </c>
      <c r="AR42" s="479">
        <f>AO38/AO42</f>
        <v>806.33456543117768</v>
      </c>
    </row>
    <row r="43" spans="1:44" ht="16" thickBot="1">
      <c r="A43" s="340">
        <v>2020</v>
      </c>
      <c r="B43" s="340"/>
      <c r="C43" s="340"/>
      <c r="D43" s="340"/>
      <c r="E43" s="340"/>
      <c r="F43" s="340"/>
      <c r="G43" s="340"/>
      <c r="H43" s="340"/>
      <c r="O43" s="340">
        <v>2020</v>
      </c>
      <c r="P43" s="340"/>
      <c r="Q43" s="340"/>
      <c r="V43" s="212" t="s">
        <v>314</v>
      </c>
      <c r="W43" s="159">
        <v>7</v>
      </c>
      <c r="X43" s="131"/>
      <c r="AC43" s="349">
        <v>2020</v>
      </c>
      <c r="AD43" s="335"/>
      <c r="AE43" s="335"/>
      <c r="AF43" s="335"/>
      <c r="AG43" s="335"/>
      <c r="AH43" s="335"/>
      <c r="AI43" s="335"/>
      <c r="AJ43" s="335"/>
      <c r="AK43" s="335"/>
      <c r="AM43" s="212" t="s">
        <v>308</v>
      </c>
      <c r="AN43" s="280"/>
      <c r="AO43" s="159">
        <v>6401</v>
      </c>
      <c r="AQ43" s="474" t="s">
        <v>307</v>
      </c>
      <c r="AR43" s="475">
        <f>AO37/AO43</f>
        <v>4774.2540228089365</v>
      </c>
    </row>
    <row r="44" spans="1:44" ht="16.5" thickTop="1" thickBot="1">
      <c r="A44" s="316" t="s">
        <v>222</v>
      </c>
      <c r="B44" s="317">
        <v>1.0090543259557343</v>
      </c>
      <c r="C44" s="172"/>
      <c r="D44" s="318" t="s">
        <v>184</v>
      </c>
      <c r="E44" s="213">
        <v>99.4</v>
      </c>
      <c r="F44" s="318" t="s">
        <v>223</v>
      </c>
      <c r="G44" s="213">
        <v>100.3</v>
      </c>
      <c r="H44" s="172"/>
      <c r="J44" s="251" t="s">
        <v>252</v>
      </c>
      <c r="O44" s="214" t="str">
        <f>A44</f>
        <v>Indexförändring 2019</v>
      </c>
      <c r="P44" s="214">
        <f>B44</f>
        <v>1.0090543259557343</v>
      </c>
      <c r="Q44" s="172"/>
      <c r="V44" s="212" t="s">
        <v>313</v>
      </c>
      <c r="W44" s="159">
        <f>W42/W43</f>
        <v>7142.8571428571431</v>
      </c>
      <c r="X44" s="172"/>
      <c r="AC44" s="214" t="s">
        <v>306</v>
      </c>
      <c r="AD44" s="214">
        <v>1.0090543259557343</v>
      </c>
      <c r="AE44" s="270"/>
      <c r="AF44" s="335"/>
      <c r="AG44" s="270"/>
      <c r="AH44" s="270"/>
      <c r="AI44" s="270"/>
      <c r="AJ44" s="335"/>
      <c r="AK44" s="270"/>
      <c r="AM44" s="212"/>
      <c r="AN44" s="280"/>
      <c r="AO44" s="165"/>
      <c r="AR44" s="516">
        <f>ROUND(AO38/AO42,2)</f>
        <v>806.33</v>
      </c>
    </row>
    <row r="45" spans="1:44" ht="16" thickTop="1">
      <c r="A45" s="336" t="s">
        <v>22</v>
      </c>
      <c r="B45" s="342"/>
      <c r="C45" s="342">
        <f>C41*$B$44</f>
        <v>25756.483146067414</v>
      </c>
      <c r="D45" s="342">
        <f t="shared" ref="D45:H45" si="3">D41*$B$44</f>
        <v>16026.256179775281</v>
      </c>
      <c r="E45" s="342">
        <f t="shared" si="3"/>
        <v>11447.325842696628</v>
      </c>
      <c r="F45" s="342">
        <f t="shared" si="3"/>
        <v>4578.9303370786511</v>
      </c>
      <c r="G45" s="342">
        <f t="shared" si="3"/>
        <v>2289.4651685393255</v>
      </c>
      <c r="H45" s="342">
        <f t="shared" si="3"/>
        <v>1430.9157303370785</v>
      </c>
      <c r="O45" s="336" t="s">
        <v>22</v>
      </c>
      <c r="P45" s="337"/>
      <c r="Q45" s="338">
        <f>ROUND(P44*Q41,2)</f>
        <v>31701.89</v>
      </c>
      <c r="X45" s="175"/>
      <c r="AC45" s="336" t="s">
        <v>22</v>
      </c>
      <c r="AD45" s="337"/>
      <c r="AE45" s="338">
        <f>ROUND($AD$44*AE41,2)</f>
        <v>11360.04</v>
      </c>
      <c r="AF45" s="335"/>
      <c r="AG45" s="338">
        <f>ROUND($AD$44*AG41,2)</f>
        <v>1241.67</v>
      </c>
      <c r="AH45" s="338">
        <f t="shared" ref="AH45:AK45" si="4">ROUND($AD$44*AH41,2)</f>
        <v>5469.6</v>
      </c>
      <c r="AI45" s="338">
        <f t="shared" si="4"/>
        <v>19346.509999999998</v>
      </c>
      <c r="AJ45" s="335"/>
      <c r="AK45" s="338">
        <f t="shared" si="4"/>
        <v>801.8</v>
      </c>
    </row>
    <row r="46" spans="1:44">
      <c r="V46" s="456"/>
      <c r="W46" s="132"/>
      <c r="AF46" s="335"/>
      <c r="AJ46" s="335"/>
    </row>
    <row r="47" spans="1:44" ht="16" thickBot="1">
      <c r="A47" s="340">
        <v>2021</v>
      </c>
      <c r="B47" s="340"/>
      <c r="C47" s="340"/>
      <c r="D47" s="340"/>
      <c r="E47" s="340"/>
      <c r="F47" s="340"/>
      <c r="G47" s="340"/>
      <c r="H47" s="340"/>
      <c r="J47" s="212" t="s">
        <v>278</v>
      </c>
      <c r="K47" s="280"/>
      <c r="L47" s="159"/>
      <c r="O47" s="340">
        <v>2021</v>
      </c>
      <c r="P47" s="340"/>
      <c r="Q47" s="340"/>
      <c r="V47" s="340">
        <v>2021</v>
      </c>
      <c r="W47" s="340"/>
      <c r="X47" s="340"/>
      <c r="AC47" s="349">
        <v>2021</v>
      </c>
      <c r="AD47" s="335"/>
      <c r="AE47" s="335"/>
      <c r="AF47" s="335"/>
      <c r="AG47" s="335"/>
      <c r="AH47" s="335"/>
      <c r="AI47" s="335"/>
      <c r="AJ47" s="335"/>
      <c r="AK47" s="335"/>
      <c r="AM47" s="449" t="s">
        <v>278</v>
      </c>
      <c r="AN47" s="280"/>
      <c r="AO47" s="159"/>
    </row>
    <row r="48" spans="1:44" ht="16.5" thickTop="1" thickBot="1">
      <c r="A48" s="443" t="s">
        <v>276</v>
      </c>
      <c r="B48" s="517">
        <f>(G48/E48)</f>
        <v>1.0179461615154537</v>
      </c>
      <c r="C48" s="172"/>
      <c r="D48" s="318" t="s">
        <v>223</v>
      </c>
      <c r="E48" s="442">
        <v>100.3</v>
      </c>
      <c r="F48" s="318" t="s">
        <v>275</v>
      </c>
      <c r="G48" s="519">
        <v>102.1</v>
      </c>
      <c r="H48" s="172"/>
      <c r="J48" s="212" t="s">
        <v>279</v>
      </c>
      <c r="K48" s="280"/>
      <c r="L48" s="159">
        <v>30000</v>
      </c>
      <c r="O48" s="214" t="str">
        <f>A48</f>
        <v>Indexförändring 2020</v>
      </c>
      <c r="P48" s="518">
        <f>B48</f>
        <v>1.0179461615154537</v>
      </c>
      <c r="Q48" s="172"/>
      <c r="V48" s="336" t="s">
        <v>315</v>
      </c>
      <c r="W48" s="337"/>
      <c r="X48" s="338">
        <f>ROUND(W38*B40*B44*B48,2)</f>
        <v>10908.21</v>
      </c>
      <c r="Y48" s="175" t="s">
        <v>326</v>
      </c>
      <c r="AC48" s="214" t="s">
        <v>306</v>
      </c>
      <c r="AD48" s="518">
        <f>B48</f>
        <v>1.0179461615154537</v>
      </c>
      <c r="AE48" s="270"/>
      <c r="AF48" s="335"/>
      <c r="AG48" s="270"/>
      <c r="AH48" s="270"/>
      <c r="AI48" s="270"/>
      <c r="AJ48" s="335"/>
      <c r="AK48" s="270"/>
      <c r="AM48" s="449" t="s">
        <v>290</v>
      </c>
      <c r="AN48" s="280"/>
      <c r="AO48" s="159"/>
    </row>
    <row r="49" spans="1:44" ht="16" thickTop="1">
      <c r="A49" s="336" t="s">
        <v>22</v>
      </c>
      <c r="B49" s="342"/>
      <c r="C49" s="514">
        <f>ROUND(C45*$B$48+L50*C9,2)</f>
        <v>26238.41</v>
      </c>
      <c r="D49" s="342">
        <f>ROUND(D45*$B$48+L50*D9,2)</f>
        <v>16326.12</v>
      </c>
      <c r="E49" s="342">
        <f>ROUND(E45*$B$48+L50,2)</f>
        <v>11661.52</v>
      </c>
      <c r="F49" s="342">
        <f>ROUND(F45*$B$48+L50*F9,2)</f>
        <v>4664.6099999999997</v>
      </c>
      <c r="G49" s="342">
        <f>ROUND(G45*$B$48+L50*G9,2)</f>
        <v>2332.3000000000002</v>
      </c>
      <c r="H49" s="342">
        <f>ROUND(H45*$B$48+L50*H9,2)</f>
        <v>1457.69</v>
      </c>
      <c r="J49" s="212" t="s">
        <v>280</v>
      </c>
      <c r="K49" s="280"/>
      <c r="L49" s="159">
        <v>3427</v>
      </c>
      <c r="O49" s="336" t="s">
        <v>22</v>
      </c>
      <c r="P49" s="337"/>
      <c r="Q49" s="338">
        <f>ROUND(P48*Q45,2)</f>
        <v>32270.82</v>
      </c>
      <c r="V49" s="336" t="s">
        <v>316</v>
      </c>
      <c r="W49" s="337"/>
      <c r="X49" s="338">
        <f>W41</f>
        <v>11000</v>
      </c>
      <c r="AC49" s="336" t="s">
        <v>22</v>
      </c>
      <c r="AD49" s="337"/>
      <c r="AE49" s="338">
        <f>ROUND((($AD$48*AE45)+(AO49+AO50)/AO51),2)</f>
        <v>11790.77</v>
      </c>
      <c r="AF49" s="335"/>
      <c r="AG49" s="338">
        <f>ROUND($AD$48*AG45,2)</f>
        <v>1263.95</v>
      </c>
      <c r="AH49" s="338">
        <f t="shared" ref="AH49:AI49" si="5">ROUND($AD$48*AH45,2)</f>
        <v>5567.76</v>
      </c>
      <c r="AI49" s="338">
        <f t="shared" si="5"/>
        <v>19693.71</v>
      </c>
      <c r="AJ49" s="335"/>
      <c r="AK49" s="338">
        <f>ROUND((($AD$48*AK45)+(AO54+AO55-AO56)/AO57),2)</f>
        <v>817.9</v>
      </c>
      <c r="AM49" s="212" t="s">
        <v>287</v>
      </c>
      <c r="AN49" s="280"/>
      <c r="AO49" s="165">
        <v>200000</v>
      </c>
    </row>
    <row r="50" spans="1:44">
      <c r="J50" s="212" t="s">
        <v>281</v>
      </c>
      <c r="K50" s="280"/>
      <c r="L50" s="165">
        <f>(L48)/L49</f>
        <v>8.7540122556171571</v>
      </c>
      <c r="V50" s="336" t="s">
        <v>317</v>
      </c>
      <c r="W50" s="337"/>
      <c r="X50" s="338">
        <f>ROUND(W44,2)</f>
        <v>7142.86</v>
      </c>
      <c r="AM50" s="212" t="s">
        <v>288</v>
      </c>
      <c r="AN50" s="280"/>
      <c r="AO50" s="165">
        <v>300000</v>
      </c>
    </row>
    <row r="51" spans="1:44" ht="16" thickBot="1">
      <c r="A51" s="340">
        <v>2022</v>
      </c>
      <c r="B51" s="340"/>
      <c r="C51" s="340"/>
      <c r="D51" s="340"/>
      <c r="E51" s="340"/>
      <c r="F51" s="340"/>
      <c r="G51" s="340"/>
      <c r="H51" s="340"/>
      <c r="O51" s="340">
        <v>2022</v>
      </c>
      <c r="P51" s="340"/>
      <c r="Q51" s="340"/>
      <c r="AC51" s="349">
        <v>2022</v>
      </c>
      <c r="AD51" s="335"/>
      <c r="AE51" s="335"/>
      <c r="AF51" s="335"/>
      <c r="AG51" s="335"/>
      <c r="AH51" s="335"/>
      <c r="AI51" s="335"/>
      <c r="AJ51" s="335"/>
      <c r="AK51" s="335"/>
      <c r="AM51" s="212" t="s">
        <v>289</v>
      </c>
      <c r="AN51" s="280"/>
      <c r="AO51" s="159">
        <v>2204</v>
      </c>
    </row>
    <row r="52" spans="1:44" ht="16.5" thickTop="1" thickBot="1">
      <c r="A52" s="443" t="s">
        <v>344</v>
      </c>
      <c r="B52" s="517">
        <f>(G52/E52)</f>
        <v>1.0205680705190989</v>
      </c>
      <c r="C52" s="172"/>
      <c r="D52" s="318" t="s">
        <v>275</v>
      </c>
      <c r="E52" s="442">
        <v>102.1</v>
      </c>
      <c r="F52" s="318" t="s">
        <v>345</v>
      </c>
      <c r="G52" s="519">
        <v>104.2</v>
      </c>
      <c r="H52" s="563"/>
      <c r="I52" s="547" t="s">
        <v>372</v>
      </c>
      <c r="J52" s="564"/>
      <c r="K52" s="450"/>
      <c r="O52" s="214" t="str">
        <f>A52</f>
        <v>Indexförändring 2021</v>
      </c>
      <c r="P52" s="518">
        <f>B52</f>
        <v>1.0205680705190989</v>
      </c>
      <c r="Q52" s="172"/>
      <c r="V52" s="340">
        <v>2022</v>
      </c>
      <c r="W52" s="340"/>
      <c r="X52" s="340"/>
      <c r="AC52" s="214" t="s">
        <v>306</v>
      </c>
      <c r="AD52" s="518">
        <f>B52</f>
        <v>1.0205680705190989</v>
      </c>
      <c r="AE52" s="270"/>
      <c r="AF52" s="335"/>
      <c r="AG52" s="270"/>
      <c r="AH52" s="270"/>
      <c r="AI52" s="270"/>
      <c r="AJ52" s="335"/>
      <c r="AK52" s="270"/>
      <c r="AM52" s="212"/>
      <c r="AN52" s="280"/>
      <c r="AO52" s="165"/>
    </row>
    <row r="53" spans="1:44" ht="16" thickTop="1">
      <c r="A53" s="336" t="s">
        <v>22</v>
      </c>
      <c r="B53" s="342"/>
      <c r="C53" s="514">
        <f>ROUND(C49*$B$52,2)</f>
        <v>26778.080000000002</v>
      </c>
      <c r="D53" s="514">
        <f t="shared" ref="D53:H53" si="6">ROUND(D49*$B$52,2)</f>
        <v>16661.919999999998</v>
      </c>
      <c r="E53" s="514">
        <f t="shared" si="6"/>
        <v>11901.37</v>
      </c>
      <c r="F53" s="514">
        <f t="shared" si="6"/>
        <v>4760.55</v>
      </c>
      <c r="G53" s="514">
        <f t="shared" si="6"/>
        <v>2380.27</v>
      </c>
      <c r="H53" s="514">
        <f t="shared" si="6"/>
        <v>1487.67</v>
      </c>
      <c r="O53" s="336" t="s">
        <v>22</v>
      </c>
      <c r="P53" s="337"/>
      <c r="Q53" s="338">
        <f>ROUND(P52*Q49,2)</f>
        <v>32934.57</v>
      </c>
      <c r="V53" s="336" t="s">
        <v>315</v>
      </c>
      <c r="W53" s="337"/>
      <c r="X53" s="338">
        <f>ROUND(X48*B52,2)</f>
        <v>11132.57</v>
      </c>
      <c r="AC53" s="336" t="s">
        <v>22</v>
      </c>
      <c r="AD53" s="337"/>
      <c r="AE53" s="338">
        <f>ROUND(AE49*$AD$52,2)</f>
        <v>12033.28</v>
      </c>
      <c r="AF53" s="335"/>
      <c r="AG53" s="338">
        <f>ROUND(AG49*$AD$52,2)</f>
        <v>1289.95</v>
      </c>
      <c r="AH53" s="338">
        <f>ROUND(AH49*$AD$52,2)</f>
        <v>5682.28</v>
      </c>
      <c r="AI53" s="338">
        <f>ROUND(AI49*$AD$52,2)</f>
        <v>20098.77</v>
      </c>
      <c r="AJ53" s="335"/>
      <c r="AK53" s="338">
        <f>ROUND(AK49*$AD$52,2)</f>
        <v>834.72</v>
      </c>
      <c r="AM53" s="449" t="s">
        <v>284</v>
      </c>
      <c r="AN53" s="280"/>
      <c r="AO53" s="165"/>
    </row>
    <row r="54" spans="1:44">
      <c r="A54" s="172"/>
      <c r="B54" s="172"/>
      <c r="C54" s="172"/>
      <c r="D54" s="172"/>
      <c r="E54" s="172"/>
      <c r="F54" s="172"/>
      <c r="G54" s="172"/>
      <c r="H54" s="172"/>
      <c r="J54" s="800" t="s">
        <v>456</v>
      </c>
      <c r="K54" s="800"/>
      <c r="O54" s="131"/>
      <c r="P54" s="131"/>
      <c r="Q54" s="131"/>
      <c r="V54" s="336" t="s">
        <v>316</v>
      </c>
      <c r="W54" s="337"/>
      <c r="X54" s="338">
        <f>ROUND(X49*B52,2)</f>
        <v>11226.25</v>
      </c>
      <c r="AM54" s="212" t="s">
        <v>291</v>
      </c>
      <c r="AN54" s="280"/>
      <c r="AO54" s="165">
        <v>105000</v>
      </c>
    </row>
    <row r="55" spans="1:44" ht="16" thickBot="1">
      <c r="A55" s="340">
        <v>2023</v>
      </c>
      <c r="B55" s="340"/>
      <c r="C55" s="340"/>
      <c r="D55" s="340"/>
      <c r="E55" s="340"/>
      <c r="F55" s="340"/>
      <c r="G55" s="340"/>
      <c r="H55" s="340"/>
      <c r="J55" s="800"/>
      <c r="K55" s="800"/>
      <c r="O55" s="618">
        <v>2023</v>
      </c>
      <c r="P55" s="618"/>
      <c r="Q55" s="618"/>
      <c r="R55" s="392"/>
      <c r="V55" s="336" t="s">
        <v>317</v>
      </c>
      <c r="W55" s="337"/>
      <c r="X55" s="338">
        <f>ROUND(X50*B52,2)</f>
        <v>7289.77</v>
      </c>
      <c r="AC55" s="627">
        <v>2023</v>
      </c>
      <c r="AD55" s="628"/>
      <c r="AE55" s="628"/>
      <c r="AF55" s="628"/>
      <c r="AG55" s="628"/>
      <c r="AH55" s="628"/>
      <c r="AI55" s="628"/>
      <c r="AJ55" s="628"/>
      <c r="AK55" s="628"/>
      <c r="AM55" s="212" t="s">
        <v>292</v>
      </c>
      <c r="AN55" s="280"/>
      <c r="AO55" s="165">
        <v>140000</v>
      </c>
    </row>
    <row r="56" spans="1:44" ht="16.5" thickTop="1" thickBot="1">
      <c r="A56" s="612" t="s">
        <v>344</v>
      </c>
      <c r="B56" s="613">
        <f>(G56/E56)</f>
        <v>1.0364683301343569</v>
      </c>
      <c r="C56" s="614"/>
      <c r="D56" s="615" t="s">
        <v>345</v>
      </c>
      <c r="E56" s="616">
        <v>104.2</v>
      </c>
      <c r="F56" s="615" t="s">
        <v>345</v>
      </c>
      <c r="G56" s="617">
        <v>108</v>
      </c>
      <c r="H56" s="614"/>
      <c r="O56" s="622" t="str">
        <f>A56</f>
        <v>Indexförändring 2021</v>
      </c>
      <c r="P56" s="623">
        <f>B56</f>
        <v>1.0364683301343569</v>
      </c>
      <c r="Q56" s="614"/>
      <c r="R56" t="s">
        <v>412</v>
      </c>
      <c r="AC56" s="622" t="s">
        <v>306</v>
      </c>
      <c r="AD56" s="623">
        <f>B56</f>
        <v>1.0364683301343569</v>
      </c>
      <c r="AE56" s="629"/>
      <c r="AF56" s="628"/>
      <c r="AG56" s="629"/>
      <c r="AH56" s="629"/>
      <c r="AI56" s="629"/>
      <c r="AJ56" s="628"/>
      <c r="AK56" s="629"/>
      <c r="AM56" s="212" t="s">
        <v>293</v>
      </c>
      <c r="AN56" s="280"/>
      <c r="AO56" s="165">
        <v>193976</v>
      </c>
    </row>
    <row r="57" spans="1:44" ht="16" thickTop="1">
      <c r="A57" s="618" t="s">
        <v>22</v>
      </c>
      <c r="B57" s="619"/>
      <c r="C57" s="620">
        <f t="shared" ref="C57:H57" si="7">ROUND(C53*$B$56,2)</f>
        <v>27754.63</v>
      </c>
      <c r="D57" s="620">
        <f t="shared" si="7"/>
        <v>17269.55</v>
      </c>
      <c r="E57" s="620">
        <f t="shared" si="7"/>
        <v>12335.39</v>
      </c>
      <c r="F57" s="620">
        <f t="shared" si="7"/>
        <v>4934.16</v>
      </c>
      <c r="G57" s="620">
        <f t="shared" si="7"/>
        <v>2467.0700000000002</v>
      </c>
      <c r="H57" s="620">
        <f t="shared" si="7"/>
        <v>1541.92</v>
      </c>
      <c r="O57" s="618" t="s">
        <v>22</v>
      </c>
      <c r="P57" s="624"/>
      <c r="Q57" s="625">
        <f>ROUND(P56*Q53,2)</f>
        <v>34135.64</v>
      </c>
      <c r="R57" s="392"/>
      <c r="U57" s="611"/>
      <c r="V57" s="618">
        <v>2023</v>
      </c>
      <c r="W57" s="618"/>
      <c r="X57" s="618"/>
      <c r="AC57" s="618" t="s">
        <v>22</v>
      </c>
      <c r="AD57" s="624"/>
      <c r="AE57" s="625">
        <f>ROUND(AE53*$AD$56,2)</f>
        <v>12472.11</v>
      </c>
      <c r="AF57" s="628"/>
      <c r="AG57" s="625">
        <f>ROUND(AG53*$AD$56,2)</f>
        <v>1336.99</v>
      </c>
      <c r="AH57" s="625">
        <f>ROUND(AH53*$AD$56,2)</f>
        <v>5889.5</v>
      </c>
      <c r="AI57" s="625">
        <f>ROUND(AI53*$AD$56,2)</f>
        <v>20831.740000000002</v>
      </c>
      <c r="AJ57" s="628"/>
      <c r="AK57" s="625">
        <f>ROUND(AK53*$AD$56,2)</f>
        <v>865.16</v>
      </c>
      <c r="AM57" s="212" t="s">
        <v>296</v>
      </c>
      <c r="AN57" s="280"/>
      <c r="AO57" s="165">
        <v>29884</v>
      </c>
    </row>
    <row r="58" spans="1:44" ht="33" customHeight="1">
      <c r="A58" s="621"/>
      <c r="B58" s="621"/>
      <c r="C58" s="621"/>
      <c r="D58" s="621"/>
      <c r="E58" s="621"/>
      <c r="F58" s="621"/>
      <c r="G58" s="621"/>
      <c r="H58" s="621"/>
      <c r="O58" s="626"/>
      <c r="P58" s="626"/>
      <c r="Q58" s="626"/>
      <c r="R58" s="392"/>
      <c r="U58" s="611"/>
      <c r="V58" s="618" t="s">
        <v>315</v>
      </c>
      <c r="W58" s="624"/>
      <c r="X58" s="625">
        <f>ROUND(X53*B56,2)</f>
        <v>11538.56</v>
      </c>
      <c r="Y58" t="s">
        <v>412</v>
      </c>
      <c r="AC58" s="621"/>
      <c r="AD58" s="621"/>
      <c r="AE58" s="621"/>
      <c r="AF58" s="621"/>
      <c r="AG58" s="621"/>
      <c r="AH58" s="621"/>
      <c r="AI58" s="621"/>
      <c r="AJ58" s="621"/>
      <c r="AK58" s="621"/>
    </row>
    <row r="59" spans="1:44">
      <c r="I59" t="s">
        <v>412</v>
      </c>
      <c r="O59" s="392"/>
      <c r="P59" s="392"/>
      <c r="Q59" s="392"/>
      <c r="R59" s="392"/>
      <c r="U59" s="611"/>
      <c r="V59" s="618" t="s">
        <v>316</v>
      </c>
      <c r="W59" s="624"/>
      <c r="X59" s="625">
        <f>ROUND(X54*B56,2)</f>
        <v>11635.65</v>
      </c>
    </row>
    <row r="60" spans="1:44" ht="16" thickBot="1">
      <c r="O60" s="392"/>
      <c r="P60" s="392"/>
      <c r="Q60" s="392"/>
      <c r="R60" s="392"/>
      <c r="U60" s="611"/>
      <c r="V60" s="618" t="s">
        <v>317</v>
      </c>
      <c r="W60" s="624"/>
      <c r="X60" s="625">
        <f>ROUND(X55*B56,2)</f>
        <v>7555.62</v>
      </c>
    </row>
    <row r="61" spans="1:44" s="632" customFormat="1" ht="16" thickBot="1">
      <c r="A61" s="631" t="s">
        <v>416</v>
      </c>
      <c r="AE61" s="633"/>
    </row>
    <row r="62" spans="1:44">
      <c r="X62" s="562"/>
      <c r="AE62" s="478"/>
      <c r="AN62" s="801" t="s">
        <v>401</v>
      </c>
      <c r="AO62" s="801"/>
      <c r="AP62" s="801"/>
      <c r="AQ62" s="801"/>
      <c r="AR62" s="801"/>
    </row>
    <row r="63" spans="1:44" ht="46.5" customHeight="1">
      <c r="A63" s="541" t="s">
        <v>407</v>
      </c>
      <c r="B63" s="542"/>
      <c r="C63" s="542"/>
      <c r="D63" s="542"/>
      <c r="E63" s="542"/>
      <c r="F63" s="542"/>
      <c r="G63" s="542"/>
      <c r="H63" s="542"/>
      <c r="O63" s="439" t="s">
        <v>347</v>
      </c>
      <c r="P63" s="440"/>
      <c r="Q63" s="440"/>
      <c r="V63" s="803" t="s">
        <v>433</v>
      </c>
      <c r="W63" s="803"/>
      <c r="X63" s="803"/>
      <c r="Y63" s="803"/>
      <c r="Z63" s="803"/>
      <c r="AC63" s="439" t="s">
        <v>350</v>
      </c>
      <c r="AD63" s="439"/>
      <c r="AE63" s="439"/>
      <c r="AF63" s="439"/>
      <c r="AG63" s="439"/>
      <c r="AH63" s="438"/>
      <c r="AI63" s="438"/>
      <c r="AJ63" s="440"/>
      <c r="AK63" s="440"/>
      <c r="AL63" s="440"/>
      <c r="AN63" s="801" t="s">
        <v>401</v>
      </c>
      <c r="AO63" s="801"/>
      <c r="AP63" s="801"/>
      <c r="AQ63" s="801"/>
      <c r="AR63" s="801"/>
    </row>
    <row r="64" spans="1:44">
      <c r="A64" s="439" t="s">
        <v>346</v>
      </c>
      <c r="B64" s="439"/>
      <c r="C64" s="439"/>
      <c r="D64" s="439"/>
      <c r="E64" s="438"/>
      <c r="F64" s="438"/>
      <c r="G64" s="438"/>
      <c r="H64" s="438"/>
      <c r="O64" s="439" t="s">
        <v>417</v>
      </c>
      <c r="P64" s="440"/>
      <c r="Q64" s="440"/>
      <c r="V64" s="803"/>
      <c r="W64" s="803"/>
      <c r="X64" s="803"/>
      <c r="Y64" s="803"/>
      <c r="Z64" s="803"/>
    </row>
    <row r="65" spans="1:49" ht="24.5">
      <c r="AA65" s="315"/>
      <c r="AB65" s="315"/>
      <c r="AE65" s="448" t="s">
        <v>286</v>
      </c>
      <c r="AF65" s="446"/>
      <c r="AG65" s="444" t="s">
        <v>285</v>
      </c>
      <c r="AH65" s="444"/>
      <c r="AI65" s="444"/>
      <c r="AJ65" s="447"/>
      <c r="AK65" s="445" t="s">
        <v>284</v>
      </c>
      <c r="AT65" s="22"/>
      <c r="AU65" s="22"/>
      <c r="AV65" s="172" t="s">
        <v>74</v>
      </c>
      <c r="AW65" s="172" t="s">
        <v>33</v>
      </c>
    </row>
    <row r="66" spans="1:49">
      <c r="A66" s="172" t="s">
        <v>23</v>
      </c>
      <c r="B66" s="172"/>
      <c r="C66" s="172" t="s">
        <v>30</v>
      </c>
      <c r="D66" s="172" t="s">
        <v>57</v>
      </c>
      <c r="E66" s="172" t="s">
        <v>58</v>
      </c>
      <c r="F66" s="172" t="s">
        <v>59</v>
      </c>
      <c r="G66" s="172" t="s">
        <v>60</v>
      </c>
      <c r="H66" s="172" t="s">
        <v>61</v>
      </c>
      <c r="AA66" s="134"/>
      <c r="AB66" s="134"/>
      <c r="AC66" s="172" t="s">
        <v>31</v>
      </c>
      <c r="AD66" s="172"/>
      <c r="AE66" s="172" t="s">
        <v>24</v>
      </c>
      <c r="AF66" s="335"/>
      <c r="AG66" s="172" t="s">
        <v>26</v>
      </c>
      <c r="AH66" s="172" t="s">
        <v>27</v>
      </c>
      <c r="AI66" s="172" t="s">
        <v>28</v>
      </c>
      <c r="AJ66" s="335"/>
      <c r="AK66" s="268" t="s">
        <v>283</v>
      </c>
      <c r="AM66" s="449" t="s">
        <v>434</v>
      </c>
      <c r="AN66" s="280"/>
      <c r="AO66" s="159"/>
      <c r="AT66" s="349">
        <v>2018</v>
      </c>
      <c r="AU66" s="335"/>
      <c r="AV66" s="335"/>
      <c r="AW66" s="335"/>
    </row>
    <row r="67" spans="1:49">
      <c r="A67" s="340">
        <v>2021</v>
      </c>
      <c r="B67" s="340"/>
      <c r="C67" s="340"/>
      <c r="D67" s="340"/>
      <c r="E67" s="340"/>
      <c r="F67" s="340"/>
      <c r="G67" s="340"/>
      <c r="H67" s="340"/>
      <c r="O67" s="340">
        <v>2021</v>
      </c>
      <c r="P67" s="340"/>
      <c r="Q67" s="340"/>
      <c r="W67" s="340">
        <v>2021</v>
      </c>
      <c r="X67" s="340"/>
      <c r="Y67" s="340"/>
      <c r="AA67" s="134"/>
      <c r="AB67" s="134"/>
      <c r="AC67" s="349">
        <v>2021</v>
      </c>
      <c r="AD67" s="335"/>
      <c r="AE67" s="335"/>
      <c r="AF67" s="335"/>
      <c r="AG67" s="335"/>
      <c r="AH67" s="335"/>
      <c r="AI67" s="335"/>
      <c r="AJ67" s="335"/>
      <c r="AK67" s="335"/>
      <c r="AM67" s="212" t="s">
        <v>290</v>
      </c>
      <c r="AN67" s="280"/>
      <c r="AO67" s="159">
        <f>25722000</f>
        <v>25722000</v>
      </c>
      <c r="AT67" s="213"/>
      <c r="AU67" s="213"/>
      <c r="AV67" s="172"/>
      <c r="AW67" s="172"/>
    </row>
    <row r="68" spans="1:49">
      <c r="A68" s="336" t="s">
        <v>22</v>
      </c>
      <c r="B68" s="337"/>
      <c r="C68" s="342">
        <f>$E$68*C69</f>
        <v>27126</v>
      </c>
      <c r="D68" s="342">
        <f>$E$68*D69</f>
        <v>16878.400000000001</v>
      </c>
      <c r="E68" s="342">
        <f>L72</f>
        <v>12056</v>
      </c>
      <c r="F68" s="342">
        <f>$E$68*F69</f>
        <v>4822.3999999999987</v>
      </c>
      <c r="G68" s="342">
        <f>$E$68*G69</f>
        <v>2411.1999999999994</v>
      </c>
      <c r="H68" s="342">
        <f>$E$68*H69</f>
        <v>1507</v>
      </c>
      <c r="J68" s="640" t="s">
        <v>406</v>
      </c>
      <c r="K68" s="641"/>
      <c r="L68" s="641"/>
      <c r="O68" s="214"/>
      <c r="P68" s="518"/>
      <c r="Q68" s="172"/>
      <c r="S68" s="160" t="s">
        <v>406</v>
      </c>
      <c r="T68" s="161"/>
      <c r="W68" s="336" t="s">
        <v>315</v>
      </c>
      <c r="X68" s="337"/>
      <c r="Y68" s="338">
        <f>W86</f>
        <v>10295.859999999999</v>
      </c>
      <c r="AA68" s="134"/>
      <c r="AB68" s="134"/>
      <c r="AC68" s="213"/>
      <c r="AD68" s="214"/>
      <c r="AE68" s="270"/>
      <c r="AF68" s="335"/>
      <c r="AG68" s="270"/>
      <c r="AH68" s="270"/>
      <c r="AI68" s="270"/>
      <c r="AJ68" s="335"/>
      <c r="AK68" s="270"/>
      <c r="AM68" s="212" t="s">
        <v>284</v>
      </c>
      <c r="AN68" s="280"/>
      <c r="AO68" s="159">
        <f>24582000+3596000+922000+2000</f>
        <v>29102000</v>
      </c>
      <c r="AT68" s="336" t="s">
        <v>22</v>
      </c>
      <c r="AU68" s="337"/>
      <c r="AV68" s="338">
        <v>153</v>
      </c>
      <c r="AW68" s="338">
        <v>34.700000000000003</v>
      </c>
    </row>
    <row r="69" spans="1:49">
      <c r="A69" s="211" t="s">
        <v>79</v>
      </c>
      <c r="B69" s="663"/>
      <c r="C69" s="279">
        <v>2.25</v>
      </c>
      <c r="D69" s="279">
        <v>1.4000000000000001</v>
      </c>
      <c r="E69" s="279">
        <v>1</v>
      </c>
      <c r="F69" s="279">
        <v>0.39999999999999991</v>
      </c>
      <c r="G69" s="279">
        <v>0.19999999999999996</v>
      </c>
      <c r="H69" s="279">
        <v>0.125</v>
      </c>
      <c r="J69" s="212" t="s">
        <v>410</v>
      </c>
      <c r="K69" s="157"/>
      <c r="L69" s="159">
        <v>43634000</v>
      </c>
      <c r="O69" s="336" t="s">
        <v>22</v>
      </c>
      <c r="P69" s="337"/>
      <c r="Q69" s="338">
        <f>T72</f>
        <v>35979</v>
      </c>
      <c r="S69" s="157"/>
      <c r="T69" s="157"/>
      <c r="W69" s="336" t="s">
        <v>316</v>
      </c>
      <c r="X69" s="337"/>
      <c r="Y69" s="338">
        <f>Z86</f>
        <v>10763.366046511628</v>
      </c>
      <c r="AA69" s="134"/>
      <c r="AB69" s="134"/>
      <c r="AC69" s="336" t="s">
        <v>22</v>
      </c>
      <c r="AD69" s="337"/>
      <c r="AE69" s="338">
        <f>AO77</f>
        <v>11820.77205882353</v>
      </c>
      <c r="AF69" s="335"/>
      <c r="AG69" s="338">
        <v>1194.4461645581948</v>
      </c>
      <c r="AH69" s="338">
        <v>4865.2986600045424</v>
      </c>
      <c r="AI69" s="338">
        <v>19333.303916665849</v>
      </c>
      <c r="AJ69" s="335"/>
      <c r="AK69" s="515">
        <f>AO78</f>
        <v>965.91323973580268</v>
      </c>
      <c r="AM69" s="212" t="s">
        <v>301</v>
      </c>
      <c r="AN69" s="280"/>
      <c r="AO69" s="159">
        <f>32895000-922000</f>
        <v>31973000</v>
      </c>
      <c r="AT69" s="251"/>
      <c r="AU69" s="251"/>
      <c r="AV69" s="251"/>
      <c r="AW69" s="251"/>
    </row>
    <row r="70" spans="1:49">
      <c r="J70" s="212" t="s">
        <v>442</v>
      </c>
      <c r="K70" s="278"/>
      <c r="L70" s="159">
        <f>L69-T70-W84-W87-Z84</f>
        <v>41955013.680000007</v>
      </c>
      <c r="S70" s="212" t="s">
        <v>414</v>
      </c>
      <c r="T70" s="165">
        <v>1224880.8</v>
      </c>
      <c r="W70" s="336" t="s">
        <v>317</v>
      </c>
      <c r="X70" s="337"/>
      <c r="Y70" s="338">
        <f>W89</f>
        <v>12147.314285714287</v>
      </c>
      <c r="AA70" s="134"/>
      <c r="AB70" s="134"/>
      <c r="AG70" s="315"/>
      <c r="AH70" s="315"/>
      <c r="AI70" s="315"/>
      <c r="AJ70" s="315"/>
      <c r="AK70" s="315"/>
      <c r="AM70" s="212"/>
      <c r="AN70" s="280"/>
      <c r="AO70" s="159"/>
      <c r="AT70" s="349">
        <v>2019</v>
      </c>
      <c r="AU70" s="335"/>
      <c r="AV70" s="335"/>
      <c r="AW70" s="335"/>
    </row>
    <row r="71" spans="1:49" ht="16" thickBot="1">
      <c r="A71" s="340">
        <v>2022</v>
      </c>
      <c r="B71" s="340"/>
      <c r="C71" s="340"/>
      <c r="D71" s="340"/>
      <c r="E71" s="340"/>
      <c r="F71" s="340"/>
      <c r="G71" s="340"/>
      <c r="H71" s="340"/>
      <c r="J71" s="212" t="s">
        <v>411</v>
      </c>
      <c r="K71" s="280"/>
      <c r="L71" s="159">
        <v>3480</v>
      </c>
      <c r="O71" s="340">
        <v>2022</v>
      </c>
      <c r="P71" s="340"/>
      <c r="Q71" s="340"/>
      <c r="S71" s="212" t="s">
        <v>415</v>
      </c>
      <c r="T71" s="165">
        <v>25.5</v>
      </c>
      <c r="W71" s="340">
        <v>2022</v>
      </c>
      <c r="X71" s="340"/>
      <c r="Y71" s="340"/>
      <c r="AA71" s="315"/>
      <c r="AB71" s="315"/>
      <c r="AC71" s="349">
        <v>2022</v>
      </c>
      <c r="AD71" s="335"/>
      <c r="AE71" s="335"/>
      <c r="AF71" s="335"/>
      <c r="AG71" s="335"/>
      <c r="AH71" s="335"/>
      <c r="AI71" s="335"/>
      <c r="AJ71" s="335"/>
      <c r="AK71" s="335"/>
      <c r="AM71" s="212"/>
      <c r="AN71" s="280"/>
      <c r="AO71" s="165"/>
      <c r="AT71" s="214" t="str">
        <f>A20</f>
        <v>Indexförändring 2018</v>
      </c>
      <c r="AU71" s="214">
        <f>B20</f>
        <v>0.98545935228023795</v>
      </c>
      <c r="AV71" s="251"/>
      <c r="AW71" s="251"/>
    </row>
    <row r="72" spans="1:49" ht="16.5" thickTop="1" thickBot="1">
      <c r="A72" s="443" t="s">
        <v>344</v>
      </c>
      <c r="B72" s="517">
        <f>(G72/E72)</f>
        <v>1.0205680705190989</v>
      </c>
      <c r="C72" s="172"/>
      <c r="D72" s="318" t="s">
        <v>275</v>
      </c>
      <c r="E72" s="442">
        <v>102.1</v>
      </c>
      <c r="F72" s="318" t="s">
        <v>345</v>
      </c>
      <c r="G72" s="519">
        <v>104.2</v>
      </c>
      <c r="H72" s="563"/>
      <c r="I72" s="639"/>
      <c r="J72" s="212" t="s">
        <v>413</v>
      </c>
      <c r="K72" s="280"/>
      <c r="L72" s="165">
        <f>ROUND((L70)/L71,0)</f>
        <v>12056</v>
      </c>
      <c r="O72" s="214" t="str">
        <f>A72</f>
        <v>Indexförändring 2021</v>
      </c>
      <c r="P72" s="518">
        <f>B72</f>
        <v>1.0205680705190989</v>
      </c>
      <c r="Q72" s="172"/>
      <c r="S72" s="212" t="s">
        <v>428</v>
      </c>
      <c r="T72" s="165">
        <f>ROUND((T70/T71)-L72,0)</f>
        <v>35979</v>
      </c>
      <c r="W72" s="336" t="s">
        <v>315</v>
      </c>
      <c r="X72" s="337"/>
      <c r="Y72" s="338">
        <f>Y68*V74</f>
        <v>10507.625974534769</v>
      </c>
      <c r="AA72" s="134"/>
      <c r="AB72" s="134"/>
      <c r="AC72" s="214" t="s">
        <v>306</v>
      </c>
      <c r="AD72" s="518">
        <f>B72</f>
        <v>1.0205680705190989</v>
      </c>
      <c r="AE72" s="270"/>
      <c r="AF72" s="335"/>
      <c r="AG72" s="270"/>
      <c r="AH72" s="270"/>
      <c r="AI72" s="270"/>
      <c r="AJ72" s="335"/>
      <c r="AK72" s="270"/>
      <c r="AM72" s="212" t="s">
        <v>419</v>
      </c>
      <c r="AN72" s="280"/>
      <c r="AO72" s="159">
        <v>2176</v>
      </c>
      <c r="AT72" s="336" t="s">
        <v>22</v>
      </c>
      <c r="AU72" s="337"/>
      <c r="AV72" s="338">
        <f>ROUND(AV68*AU71,2)</f>
        <v>150.78</v>
      </c>
      <c r="AW72" s="338">
        <f>ROUND(AW68*AU71,2)</f>
        <v>34.200000000000003</v>
      </c>
    </row>
    <row r="73" spans="1:49" ht="16.5" thickTop="1" thickBot="1">
      <c r="A73" s="336" t="s">
        <v>22</v>
      </c>
      <c r="B73" s="342"/>
      <c r="C73" s="514">
        <f t="shared" ref="C73:H73" si="8">C68*$B$72</f>
        <v>27683.929480901079</v>
      </c>
      <c r="D73" s="514">
        <f t="shared" si="8"/>
        <v>17225.556121449561</v>
      </c>
      <c r="E73" s="514">
        <f t="shared" si="8"/>
        <v>12303.968658178257</v>
      </c>
      <c r="F73" s="514">
        <f t="shared" si="8"/>
        <v>4921.5874632713012</v>
      </c>
      <c r="G73" s="514">
        <f t="shared" si="8"/>
        <v>2460.7937316356506</v>
      </c>
      <c r="H73" s="514">
        <f t="shared" si="8"/>
        <v>1537.9960822722821</v>
      </c>
      <c r="O73" s="336" t="s">
        <v>22</v>
      </c>
      <c r="P73" s="337"/>
      <c r="Q73" s="338">
        <f>P72*Q69</f>
        <v>36719.018609206658</v>
      </c>
      <c r="V73" s="214" t="s">
        <v>282</v>
      </c>
      <c r="W73" s="336" t="s">
        <v>316</v>
      </c>
      <c r="X73" s="337"/>
      <c r="Y73" s="338">
        <f>Y69*V74</f>
        <v>10984.747718379154</v>
      </c>
      <c r="AA73" s="134"/>
      <c r="AB73" s="134"/>
      <c r="AC73" s="336" t="s">
        <v>22</v>
      </c>
      <c r="AD73" s="337"/>
      <c r="AE73" s="338">
        <f>AE69*$AD$72</f>
        <v>12063.902532119606</v>
      </c>
      <c r="AF73" s="335"/>
      <c r="AG73" s="338">
        <f>AG69*$AD$72</f>
        <v>1219.013617502095</v>
      </c>
      <c r="AH73" s="338">
        <f>AH69*$AD$72</f>
        <v>4965.3684659399933</v>
      </c>
      <c r="AI73" s="338">
        <f>AI69*$AD$72</f>
        <v>19730.952674991004</v>
      </c>
      <c r="AJ73" s="335"/>
      <c r="AK73" s="338">
        <f>AK69*$AD$72</f>
        <v>985.78021136602001</v>
      </c>
      <c r="AM73" s="212" t="s">
        <v>420</v>
      </c>
      <c r="AN73" s="280"/>
      <c r="AO73" s="159">
        <v>30129</v>
      </c>
    </row>
    <row r="74" spans="1:49" ht="16.5" thickTop="1" thickBot="1">
      <c r="A74" s="172"/>
      <c r="B74" s="172"/>
      <c r="C74" s="172"/>
      <c r="D74" s="172"/>
      <c r="E74" s="172"/>
      <c r="F74" s="172"/>
      <c r="G74" s="172"/>
      <c r="H74" s="172"/>
      <c r="O74" s="131"/>
      <c r="P74" s="131"/>
      <c r="Q74" s="131"/>
      <c r="S74" s="630"/>
      <c r="V74" s="517">
        <f>B72</f>
        <v>1.0205680705190989</v>
      </c>
      <c r="W74" s="336" t="s">
        <v>317</v>
      </c>
      <c r="X74" s="337"/>
      <c r="Y74" s="338">
        <f>Y70*V74</f>
        <v>12397.161102560516</v>
      </c>
      <c r="AA74" s="132"/>
      <c r="AB74" s="132"/>
      <c r="AM74" s="212" t="s">
        <v>421</v>
      </c>
      <c r="AN74" s="280"/>
      <c r="AO74" s="159"/>
      <c r="AT74" s="349">
        <v>2020</v>
      </c>
      <c r="AU74" s="335"/>
      <c r="AV74" s="335"/>
      <c r="AW74" s="335"/>
    </row>
    <row r="75" spans="1:49" ht="16.5" thickTop="1" thickBot="1">
      <c r="A75" s="340">
        <v>2023</v>
      </c>
      <c r="B75" s="340"/>
      <c r="C75" s="340" t="s">
        <v>30</v>
      </c>
      <c r="D75" s="340" t="s">
        <v>57</v>
      </c>
      <c r="E75" s="340" t="s">
        <v>58</v>
      </c>
      <c r="F75" s="340" t="s">
        <v>59</v>
      </c>
      <c r="G75" s="340" t="s">
        <v>60</v>
      </c>
      <c r="H75" s="340" t="s">
        <v>61</v>
      </c>
      <c r="O75" s="340">
        <v>2023</v>
      </c>
      <c r="P75" s="340"/>
      <c r="Q75" s="340"/>
      <c r="W75" s="340">
        <v>2023</v>
      </c>
      <c r="X75" s="340"/>
      <c r="Y75" s="340"/>
      <c r="AA75" s="315"/>
      <c r="AB75" s="315"/>
      <c r="AC75" s="349">
        <v>2023</v>
      </c>
      <c r="AD75" s="335"/>
      <c r="AE75" s="335"/>
      <c r="AF75" s="335"/>
      <c r="AG75" s="335"/>
      <c r="AH75" s="335"/>
      <c r="AI75" s="335"/>
      <c r="AJ75" s="335"/>
      <c r="AK75" s="335"/>
      <c r="AM75" s="212"/>
      <c r="AN75" s="280"/>
      <c r="AO75" s="165"/>
      <c r="AT75" s="214" t="str">
        <f>A24</f>
        <v>Indexförändring 2019</v>
      </c>
      <c r="AU75" s="214">
        <f>B24</f>
        <v>1.0090543259557343</v>
      </c>
      <c r="AV75" s="251"/>
      <c r="AW75" s="251"/>
    </row>
    <row r="76" spans="1:49" ht="16.5" thickTop="1" thickBot="1">
      <c r="A76" s="443" t="s">
        <v>408</v>
      </c>
      <c r="B76" s="638">
        <f>(G76/E76)</f>
        <v>1.0364683301343569</v>
      </c>
      <c r="C76" s="172"/>
      <c r="D76" s="318" t="s">
        <v>345</v>
      </c>
      <c r="E76" s="442">
        <v>104.2</v>
      </c>
      <c r="F76" s="318" t="s">
        <v>409</v>
      </c>
      <c r="G76" s="519">
        <v>108</v>
      </c>
      <c r="H76" s="563"/>
      <c r="J76" s="547">
        <f>G76/E76</f>
        <v>1.0364683301343569</v>
      </c>
      <c r="O76" s="214" t="str">
        <f>A76</f>
        <v>Indexförändring 2022</v>
      </c>
      <c r="P76" s="518">
        <f>B76</f>
        <v>1.0364683301343569</v>
      </c>
      <c r="Q76" s="172"/>
      <c r="T76" s="450"/>
      <c r="W76" s="336" t="s">
        <v>315</v>
      </c>
      <c r="X76" s="337"/>
      <c r="Y76" s="338">
        <f>ROUND(Y72*V78,2)</f>
        <v>10890.82</v>
      </c>
      <c r="AA76" s="315"/>
      <c r="AB76" s="315"/>
      <c r="AC76" s="214" t="s">
        <v>306</v>
      </c>
      <c r="AD76" s="518">
        <f>B76</f>
        <v>1.0364683301343569</v>
      </c>
      <c r="AE76" s="270"/>
      <c r="AF76" s="335"/>
      <c r="AG76" s="270"/>
      <c r="AH76" s="270"/>
      <c r="AI76" s="270"/>
      <c r="AJ76" s="335"/>
      <c r="AK76" s="270"/>
      <c r="AM76" s="212"/>
      <c r="AN76" s="280"/>
      <c r="AO76" s="165"/>
      <c r="AT76" s="336" t="s">
        <v>22</v>
      </c>
      <c r="AU76" s="337"/>
      <c r="AV76" s="338">
        <f>ROUND(AV72*AU75,2)</f>
        <v>152.15</v>
      </c>
      <c r="AW76" s="338">
        <f>ROUND(AW72*AU75,2)</f>
        <v>34.51</v>
      </c>
    </row>
    <row r="77" spans="1:49" ht="16.5" thickTop="1" thickBot="1">
      <c r="A77" s="336" t="s">
        <v>22</v>
      </c>
      <c r="B77" s="342"/>
      <c r="C77" s="514">
        <f t="shared" ref="C77:H77" si="9">ROUND(C73*$B$76,2)</f>
        <v>28693.52</v>
      </c>
      <c r="D77" s="514">
        <f t="shared" si="9"/>
        <v>17853.740000000002</v>
      </c>
      <c r="E77" s="514">
        <f t="shared" si="9"/>
        <v>12752.67</v>
      </c>
      <c r="F77" s="514">
        <f t="shared" si="9"/>
        <v>5101.07</v>
      </c>
      <c r="G77" s="514">
        <f t="shared" si="9"/>
        <v>2550.5300000000002</v>
      </c>
      <c r="H77" s="514">
        <f t="shared" si="9"/>
        <v>1594.08</v>
      </c>
      <c r="O77" s="336" t="s">
        <v>22</v>
      </c>
      <c r="P77" s="337"/>
      <c r="Q77" s="338">
        <f>ROUND(P76*Q73,2)</f>
        <v>38058.1</v>
      </c>
      <c r="T77" s="450">
        <f>T70/T71</f>
        <v>48034.541176470593</v>
      </c>
      <c r="V77" s="214" t="s">
        <v>282</v>
      </c>
      <c r="W77" s="336" t="s">
        <v>316</v>
      </c>
      <c r="X77" s="337"/>
      <c r="Y77" s="338">
        <f>ROUND(Y73*V78,2)</f>
        <v>11385.34</v>
      </c>
      <c r="AC77" s="336" t="s">
        <v>22</v>
      </c>
      <c r="AD77" s="337"/>
      <c r="AE77" s="338">
        <f>ROUND(AE73*$AD$76,2)</f>
        <v>12503.85</v>
      </c>
      <c r="AF77" s="335"/>
      <c r="AG77" s="338">
        <f>ROUND(AG73*$AD$76,2)</f>
        <v>1263.47</v>
      </c>
      <c r="AH77" s="338">
        <f>ROUND(AH73*$AD$76,2)</f>
        <v>5146.45</v>
      </c>
      <c r="AI77" s="338">
        <f>ROUND(AI73*$AD$76,2)</f>
        <v>20450.509999999998</v>
      </c>
      <c r="AJ77" s="335"/>
      <c r="AK77" s="338">
        <f>ROUND(AK73*$AD$76,2)</f>
        <v>1021.73</v>
      </c>
      <c r="AM77" s="449" t="s">
        <v>422</v>
      </c>
      <c r="AN77" s="280"/>
      <c r="AO77" s="165">
        <f>AO67/AO72</f>
        <v>11820.77205882353</v>
      </c>
    </row>
    <row r="78" spans="1:49" ht="16.5" thickTop="1" thickBot="1">
      <c r="O78" s="392"/>
      <c r="P78" s="392"/>
      <c r="Q78" s="392"/>
      <c r="T78" s="450">
        <f>T77-L72</f>
        <v>35978.541176470593</v>
      </c>
      <c r="V78" s="517">
        <f>B76</f>
        <v>1.0364683301343569</v>
      </c>
      <c r="W78" s="336" t="s">
        <v>317</v>
      </c>
      <c r="X78" s="337"/>
      <c r="Y78" s="338">
        <f>ROUND(Y74*V78,2)</f>
        <v>12849.26</v>
      </c>
      <c r="AG78" s="315"/>
      <c r="AH78" s="315"/>
      <c r="AI78" s="315"/>
      <c r="AM78" s="449" t="s">
        <v>423</v>
      </c>
      <c r="AN78" s="280"/>
      <c r="AO78" s="165">
        <f>AO68/AO73</f>
        <v>965.91323973580268</v>
      </c>
      <c r="AT78" s="349">
        <v>2021</v>
      </c>
      <c r="AU78" s="335"/>
      <c r="AV78" s="335"/>
      <c r="AW78" s="335"/>
    </row>
    <row r="79" spans="1:49" ht="16" thickTop="1">
      <c r="O79" s="315"/>
      <c r="P79" s="315"/>
      <c r="Q79" s="315"/>
      <c r="AM79" s="449" t="s">
        <v>424</v>
      </c>
      <c r="AN79" s="280"/>
      <c r="AO79" s="165"/>
      <c r="AT79" s="214"/>
      <c r="AU79" s="214">
        <f>B48</f>
        <v>1.0179461615154537</v>
      </c>
      <c r="AV79" s="251"/>
      <c r="AW79" s="251"/>
    </row>
    <row r="80" spans="1:49">
      <c r="AM80" s="212" t="s">
        <v>425</v>
      </c>
      <c r="AN80" s="280"/>
      <c r="AO80" s="165"/>
      <c r="AP80" t="s">
        <v>429</v>
      </c>
      <c r="AT80" s="336" t="s">
        <v>22</v>
      </c>
      <c r="AU80" s="337"/>
      <c r="AV80" s="338">
        <f>ROUND(AV76*$AU$79,2)</f>
        <v>154.88</v>
      </c>
      <c r="AW80" s="338">
        <f>ROUND(AW76*$AU$79,2)</f>
        <v>35.130000000000003</v>
      </c>
    </row>
    <row r="81" spans="22:49">
      <c r="AM81" s="212" t="s">
        <v>426</v>
      </c>
      <c r="AN81" s="280"/>
      <c r="AO81" s="165"/>
      <c r="AP81" t="s">
        <v>429</v>
      </c>
    </row>
    <row r="82" spans="22:49" ht="15.75" customHeight="1">
      <c r="V82" s="640" t="s">
        <v>418</v>
      </c>
      <c r="W82" s="641"/>
      <c r="X82" s="158"/>
      <c r="Y82" s="157"/>
      <c r="Z82" s="158"/>
      <c r="AM82" s="212" t="s">
        <v>427</v>
      </c>
      <c r="AN82" s="280"/>
      <c r="AO82" s="165"/>
      <c r="AP82" t="s">
        <v>429</v>
      </c>
      <c r="AT82" s="349">
        <v>2022</v>
      </c>
      <c r="AU82" s="335"/>
      <c r="AV82" s="335" t="s">
        <v>74</v>
      </c>
      <c r="AW82" s="335" t="s">
        <v>33</v>
      </c>
    </row>
    <row r="83" spans="22:49" ht="21" customHeight="1">
      <c r="V83" s="157"/>
      <c r="W83" s="157"/>
      <c r="X83" s="157"/>
      <c r="Y83" s="157"/>
      <c r="Z83" s="157"/>
      <c r="AM83" s="212"/>
      <c r="AN83" s="280"/>
      <c r="AO83" s="165"/>
      <c r="AT83" s="214"/>
      <c r="AU83" s="214">
        <f>B72</f>
        <v>1.0205680705190989</v>
      </c>
      <c r="AV83" s="251"/>
      <c r="AW83" s="251"/>
    </row>
    <row r="84" spans="22:49">
      <c r="V84" s="212" t="s">
        <v>431</v>
      </c>
      <c r="W84" s="159">
        <v>180177.55</v>
      </c>
      <c r="X84" s="158" t="s">
        <v>430</v>
      </c>
      <c r="Y84" s="642"/>
      <c r="Z84" s="455">
        <v>231412.37</v>
      </c>
      <c r="AT84" s="336" t="s">
        <v>22</v>
      </c>
      <c r="AU84" s="337"/>
      <c r="AV84" s="578">
        <f>ROUND(AV80*$AU$83,2)</f>
        <v>158.07</v>
      </c>
      <c r="AW84" s="578">
        <f>ROUND(AW80*$AU$83,2)</f>
        <v>35.85</v>
      </c>
    </row>
    <row r="85" spans="22:49">
      <c r="V85" s="212" t="s">
        <v>312</v>
      </c>
      <c r="W85" s="455">
        <v>17.5</v>
      </c>
      <c r="X85" s="158" t="s">
        <v>314</v>
      </c>
      <c r="Y85" s="642"/>
      <c r="Z85" s="159">
        <v>43</v>
      </c>
    </row>
    <row r="86" spans="22:49">
      <c r="V86" s="212" t="s">
        <v>313</v>
      </c>
      <c r="W86" s="159">
        <f>W84/W85</f>
        <v>10295.859999999999</v>
      </c>
      <c r="X86" s="212" t="s">
        <v>313</v>
      </c>
      <c r="Y86" s="642"/>
      <c r="Z86" s="159">
        <f>2*Z84/Z85</f>
        <v>10763.366046511628</v>
      </c>
      <c r="AT86" s="349">
        <v>2023</v>
      </c>
      <c r="AU86" s="335"/>
      <c r="AV86" s="335" t="s">
        <v>74</v>
      </c>
      <c r="AW86" s="335" t="s">
        <v>33</v>
      </c>
    </row>
    <row r="87" spans="22:49">
      <c r="V87" s="212" t="s">
        <v>432</v>
      </c>
      <c r="W87" s="159">
        <v>42515.600000000006</v>
      </c>
      <c r="X87" s="642"/>
      <c r="Y87" s="642"/>
      <c r="Z87" s="159"/>
      <c r="AG87" s="444" t="s">
        <v>285</v>
      </c>
      <c r="AH87" s="444"/>
      <c r="AI87" s="444"/>
      <c r="AJ87" s="447"/>
      <c r="AK87" s="445" t="s">
        <v>284</v>
      </c>
      <c r="AT87" s="214"/>
      <c r="AU87" s="214">
        <f>B76</f>
        <v>1.0364683301343569</v>
      </c>
      <c r="AV87" s="251"/>
      <c r="AW87" s="251"/>
    </row>
    <row r="88" spans="22:49">
      <c r="V88" s="212" t="s">
        <v>314</v>
      </c>
      <c r="W88" s="159">
        <v>7</v>
      </c>
      <c r="X88" s="642"/>
      <c r="Y88" s="642"/>
      <c r="Z88" s="159"/>
      <c r="AG88" s="172" t="s">
        <v>26</v>
      </c>
      <c r="AH88" s="172" t="s">
        <v>27</v>
      </c>
      <c r="AI88" s="172" t="s">
        <v>28</v>
      </c>
      <c r="AJ88" s="335"/>
      <c r="AK88" s="268" t="s">
        <v>283</v>
      </c>
      <c r="AT88" s="336" t="s">
        <v>22</v>
      </c>
      <c r="AU88" s="337"/>
      <c r="AV88" s="338">
        <f>ROUND(AV84*$AU$87,2)</f>
        <v>163.83000000000001</v>
      </c>
      <c r="AW88" s="338">
        <f>ROUND(AW84*AU87,2)</f>
        <v>37.159999999999997</v>
      </c>
    </row>
    <row r="89" spans="22:49">
      <c r="V89" s="212" t="s">
        <v>313</v>
      </c>
      <c r="W89" s="159">
        <f>2*W87/W88</f>
        <v>12147.314285714287</v>
      </c>
      <c r="X89" s="642"/>
      <c r="Y89" s="642"/>
      <c r="Z89" s="642"/>
      <c r="AC89" s="349">
        <v>2023</v>
      </c>
      <c r="AD89" s="335"/>
      <c r="AE89" s="335"/>
      <c r="AF89" s="335"/>
      <c r="AG89" s="335"/>
      <c r="AH89" s="335"/>
      <c r="AI89" s="335"/>
      <c r="AJ89" s="335"/>
      <c r="AK89" s="335"/>
      <c r="AT89" s="662"/>
      <c r="AU89" s="662"/>
      <c r="AV89" s="662"/>
      <c r="AW89" s="662"/>
    </row>
    <row r="90" spans="22:49">
      <c r="AC90" s="214" t="s">
        <v>306</v>
      </c>
      <c r="AD90" s="518">
        <v>1.0364683301343569</v>
      </c>
      <c r="AE90" s="270"/>
      <c r="AF90" s="335"/>
      <c r="AG90" s="270"/>
      <c r="AH90" s="270"/>
      <c r="AI90" s="270"/>
      <c r="AJ90" s="335"/>
      <c r="AK90" s="270"/>
    </row>
    <row r="91" spans="22:49">
      <c r="V91" s="441"/>
      <c r="W91" s="392"/>
      <c r="AC91" s="336" t="s">
        <v>22</v>
      </c>
      <c r="AD91" s="337"/>
      <c r="AE91" s="338"/>
      <c r="AF91" s="335"/>
      <c r="AG91" s="338">
        <v>1263.47</v>
      </c>
      <c r="AH91" s="338">
        <v>5146.45</v>
      </c>
      <c r="AI91" s="338">
        <v>20450.509999999998</v>
      </c>
      <c r="AJ91" s="335"/>
      <c r="AK91" s="338">
        <v>1021.73</v>
      </c>
    </row>
    <row r="102" spans="31:31">
      <c r="AE102">
        <f>19603+927+4649</f>
        <v>25179</v>
      </c>
    </row>
  </sheetData>
  <mergeCells count="7">
    <mergeCell ref="J38:K38"/>
    <mergeCell ref="J54:K55"/>
    <mergeCell ref="AN62:AR62"/>
    <mergeCell ref="AN63:AR63"/>
    <mergeCell ref="AN26:AR26"/>
    <mergeCell ref="AN27:AR27"/>
    <mergeCell ref="V63:Z64"/>
  </mergeCells>
  <hyperlinks>
    <hyperlink ref="A29" r:id="rId1" xr:uid="{BA92CE36-99C4-42AD-9020-255717455207}"/>
    <hyperlink ref="I52" r:id="rId2" display="https://www.asub.ax/sites/www.asub.ax/files/statistics/prisindex_for_den_kommunala_basservicen_2021.pdf" xr:uid="{2D13EA27-EB66-450A-8851-21AE9DCE258F}"/>
    <hyperlink ref="J76" r:id="rId3" display="https://www.asub.ax/sv/statistik/prisindex-kommunala-basservicen-pa-aland-2022" xr:uid="{5C139C8A-138F-48B9-8F4B-B06400E9C94E}"/>
  </hyperlinks>
  <pageMargins left="0.7" right="0.7" top="0.75" bottom="0.75" header="0.3" footer="0.3"/>
  <pageSetup paperSize="9" scale="99" orientation="landscape"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3"/>
  <sheetViews>
    <sheetView topLeftCell="A10" zoomScaleNormal="100" workbookViewId="0">
      <selection activeCell="H43" sqref="H43"/>
    </sheetView>
  </sheetViews>
  <sheetFormatPr defaultRowHeight="15.5"/>
  <cols>
    <col min="1" max="1" width="11.07421875" bestFit="1" customWidth="1"/>
    <col min="2" max="2" width="13.84375" customWidth="1"/>
    <col min="3" max="3" width="9.765625" bestFit="1" customWidth="1"/>
    <col min="4" max="4" width="13.84375" bestFit="1" customWidth="1"/>
    <col min="5" max="5" width="17.3046875" customWidth="1"/>
    <col min="17" max="17" width="11.07421875" bestFit="1" customWidth="1"/>
    <col min="18" max="19" width="10.3046875" bestFit="1" customWidth="1"/>
    <col min="20" max="20" width="15" bestFit="1" customWidth="1"/>
  </cols>
  <sheetData>
    <row r="1" spans="1:8">
      <c r="A1" s="17" t="s">
        <v>376</v>
      </c>
    </row>
    <row r="2" spans="1:8" ht="17.5">
      <c r="A2" s="16"/>
    </row>
    <row r="3" spans="1:8">
      <c r="A3" s="294" t="s">
        <v>405</v>
      </c>
      <c r="B3" s="251"/>
      <c r="C3" s="251"/>
      <c r="D3" s="251"/>
    </row>
    <row r="4" spans="1:8">
      <c r="A4" s="251"/>
      <c r="B4" s="251"/>
      <c r="C4" s="251"/>
      <c r="D4" s="251"/>
    </row>
    <row r="5" spans="1:8">
      <c r="A5" s="251"/>
      <c r="B5" s="251"/>
      <c r="C5" s="251"/>
      <c r="D5" s="251"/>
    </row>
    <row r="6" spans="1:8">
      <c r="A6" s="252"/>
      <c r="B6" s="135" t="s">
        <v>32</v>
      </c>
      <c r="C6" s="135" t="s">
        <v>34</v>
      </c>
      <c r="D6" s="135" t="s">
        <v>293</v>
      </c>
      <c r="E6" s="135" t="s">
        <v>374</v>
      </c>
      <c r="F6" s="135" t="s">
        <v>375</v>
      </c>
      <c r="H6" s="238" t="s">
        <v>318</v>
      </c>
    </row>
    <row r="7" spans="1:8">
      <c r="A7" s="183" t="s">
        <v>1</v>
      </c>
      <c r="B7" s="120">
        <f>'Skola data'!B40</f>
        <v>348683.66</v>
      </c>
      <c r="C7" s="120">
        <f>STR!D10</f>
        <v>0</v>
      </c>
      <c r="D7" s="120">
        <f>Specialfritids!D10</f>
        <v>0</v>
      </c>
      <c r="E7" s="120">
        <f>Grvux!D10</f>
        <v>0</v>
      </c>
      <c r="F7" s="120">
        <f>Förb!D10</f>
        <v>45541.36</v>
      </c>
      <c r="H7" s="283">
        <f>B7+C7+D7+E7+F7</f>
        <v>394225.01999999996</v>
      </c>
    </row>
    <row r="8" spans="1:8">
      <c r="A8" s="183" t="s">
        <v>2</v>
      </c>
      <c r="B8" s="120">
        <f>'Skola data'!B46</f>
        <v>368888.95</v>
      </c>
      <c r="C8" s="120">
        <f>STR!D11</f>
        <v>114174.3</v>
      </c>
      <c r="D8" s="120">
        <f>Specialfritids!D11</f>
        <v>10890.82</v>
      </c>
      <c r="E8" s="120">
        <f>Grvux!D11</f>
        <v>0</v>
      </c>
      <c r="F8" s="120">
        <f>Förb!D11</f>
        <v>22770.68</v>
      </c>
      <c r="H8" s="283">
        <f t="shared" ref="H8:H23" si="0">B8+C8+D8+E8+F8</f>
        <v>516724.75</v>
      </c>
    </row>
    <row r="9" spans="1:8">
      <c r="A9" s="183" t="s">
        <v>3</v>
      </c>
      <c r="B9" s="120">
        <f>'Skola data'!B52</f>
        <v>462721</v>
      </c>
      <c r="C9" s="120">
        <f>STR!D12</f>
        <v>0</v>
      </c>
      <c r="D9" s="120">
        <f>Specialfritids!D12</f>
        <v>0</v>
      </c>
      <c r="E9" s="120">
        <f>Grvux!D12</f>
        <v>12849.26</v>
      </c>
      <c r="F9" s="120">
        <f>Förb!D12</f>
        <v>79697.38</v>
      </c>
      <c r="H9" s="283">
        <f t="shared" si="0"/>
        <v>555267.64</v>
      </c>
    </row>
    <row r="10" spans="1:8">
      <c r="A10" s="183" t="s">
        <v>4</v>
      </c>
      <c r="B10" s="120">
        <f>'Skola data'!B58</f>
        <v>382714.17</v>
      </c>
      <c r="C10" s="120">
        <f>STR!D13</f>
        <v>38058.1</v>
      </c>
      <c r="D10" s="120">
        <f>Specialfritids!D13</f>
        <v>0</v>
      </c>
      <c r="E10" s="120">
        <f>Grvux!D13</f>
        <v>0</v>
      </c>
      <c r="F10" s="120">
        <f>Förb!D13</f>
        <v>34156.019999999997</v>
      </c>
      <c r="H10" s="283">
        <f t="shared" si="0"/>
        <v>454928.29</v>
      </c>
    </row>
    <row r="11" spans="1:8">
      <c r="A11" s="183" t="s">
        <v>5</v>
      </c>
      <c r="B11" s="120">
        <f>'Skola data'!B64</f>
        <v>311185.65999999997</v>
      </c>
      <c r="C11" s="120">
        <f>STR!D14</f>
        <v>76116.2</v>
      </c>
      <c r="D11" s="120">
        <f>Specialfritids!D14</f>
        <v>0</v>
      </c>
      <c r="E11" s="120">
        <f>Grvux!D14</f>
        <v>0</v>
      </c>
      <c r="F11" s="120">
        <f>Förb!D14</f>
        <v>56926.7</v>
      </c>
      <c r="H11" s="283">
        <f t="shared" si="0"/>
        <v>444228.56</v>
      </c>
    </row>
    <row r="12" spans="1:8">
      <c r="A12" s="183" t="s">
        <v>6</v>
      </c>
      <c r="B12" s="120">
        <f>'Skola data'!B70</f>
        <v>417962.42</v>
      </c>
      <c r="C12" s="120">
        <f>STR!D15</f>
        <v>0</v>
      </c>
      <c r="D12" s="120">
        <f>Specialfritids!D15</f>
        <v>0</v>
      </c>
      <c r="E12" s="120">
        <f>Grvux!D15</f>
        <v>0</v>
      </c>
      <c r="F12" s="120">
        <f>Förb!D15</f>
        <v>91082.72</v>
      </c>
      <c r="H12" s="283">
        <f t="shared" si="0"/>
        <v>509045.14</v>
      </c>
    </row>
    <row r="13" spans="1:8">
      <c r="A13" s="183" t="s">
        <v>7</v>
      </c>
      <c r="B13" s="120">
        <f>'Skola data'!B76</f>
        <v>600860.78</v>
      </c>
      <c r="C13" s="120">
        <f>STR!D16</f>
        <v>380581</v>
      </c>
      <c r="D13" s="120">
        <f>Specialfritids!D16</f>
        <v>108908.2</v>
      </c>
      <c r="E13" s="120">
        <f>Grvux!D16</f>
        <v>0</v>
      </c>
      <c r="F13" s="120">
        <f>Förb!D16</f>
        <v>79697.38</v>
      </c>
      <c r="H13" s="283">
        <f t="shared" si="0"/>
        <v>1170047.3599999999</v>
      </c>
    </row>
    <row r="14" spans="1:8">
      <c r="A14" s="183" t="s">
        <v>8</v>
      </c>
      <c r="B14" s="120">
        <f>'Skola data'!B82</f>
        <v>213709.34</v>
      </c>
      <c r="C14" s="120">
        <f>STR!D17</f>
        <v>0</v>
      </c>
      <c r="D14" s="120">
        <f>Specialfritids!D17</f>
        <v>0</v>
      </c>
      <c r="E14" s="120">
        <f>Grvux!D17</f>
        <v>25698.52</v>
      </c>
      <c r="F14" s="120">
        <f>Förb!D17</f>
        <v>68312.039999999994</v>
      </c>
      <c r="H14" s="283">
        <f t="shared" si="0"/>
        <v>307719.89999999997</v>
      </c>
    </row>
    <row r="15" spans="1:8">
      <c r="A15" s="183" t="s">
        <v>9</v>
      </c>
      <c r="B15" s="120">
        <f>'Skola data'!B88</f>
        <v>67487.16</v>
      </c>
      <c r="C15" s="120">
        <f>STR!D18</f>
        <v>0</v>
      </c>
      <c r="D15" s="120">
        <f>Specialfritids!D18</f>
        <v>0</v>
      </c>
      <c r="E15" s="120">
        <f>Grvux!D18</f>
        <v>0</v>
      </c>
      <c r="F15" s="120">
        <f>Förb!D18</f>
        <v>0</v>
      </c>
      <c r="H15" s="283">
        <f t="shared" si="0"/>
        <v>67487.16</v>
      </c>
    </row>
    <row r="16" spans="1:8">
      <c r="A16" s="183" t="s">
        <v>10</v>
      </c>
      <c r="B16" s="120">
        <f>'Skola data'!B94</f>
        <v>449518.83</v>
      </c>
      <c r="C16" s="120">
        <f>STR!D19</f>
        <v>114174.3</v>
      </c>
      <c r="D16" s="120">
        <f>Specialfritids!D19</f>
        <v>21781.64</v>
      </c>
      <c r="E16" s="120">
        <f>Grvux!D19</f>
        <v>0</v>
      </c>
      <c r="F16" s="120">
        <f>Förb!D19</f>
        <v>45541.36</v>
      </c>
      <c r="H16" s="283">
        <f t="shared" si="0"/>
        <v>631016.13</v>
      </c>
    </row>
    <row r="17" spans="1:8">
      <c r="A17" s="183" t="s">
        <v>11</v>
      </c>
      <c r="B17" s="120">
        <f>'Skola data'!B100</f>
        <v>246269.46</v>
      </c>
      <c r="C17" s="120">
        <f>STR!D20</f>
        <v>38058.1</v>
      </c>
      <c r="D17" s="120">
        <f>Specialfritids!D20</f>
        <v>0</v>
      </c>
      <c r="E17" s="120">
        <f>Grvux!D20</f>
        <v>0</v>
      </c>
      <c r="F17" s="120">
        <f>Förb!D20</f>
        <v>34156.019999999997</v>
      </c>
      <c r="H17" s="283">
        <f t="shared" si="0"/>
        <v>318483.58</v>
      </c>
    </row>
    <row r="18" spans="1:8">
      <c r="A18" s="183" t="s">
        <v>12</v>
      </c>
      <c r="B18" s="120">
        <f>'Skola data'!B106</f>
        <v>425690.52</v>
      </c>
      <c r="C18" s="120">
        <f>STR!D21</f>
        <v>152232.4</v>
      </c>
      <c r="D18" s="120">
        <f>Specialfritids!D21</f>
        <v>32672.46</v>
      </c>
      <c r="E18" s="120">
        <f>Grvux!D21</f>
        <v>0</v>
      </c>
      <c r="F18" s="120">
        <f>Förb!D21</f>
        <v>159394.76</v>
      </c>
      <c r="H18" s="283">
        <f t="shared" si="0"/>
        <v>769990.14</v>
      </c>
    </row>
    <row r="19" spans="1:8">
      <c r="A19" s="183" t="s">
        <v>13</v>
      </c>
      <c r="B19" s="120">
        <f>'Skola data'!B112</f>
        <v>112478.6</v>
      </c>
      <c r="C19" s="120">
        <f>STR!D22</f>
        <v>0</v>
      </c>
      <c r="D19" s="120">
        <f>Specialfritids!D22</f>
        <v>0</v>
      </c>
      <c r="E19" s="120">
        <f>Grvux!D22</f>
        <v>0</v>
      </c>
      <c r="F19" s="120">
        <f>Förb!D22</f>
        <v>0</v>
      </c>
      <c r="H19" s="283">
        <f t="shared" si="0"/>
        <v>112478.6</v>
      </c>
    </row>
    <row r="20" spans="1:8">
      <c r="A20" s="183" t="s">
        <v>14</v>
      </c>
      <c r="B20" s="120">
        <f>'Skola data'!B118</f>
        <v>384860.38</v>
      </c>
      <c r="C20" s="120">
        <f>STR!D23</f>
        <v>76116.2</v>
      </c>
      <c r="D20" s="120">
        <f>Specialfritids!D23</f>
        <v>10890.82</v>
      </c>
      <c r="E20" s="120">
        <f>Grvux!D23</f>
        <v>0</v>
      </c>
      <c r="F20" s="120">
        <f>Förb!D23</f>
        <v>11385.34</v>
      </c>
      <c r="H20" s="283">
        <f t="shared" si="0"/>
        <v>483252.74000000005</v>
      </c>
    </row>
    <row r="21" spans="1:8">
      <c r="A21" s="183" t="s">
        <v>15</v>
      </c>
      <c r="B21" s="120">
        <f>'Skola data'!B124</f>
        <v>435269.21</v>
      </c>
      <c r="C21" s="120">
        <f>STR!D24</f>
        <v>38058.1</v>
      </c>
      <c r="D21" s="120">
        <f>Specialfritids!D24</f>
        <v>10890.82</v>
      </c>
      <c r="E21" s="120">
        <f>Grvux!D24</f>
        <v>0</v>
      </c>
      <c r="F21" s="120">
        <f>Förb!D24</f>
        <v>22770.68</v>
      </c>
      <c r="H21" s="283">
        <f t="shared" si="0"/>
        <v>506988.81</v>
      </c>
    </row>
    <row r="22" spans="1:8">
      <c r="A22" s="183" t="s">
        <v>16</v>
      </c>
      <c r="B22" s="121">
        <f>'Skola data'!B130</f>
        <v>748016.69</v>
      </c>
      <c r="C22" s="120">
        <f>STR!D25</f>
        <v>190290.5</v>
      </c>
      <c r="D22" s="120">
        <f>Specialfritids!D25</f>
        <v>21781.64</v>
      </c>
      <c r="E22" s="120">
        <f>Grvux!D25</f>
        <v>51397.04</v>
      </c>
      <c r="F22" s="120">
        <f>Förb!D25</f>
        <v>455413.6</v>
      </c>
      <c r="H22" s="285">
        <f t="shared" si="0"/>
        <v>1466899.47</v>
      </c>
    </row>
    <row r="23" spans="1:8">
      <c r="A23" s="245" t="s">
        <v>18</v>
      </c>
      <c r="B23" s="287">
        <f>SUM(B7:B22)</f>
        <v>5976316.8299999982</v>
      </c>
      <c r="C23" s="293">
        <f>SUM(C7:C22)</f>
        <v>1217859.2</v>
      </c>
      <c r="D23" s="293">
        <f>Specialfritids!D26</f>
        <v>217816.39999999997</v>
      </c>
      <c r="E23" s="293">
        <f>Grvux!D26</f>
        <v>89944.82</v>
      </c>
      <c r="F23" s="293">
        <f>Förb!D26</f>
        <v>1206846.04</v>
      </c>
      <c r="H23" s="288">
        <f t="shared" si="0"/>
        <v>8708783.2899999991</v>
      </c>
    </row>
    <row r="24" spans="1:8">
      <c r="A24" s="251"/>
      <c r="B24" s="251"/>
      <c r="C24" s="251"/>
      <c r="D24" s="251"/>
      <c r="E24" s="251"/>
    </row>
    <row r="26" spans="1:8">
      <c r="A26">
        <v>2021</v>
      </c>
      <c r="B26" s="252"/>
      <c r="C26" s="135" t="s">
        <v>32</v>
      </c>
      <c r="D26" s="135" t="s">
        <v>34</v>
      </c>
      <c r="E26" s="135" t="s">
        <v>293</v>
      </c>
      <c r="F26" s="135"/>
      <c r="G26" s="135"/>
      <c r="H26" s="238" t="s">
        <v>318</v>
      </c>
    </row>
    <row r="27" spans="1:8">
      <c r="B27" s="183" t="s">
        <v>1</v>
      </c>
      <c r="C27" s="120">
        <v>311213.78000000003</v>
      </c>
      <c r="D27" s="120">
        <v>0</v>
      </c>
      <c r="E27" s="120">
        <v>0</v>
      </c>
      <c r="F27" s="120"/>
      <c r="G27" s="120"/>
      <c r="H27" s="283">
        <f t="shared" ref="H27:H43" si="1">SUM(C27:E27)</f>
        <v>311213.78000000003</v>
      </c>
    </row>
    <row r="28" spans="1:8">
      <c r="B28" s="183" t="s">
        <v>2</v>
      </c>
      <c r="C28" s="120">
        <v>362649.83</v>
      </c>
      <c r="D28" s="120">
        <v>64541.64</v>
      </c>
      <c r="E28" s="120">
        <v>6363.12</v>
      </c>
      <c r="F28" s="120"/>
      <c r="G28" s="120"/>
      <c r="H28" s="283">
        <f t="shared" si="1"/>
        <v>433554.59</v>
      </c>
    </row>
    <row r="29" spans="1:8">
      <c r="B29" s="183" t="s">
        <v>3</v>
      </c>
      <c r="C29" s="120">
        <v>458739.26</v>
      </c>
      <c r="D29" s="120">
        <v>32270.82</v>
      </c>
      <c r="E29" s="120">
        <v>19089.37</v>
      </c>
      <c r="F29" s="120"/>
      <c r="G29" s="120"/>
      <c r="H29" s="283">
        <f t="shared" si="1"/>
        <v>510099.45</v>
      </c>
    </row>
    <row r="30" spans="1:8">
      <c r="B30" s="183" t="s">
        <v>4</v>
      </c>
      <c r="C30" s="120">
        <v>423672.18</v>
      </c>
      <c r="D30" s="120">
        <v>13446.18</v>
      </c>
      <c r="E30" s="120">
        <v>0</v>
      </c>
      <c r="F30" s="120"/>
      <c r="G30" s="120"/>
      <c r="H30" s="283">
        <f t="shared" si="1"/>
        <v>437118.36</v>
      </c>
    </row>
    <row r="31" spans="1:8">
      <c r="B31" s="183" t="s">
        <v>5</v>
      </c>
      <c r="C31" s="120">
        <v>304932.3</v>
      </c>
      <c r="D31" s="120">
        <v>64541.64</v>
      </c>
      <c r="E31" s="120">
        <v>0</v>
      </c>
      <c r="F31" s="120"/>
      <c r="G31" s="120"/>
      <c r="H31" s="283">
        <f t="shared" si="1"/>
        <v>369473.94</v>
      </c>
    </row>
    <row r="32" spans="1:8">
      <c r="B32" s="183" t="s">
        <v>6</v>
      </c>
      <c r="C32" s="120">
        <v>414046.48</v>
      </c>
      <c r="D32" s="120">
        <v>51095.47</v>
      </c>
      <c r="E32" s="120">
        <v>17271.330000000002</v>
      </c>
      <c r="F32" s="120"/>
      <c r="G32" s="120"/>
      <c r="H32" s="283">
        <f t="shared" si="1"/>
        <v>482413.27999999997</v>
      </c>
    </row>
    <row r="33" spans="2:8">
      <c r="B33" s="183" t="s">
        <v>7</v>
      </c>
      <c r="C33" s="120">
        <v>598883.03</v>
      </c>
      <c r="D33" s="120">
        <v>228584.98</v>
      </c>
      <c r="E33" s="120">
        <v>68176.31</v>
      </c>
      <c r="F33" s="120"/>
      <c r="G33" s="120"/>
      <c r="H33" s="283">
        <f t="shared" si="1"/>
        <v>895644.32000000007</v>
      </c>
    </row>
    <row r="34" spans="2:8">
      <c r="B34" s="183" t="s">
        <v>8</v>
      </c>
      <c r="C34" s="120">
        <v>193167.17</v>
      </c>
      <c r="D34" s="120">
        <v>0</v>
      </c>
      <c r="E34" s="120">
        <v>0</v>
      </c>
      <c r="F34" s="120"/>
      <c r="G34" s="120"/>
      <c r="H34" s="283">
        <f t="shared" si="1"/>
        <v>193167.17</v>
      </c>
    </row>
    <row r="35" spans="2:8">
      <c r="B35" s="183" t="s">
        <v>9</v>
      </c>
      <c r="C35" s="120">
        <v>150241.14000000001</v>
      </c>
      <c r="D35" s="120">
        <v>0</v>
      </c>
      <c r="E35" s="120">
        <v>0</v>
      </c>
      <c r="F35" s="120"/>
      <c r="G35" s="120"/>
      <c r="H35" s="283">
        <f t="shared" si="1"/>
        <v>150241.14000000001</v>
      </c>
    </row>
    <row r="36" spans="2:8">
      <c r="B36" s="183" t="s">
        <v>10</v>
      </c>
      <c r="C36" s="120">
        <v>439265.98</v>
      </c>
      <c r="D36" s="120">
        <v>32270.82</v>
      </c>
      <c r="E36" s="120">
        <v>10908.21</v>
      </c>
      <c r="F36" s="120"/>
      <c r="G36" s="120"/>
      <c r="H36" s="283">
        <f t="shared" si="1"/>
        <v>482445.01</v>
      </c>
    </row>
    <row r="37" spans="2:8">
      <c r="B37" s="183" t="s">
        <v>11</v>
      </c>
      <c r="C37" s="120">
        <v>244150.15</v>
      </c>
      <c r="D37" s="120">
        <v>32270.82</v>
      </c>
      <c r="E37" s="120">
        <v>0</v>
      </c>
      <c r="F37" s="120"/>
      <c r="G37" s="120"/>
      <c r="H37" s="283">
        <f t="shared" si="1"/>
        <v>276420.96999999997</v>
      </c>
    </row>
    <row r="38" spans="2:8">
      <c r="B38" s="183" t="s">
        <v>12</v>
      </c>
      <c r="C38" s="120">
        <v>418515.76</v>
      </c>
      <c r="D38" s="120">
        <v>83366.289999999994</v>
      </c>
      <c r="E38" s="120">
        <v>10908.21</v>
      </c>
      <c r="F38" s="120"/>
      <c r="G38" s="120"/>
      <c r="H38" s="283">
        <f t="shared" si="1"/>
        <v>512790.26</v>
      </c>
    </row>
    <row r="39" spans="2:8">
      <c r="B39" s="183" t="s">
        <v>13</v>
      </c>
      <c r="C39" s="120">
        <v>0</v>
      </c>
      <c r="D39" s="120">
        <v>0</v>
      </c>
      <c r="E39" s="120">
        <v>0</v>
      </c>
      <c r="F39" s="120"/>
      <c r="G39" s="120"/>
      <c r="H39" s="283">
        <f t="shared" si="1"/>
        <v>0</v>
      </c>
    </row>
    <row r="40" spans="2:8">
      <c r="B40" s="183" t="s">
        <v>14</v>
      </c>
      <c r="C40" s="120">
        <v>384102.35</v>
      </c>
      <c r="D40" s="120">
        <v>32270.82</v>
      </c>
      <c r="E40" s="120">
        <v>6363.12</v>
      </c>
      <c r="F40" s="120"/>
      <c r="G40" s="120"/>
      <c r="H40" s="283">
        <f t="shared" si="1"/>
        <v>422736.29</v>
      </c>
    </row>
    <row r="41" spans="2:8">
      <c r="B41" s="183" t="s">
        <v>15</v>
      </c>
      <c r="C41" s="120">
        <v>400227.88</v>
      </c>
      <c r="D41" s="120">
        <v>32270.82</v>
      </c>
      <c r="E41" s="120">
        <v>10908.21</v>
      </c>
      <c r="F41" s="120"/>
      <c r="G41" s="120"/>
      <c r="H41" s="283">
        <f t="shared" si="1"/>
        <v>443406.91000000003</v>
      </c>
    </row>
    <row r="42" spans="2:8">
      <c r="B42" s="183" t="s">
        <v>16</v>
      </c>
      <c r="C42" s="121">
        <v>717638.12</v>
      </c>
      <c r="D42" s="120">
        <v>161354.1</v>
      </c>
      <c r="E42" s="120">
        <v>39087.75</v>
      </c>
      <c r="F42" s="120"/>
      <c r="G42" s="120"/>
      <c r="H42" s="283">
        <f t="shared" si="1"/>
        <v>918079.97</v>
      </c>
    </row>
    <row r="43" spans="2:8">
      <c r="B43" s="245" t="s">
        <v>18</v>
      </c>
      <c r="C43" s="287">
        <v>5821445.4100000001</v>
      </c>
      <c r="D43" s="293">
        <f>SUM(D27:D42)</f>
        <v>828284.39999999991</v>
      </c>
      <c r="E43" s="293">
        <v>229072.41</v>
      </c>
      <c r="F43" s="293"/>
      <c r="G43" s="293"/>
      <c r="H43" s="283">
        <f t="shared" si="1"/>
        <v>6878802.2200000007</v>
      </c>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34"/>
  <sheetViews>
    <sheetView zoomScale="90" zoomScaleNormal="90" zoomScalePageLayoutView="60" workbookViewId="0">
      <selection activeCell="F40" activeCellId="15" sqref="F130:K130 F124:G124 F118:K118 F112 F106:K106 F100:K100 F94:K94 F88 F82 F76:K76 F70:K70 F58 F64:G64 F52:K52 F46:I46 F40"/>
    </sheetView>
  </sheetViews>
  <sheetFormatPr defaultColWidth="8.765625" defaultRowHeight="14.5"/>
  <cols>
    <col min="1" max="1" width="12.07421875" style="7" customWidth="1"/>
    <col min="2" max="2" width="11" style="7" customWidth="1"/>
    <col min="3" max="3" width="9" style="7" customWidth="1"/>
    <col min="4" max="4" width="10.23046875" style="7" customWidth="1"/>
    <col min="5" max="5" width="8.765625" style="7" bestFit="1" customWidth="1"/>
    <col min="6" max="6" width="11.53515625" style="7" bestFit="1" customWidth="1"/>
    <col min="7" max="17" width="8.765625" style="7" bestFit="1" customWidth="1"/>
    <col min="18" max="18" width="9.53515625" style="7" bestFit="1" customWidth="1"/>
    <col min="19" max="16384" width="8.765625" style="7"/>
  </cols>
  <sheetData>
    <row r="1" spans="1:29" ht="17.5">
      <c r="A1" s="16" t="s">
        <v>56</v>
      </c>
    </row>
    <row r="2" spans="1:29">
      <c r="A2" s="7" t="s">
        <v>63</v>
      </c>
    </row>
    <row r="3" spans="1:29">
      <c r="A3" s="21"/>
    </row>
    <row r="4" spans="1:29">
      <c r="A4" s="100"/>
      <c r="B4" s="100"/>
      <c r="C4" s="100"/>
      <c r="D4" s="100"/>
      <c r="E4" s="100"/>
      <c r="F4" s="100"/>
      <c r="G4" s="100"/>
      <c r="H4" s="100"/>
      <c r="I4" s="100"/>
      <c r="J4" s="100"/>
      <c r="K4" s="100"/>
      <c r="L4" s="100"/>
      <c r="M4" s="100"/>
      <c r="N4" s="100"/>
    </row>
    <row r="5" spans="1:29">
      <c r="A5" s="171" t="s">
        <v>23</v>
      </c>
      <c r="B5" s="171"/>
      <c r="C5" s="171" t="s">
        <v>30</v>
      </c>
      <c r="D5" s="171" t="s">
        <v>57</v>
      </c>
      <c r="E5" s="171" t="s">
        <v>78</v>
      </c>
      <c r="F5" s="171" t="s">
        <v>59</v>
      </c>
      <c r="G5" s="171" t="s">
        <v>60</v>
      </c>
      <c r="H5" s="171" t="s">
        <v>61</v>
      </c>
      <c r="I5" s="172"/>
      <c r="J5" s="172"/>
      <c r="K5" s="172"/>
      <c r="L5" s="172"/>
      <c r="M5" s="172"/>
      <c r="N5" s="100"/>
    </row>
    <row r="6" spans="1:29">
      <c r="A6" s="173" t="s">
        <v>22</v>
      </c>
      <c r="B6" s="174"/>
      <c r="C6" s="175">
        <f>Basbelopp!C77</f>
        <v>28693.52</v>
      </c>
      <c r="D6" s="175">
        <f>Basbelopp!D77</f>
        <v>17853.740000000002</v>
      </c>
      <c r="E6" s="175">
        <f>Basbelopp!E77</f>
        <v>12752.67</v>
      </c>
      <c r="F6" s="175">
        <f>Basbelopp!F77</f>
        <v>5101.07</v>
      </c>
      <c r="G6" s="175">
        <f>Basbelopp!G77</f>
        <v>2550.5300000000002</v>
      </c>
      <c r="H6" s="175">
        <f>Basbelopp!H77</f>
        <v>1594.08</v>
      </c>
      <c r="I6" s="172"/>
      <c r="J6" s="172"/>
      <c r="K6" s="100"/>
      <c r="L6" s="100"/>
      <c r="M6" s="100"/>
      <c r="N6" s="100"/>
    </row>
    <row r="7" spans="1:29">
      <c r="A7" s="100"/>
      <c r="B7" s="100"/>
      <c r="C7" s="100"/>
      <c r="D7" s="100"/>
      <c r="E7" s="100"/>
      <c r="F7" s="100"/>
      <c r="G7" s="100"/>
      <c r="H7" s="100"/>
      <c r="I7" s="100"/>
      <c r="J7" s="100"/>
      <c r="K7" s="100"/>
      <c r="L7" s="100"/>
      <c r="M7" s="100"/>
      <c r="N7" s="100"/>
    </row>
    <row r="8" spans="1:29">
      <c r="A8" s="176" t="s">
        <v>193</v>
      </c>
      <c r="B8" s="176"/>
      <c r="C8" s="136"/>
      <c r="D8" s="136"/>
      <c r="E8" s="136"/>
      <c r="F8" s="136"/>
      <c r="G8" s="136"/>
      <c r="H8" s="136"/>
      <c r="I8" s="100"/>
      <c r="J8" s="100"/>
      <c r="K8" s="100"/>
      <c r="L8" s="100"/>
      <c r="M8" s="100"/>
      <c r="N8" s="100"/>
    </row>
    <row r="9" spans="1:29">
      <c r="A9" s="100" t="s">
        <v>45</v>
      </c>
      <c r="B9" s="100"/>
      <c r="C9" s="435">
        <v>0.20200000000000001</v>
      </c>
      <c r="D9" s="435">
        <v>0.20200000000000001</v>
      </c>
      <c r="E9" s="435">
        <v>0.20200000000000001</v>
      </c>
      <c r="F9" s="435">
        <v>0.20200000000000001</v>
      </c>
      <c r="G9" s="435">
        <v>0.20200000000000001</v>
      </c>
      <c r="H9" s="435">
        <v>0.20200000000000001</v>
      </c>
      <c r="I9" s="177"/>
      <c r="J9" s="100"/>
      <c r="K9" s="100"/>
      <c r="L9" s="100"/>
      <c r="M9" s="100"/>
      <c r="N9" s="100"/>
    </row>
    <row r="10" spans="1:29">
      <c r="A10" s="178" t="s">
        <v>54</v>
      </c>
      <c r="B10" s="178"/>
      <c r="C10" s="436">
        <f>C9+0.14</f>
        <v>0.34200000000000003</v>
      </c>
      <c r="D10" s="436">
        <f t="shared" ref="D10:H10" si="0">D9+0.14</f>
        <v>0.34200000000000003</v>
      </c>
      <c r="E10" s="436">
        <f t="shared" si="0"/>
        <v>0.34200000000000003</v>
      </c>
      <c r="F10" s="436">
        <f t="shared" si="0"/>
        <v>0.34200000000000003</v>
      </c>
      <c r="G10" s="436">
        <f t="shared" si="0"/>
        <v>0.34200000000000003</v>
      </c>
      <c r="H10" s="436">
        <f t="shared" si="0"/>
        <v>0.34200000000000003</v>
      </c>
      <c r="I10" s="100"/>
      <c r="J10" s="100"/>
      <c r="K10" s="100"/>
      <c r="L10" s="100"/>
      <c r="M10" s="100"/>
      <c r="N10" s="100"/>
    </row>
    <row r="11" spans="1:29">
      <c r="A11" s="179" t="s">
        <v>55</v>
      </c>
      <c r="B11" s="179"/>
      <c r="C11" s="437">
        <f>C9+0.14+0.05</f>
        <v>0.39200000000000002</v>
      </c>
      <c r="D11" s="437">
        <f t="shared" ref="D11:H11" si="1">D9+0.14+0.05</f>
        <v>0.39200000000000002</v>
      </c>
      <c r="E11" s="437">
        <f t="shared" si="1"/>
        <v>0.39200000000000002</v>
      </c>
      <c r="F11" s="437">
        <f t="shared" si="1"/>
        <v>0.39200000000000002</v>
      </c>
      <c r="G11" s="437">
        <f t="shared" si="1"/>
        <v>0.39200000000000002</v>
      </c>
      <c r="H11" s="437">
        <f t="shared" si="1"/>
        <v>0.39200000000000002</v>
      </c>
      <c r="I11" s="100"/>
      <c r="J11" s="100"/>
      <c r="K11" s="100"/>
      <c r="L11" s="100"/>
      <c r="M11" s="100"/>
      <c r="N11" s="100"/>
      <c r="U11" s="25"/>
      <c r="V11" s="25"/>
      <c r="W11" s="25"/>
      <c r="X11" s="25"/>
      <c r="Y11" s="25"/>
      <c r="Z11" s="25"/>
      <c r="AA11" s="25"/>
      <c r="AB11" s="25"/>
      <c r="AC11" s="25"/>
    </row>
    <row r="12" spans="1:29" ht="15.5">
      <c r="A12" s="100"/>
      <c r="B12" s="100"/>
      <c r="C12" s="100"/>
      <c r="D12" s="100"/>
      <c r="E12" s="100"/>
      <c r="F12" s="100"/>
      <c r="G12" s="100"/>
      <c r="H12" s="100"/>
      <c r="I12" s="100"/>
      <c r="J12" s="100"/>
      <c r="K12" s="100"/>
      <c r="L12" s="100"/>
      <c r="M12" s="100"/>
      <c r="N12" s="100"/>
      <c r="U12" s="1"/>
      <c r="V12" s="1"/>
      <c r="W12" s="1"/>
      <c r="X12" s="1"/>
      <c r="Y12" s="1"/>
      <c r="Z12" s="1"/>
      <c r="AA12" s="1"/>
      <c r="AB12" s="1"/>
      <c r="AC12" s="1"/>
    </row>
    <row r="13" spans="1:29" ht="15.5">
      <c r="A13" s="180" t="s">
        <v>88</v>
      </c>
      <c r="B13" s="100"/>
      <c r="C13" s="143"/>
      <c r="D13" s="100"/>
      <c r="E13" s="100"/>
      <c r="F13" s="100"/>
      <c r="G13" s="100"/>
      <c r="H13" s="100"/>
      <c r="I13" s="100"/>
      <c r="J13" s="100"/>
      <c r="K13" s="100"/>
      <c r="L13" s="100"/>
      <c r="M13" s="100"/>
      <c r="N13" s="100"/>
      <c r="O13" s="8"/>
      <c r="P13" s="18"/>
      <c r="R13" s="25"/>
      <c r="S13" s="25"/>
      <c r="U13" s="1"/>
      <c r="V13" s="1"/>
      <c r="W13" s="1"/>
      <c r="X13" s="1"/>
      <c r="Y13" s="1"/>
      <c r="Z13" s="1"/>
      <c r="AA13" s="1"/>
      <c r="AB13" s="1"/>
      <c r="AC13" s="1"/>
    </row>
    <row r="14" spans="1:29" ht="15.5">
      <c r="A14" s="181" t="str">
        <f>Invånare!F5</f>
        <v>2022</v>
      </c>
      <c r="B14" s="182" t="s">
        <v>103</v>
      </c>
      <c r="C14" s="100"/>
      <c r="D14" s="100"/>
      <c r="E14" s="100"/>
      <c r="F14" s="100"/>
      <c r="G14" s="100"/>
      <c r="H14" s="100"/>
      <c r="I14" s="100"/>
      <c r="J14" s="100"/>
      <c r="K14" s="100"/>
      <c r="L14" s="100"/>
      <c r="M14" s="100"/>
      <c r="N14" s="183"/>
      <c r="O14" s="18"/>
      <c r="Q14" s="25"/>
      <c r="R14" s="25"/>
      <c r="T14" s="1"/>
      <c r="U14" s="1"/>
      <c r="V14" s="1"/>
      <c r="W14" s="1"/>
      <c r="X14" s="1"/>
      <c r="Y14" s="1"/>
      <c r="Z14" s="1"/>
      <c r="AA14" s="1"/>
      <c r="AB14" s="1"/>
    </row>
    <row r="15" spans="1:29" ht="15.5">
      <c r="A15" s="184" t="s">
        <v>1</v>
      </c>
      <c r="B15" s="185">
        <f>Invånare!F6</f>
        <v>31</v>
      </c>
      <c r="C15" s="120"/>
      <c r="D15" s="186"/>
      <c r="E15" s="100"/>
      <c r="F15" s="100"/>
      <c r="G15" s="100"/>
      <c r="H15" s="100"/>
      <c r="I15" s="100"/>
      <c r="J15" s="100"/>
      <c r="K15" s="100"/>
      <c r="L15" s="100"/>
      <c r="M15" s="100"/>
      <c r="N15" s="183"/>
      <c r="O15" s="18"/>
      <c r="Q15" s="25"/>
      <c r="R15" s="25"/>
      <c r="T15" s="1"/>
      <c r="U15" s="1"/>
      <c r="V15" s="1"/>
      <c r="W15" s="1"/>
      <c r="X15" s="1"/>
      <c r="Y15" s="1"/>
      <c r="Z15" s="1"/>
      <c r="AA15" s="1"/>
      <c r="AB15" s="1"/>
    </row>
    <row r="16" spans="1:29" ht="15.5">
      <c r="A16" s="183" t="s">
        <v>2</v>
      </c>
      <c r="B16" s="186">
        <f>Invånare!F7</f>
        <v>93</v>
      </c>
      <c r="C16" s="120"/>
      <c r="D16" s="100"/>
      <c r="E16" s="100"/>
      <c r="F16" s="100"/>
      <c r="G16" s="100"/>
      <c r="H16" s="100"/>
      <c r="I16" s="183"/>
      <c r="J16" s="186"/>
      <c r="K16" s="100"/>
      <c r="L16" s="100"/>
      <c r="M16" s="100"/>
      <c r="N16" s="183"/>
      <c r="O16" s="18"/>
      <c r="Q16" s="25"/>
      <c r="R16" s="25"/>
      <c r="S16" s="1"/>
      <c r="T16" s="1"/>
      <c r="U16" s="1"/>
      <c r="V16" s="1"/>
      <c r="W16" s="1"/>
      <c r="X16" s="1"/>
      <c r="Y16" s="1"/>
      <c r="Z16" s="1"/>
      <c r="AA16" s="1"/>
      <c r="AB16" s="1"/>
    </row>
    <row r="17" spans="1:28" ht="15.5">
      <c r="A17" s="183" t="s">
        <v>3</v>
      </c>
      <c r="B17" s="186">
        <f>Invånare!F8</f>
        <v>339</v>
      </c>
      <c r="C17" s="120"/>
      <c r="D17" s="100"/>
      <c r="E17" s="100"/>
      <c r="F17" s="100"/>
      <c r="G17" s="100"/>
      <c r="H17" s="100"/>
      <c r="I17" s="183"/>
      <c r="J17" s="186"/>
      <c r="K17" s="100"/>
      <c r="L17" s="100"/>
      <c r="M17" s="100"/>
      <c r="N17" s="183"/>
      <c r="O17" s="18"/>
      <c r="Q17" s="25"/>
      <c r="R17" s="25"/>
      <c r="S17" s="1"/>
      <c r="T17" s="1"/>
      <c r="U17" s="1"/>
      <c r="V17" s="1"/>
      <c r="W17" s="1"/>
      <c r="X17" s="1"/>
      <c r="Y17" s="1"/>
      <c r="Z17" s="1"/>
      <c r="AA17" s="1"/>
      <c r="AB17" s="1"/>
    </row>
    <row r="18" spans="1:28" ht="15.5">
      <c r="A18" s="187" t="s">
        <v>4</v>
      </c>
      <c r="B18" s="188">
        <f>Invånare!F9</f>
        <v>39</v>
      </c>
      <c r="C18" s="120"/>
      <c r="D18" s="100"/>
      <c r="E18" s="100"/>
      <c r="F18" s="100"/>
      <c r="G18" s="100"/>
      <c r="H18" s="100"/>
      <c r="I18" s="183"/>
      <c r="J18" s="186"/>
      <c r="K18" s="100"/>
      <c r="L18" s="100"/>
      <c r="M18" s="100"/>
      <c r="N18" s="183"/>
      <c r="O18" s="18"/>
      <c r="Q18" s="25"/>
      <c r="R18" s="25"/>
      <c r="S18" s="1"/>
      <c r="T18" s="1"/>
      <c r="U18" s="1"/>
      <c r="V18" s="1"/>
      <c r="W18" s="1"/>
      <c r="X18" s="1"/>
      <c r="Y18" s="1"/>
      <c r="Z18" s="1"/>
      <c r="AA18" s="1"/>
      <c r="AB18" s="1"/>
    </row>
    <row r="19" spans="1:28" ht="15.5">
      <c r="A19" s="183" t="s">
        <v>5</v>
      </c>
      <c r="B19" s="186">
        <f>Invånare!F10</f>
        <v>62</v>
      </c>
      <c r="C19" s="120"/>
      <c r="D19" s="100"/>
      <c r="E19" s="100"/>
      <c r="F19" s="100"/>
      <c r="G19" s="100"/>
      <c r="H19" s="100"/>
      <c r="I19" s="183"/>
      <c r="J19" s="186"/>
      <c r="K19" s="100"/>
      <c r="L19" s="100"/>
      <c r="M19" s="100"/>
      <c r="N19" s="183"/>
      <c r="O19" s="18"/>
      <c r="Q19" s="25"/>
      <c r="R19" s="25"/>
      <c r="S19" s="1"/>
      <c r="T19" s="1"/>
      <c r="U19" s="1"/>
      <c r="V19" s="1"/>
      <c r="W19" s="1"/>
      <c r="X19" s="1"/>
      <c r="Y19" s="1"/>
      <c r="Z19" s="1"/>
      <c r="AA19" s="1"/>
      <c r="AB19" s="1"/>
    </row>
    <row r="20" spans="1:28" ht="15.5">
      <c r="A20" s="183" t="s">
        <v>6</v>
      </c>
      <c r="B20" s="186">
        <f>Invånare!F11</f>
        <v>200</v>
      </c>
      <c r="C20" s="120"/>
      <c r="D20" s="100"/>
      <c r="E20" s="100"/>
      <c r="F20" s="100"/>
      <c r="G20" s="100"/>
      <c r="H20" s="100"/>
      <c r="I20" s="183"/>
      <c r="J20" s="186"/>
      <c r="K20" s="100"/>
      <c r="L20" s="100"/>
      <c r="M20" s="100"/>
      <c r="N20" s="183"/>
      <c r="O20" s="18"/>
      <c r="Q20" s="25"/>
      <c r="R20" s="25"/>
      <c r="S20" s="1"/>
      <c r="T20" s="1"/>
      <c r="U20" s="1"/>
      <c r="V20" s="1"/>
      <c r="W20" s="1"/>
      <c r="X20" s="1"/>
      <c r="Y20" s="1"/>
      <c r="Z20" s="1"/>
      <c r="AA20" s="1"/>
      <c r="AB20" s="1"/>
    </row>
    <row r="21" spans="1:28" ht="15.5">
      <c r="A21" s="183" t="s">
        <v>7</v>
      </c>
      <c r="B21" s="186">
        <f>Invånare!F12</f>
        <v>768</v>
      </c>
      <c r="C21" s="120"/>
      <c r="D21" s="100"/>
      <c r="E21" s="100"/>
      <c r="F21" s="100"/>
      <c r="G21" s="100"/>
      <c r="H21" s="100"/>
      <c r="I21" s="183"/>
      <c r="J21" s="186"/>
      <c r="K21" s="100"/>
      <c r="L21" s="100"/>
      <c r="M21" s="100"/>
      <c r="N21" s="183"/>
      <c r="O21" s="18"/>
      <c r="Q21" s="25"/>
      <c r="R21" s="25"/>
      <c r="S21" s="1"/>
      <c r="T21" s="1"/>
      <c r="U21" s="1"/>
      <c r="V21" s="1"/>
      <c r="W21" s="1"/>
      <c r="X21" s="1"/>
      <c r="Y21" s="1"/>
      <c r="Z21" s="1"/>
      <c r="AA21" s="1"/>
      <c r="AB21" s="1"/>
    </row>
    <row r="22" spans="1:28" ht="15.5">
      <c r="A22" s="184" t="s">
        <v>8</v>
      </c>
      <c r="B22" s="185">
        <f>Invånare!F13</f>
        <v>19</v>
      </c>
      <c r="C22" s="120"/>
      <c r="D22" s="100"/>
      <c r="E22" s="100"/>
      <c r="F22" s="100"/>
      <c r="G22" s="100"/>
      <c r="H22" s="100"/>
      <c r="I22" s="183"/>
      <c r="J22" s="186"/>
      <c r="K22" s="100"/>
      <c r="L22" s="100"/>
      <c r="M22" s="100"/>
      <c r="N22" s="183"/>
      <c r="O22" s="18"/>
      <c r="Q22" s="25"/>
      <c r="R22" s="25"/>
      <c r="S22" s="1"/>
      <c r="T22" s="1"/>
      <c r="U22" s="1"/>
      <c r="V22" s="1"/>
      <c r="W22" s="1"/>
      <c r="X22" s="1"/>
      <c r="Y22" s="1"/>
      <c r="Z22" s="1"/>
      <c r="AA22" s="1"/>
      <c r="AB22" s="1"/>
    </row>
    <row r="23" spans="1:28" ht="15.5">
      <c r="A23" s="184" t="s">
        <v>9</v>
      </c>
      <c r="B23" s="185">
        <f>Invånare!F14</f>
        <v>6</v>
      </c>
      <c r="C23" s="120"/>
      <c r="D23" s="100"/>
      <c r="E23" s="100"/>
      <c r="F23" s="100"/>
      <c r="G23" s="100"/>
      <c r="H23" s="100"/>
      <c r="I23" s="183"/>
      <c r="J23" s="186"/>
      <c r="K23" s="100"/>
      <c r="L23" s="100"/>
      <c r="M23" s="100"/>
      <c r="N23" s="183"/>
      <c r="O23" s="18"/>
      <c r="Q23" s="25"/>
      <c r="R23" s="25"/>
      <c r="S23" s="1"/>
      <c r="T23" s="1"/>
      <c r="U23" s="1"/>
      <c r="V23" s="1"/>
      <c r="W23" s="1"/>
      <c r="X23" s="1"/>
      <c r="Y23" s="1"/>
      <c r="Z23" s="1"/>
      <c r="AA23" s="1"/>
      <c r="AB23" s="1"/>
    </row>
    <row r="24" spans="1:28" ht="15.5">
      <c r="A24" s="183" t="s">
        <v>10</v>
      </c>
      <c r="B24" s="186">
        <f>Invånare!F15</f>
        <v>298</v>
      </c>
      <c r="C24" s="120"/>
      <c r="D24" s="100"/>
      <c r="E24" s="100"/>
      <c r="F24" s="100"/>
      <c r="G24" s="100"/>
      <c r="H24" s="100"/>
      <c r="I24" s="183"/>
      <c r="J24" s="186"/>
      <c r="K24" s="100"/>
      <c r="L24" s="100"/>
      <c r="M24" s="100"/>
      <c r="N24" s="183"/>
      <c r="O24" s="18"/>
      <c r="Q24" s="25"/>
      <c r="R24" s="25"/>
      <c r="S24" s="1"/>
      <c r="T24" s="1"/>
      <c r="U24" s="1"/>
      <c r="V24" s="1"/>
      <c r="W24" s="1"/>
      <c r="X24" s="1"/>
      <c r="Y24" s="1"/>
      <c r="Z24" s="1"/>
      <c r="AA24" s="1"/>
      <c r="AB24" s="1"/>
    </row>
    <row r="25" spans="1:28" ht="15.5">
      <c r="A25" s="183" t="s">
        <v>11</v>
      </c>
      <c r="B25" s="186">
        <f>Invånare!F16</f>
        <v>44</v>
      </c>
      <c r="C25" s="120"/>
      <c r="D25" s="100"/>
      <c r="E25" s="100"/>
      <c r="F25" s="100"/>
      <c r="G25" s="100"/>
      <c r="H25" s="100"/>
      <c r="I25" s="183"/>
      <c r="J25" s="186"/>
      <c r="K25" s="100"/>
      <c r="L25" s="100"/>
      <c r="M25" s="100"/>
      <c r="N25" s="183"/>
      <c r="O25" s="18"/>
      <c r="Q25" s="25"/>
      <c r="R25" s="25"/>
      <c r="S25" s="1"/>
      <c r="T25" s="1"/>
      <c r="U25" s="1"/>
      <c r="V25" s="1"/>
      <c r="W25" s="1"/>
      <c r="X25" s="1"/>
      <c r="Y25" s="1"/>
      <c r="Z25" s="1"/>
      <c r="AA25" s="1"/>
      <c r="AB25" s="1"/>
    </row>
    <row r="26" spans="1:28" ht="15.5">
      <c r="A26" s="183" t="s">
        <v>12</v>
      </c>
      <c r="B26" s="186">
        <f>Invånare!F17</f>
        <v>224</v>
      </c>
      <c r="C26" s="120"/>
      <c r="D26" s="100"/>
      <c r="E26" s="100"/>
      <c r="F26" s="100"/>
      <c r="G26" s="100"/>
      <c r="H26" s="100"/>
      <c r="I26" s="183"/>
      <c r="J26" s="186"/>
      <c r="K26" s="100"/>
      <c r="L26" s="100"/>
      <c r="M26" s="100"/>
      <c r="N26" s="183"/>
      <c r="O26" s="18"/>
      <c r="Q26" s="25"/>
      <c r="R26" s="25"/>
      <c r="S26" s="1"/>
      <c r="T26" s="1"/>
      <c r="U26" s="1"/>
      <c r="V26" s="1"/>
      <c r="W26" s="1"/>
      <c r="X26" s="1"/>
      <c r="Y26" s="1"/>
      <c r="Z26" s="1"/>
      <c r="AA26" s="1"/>
      <c r="AB26" s="1"/>
    </row>
    <row r="27" spans="1:28" ht="15.5">
      <c r="A27" s="184" t="s">
        <v>13</v>
      </c>
      <c r="B27" s="185">
        <f>Invånare!F18</f>
        <v>10</v>
      </c>
      <c r="C27" s="120"/>
      <c r="D27" s="100"/>
      <c r="E27" s="100"/>
      <c r="F27" s="100"/>
      <c r="G27" s="100"/>
      <c r="H27" s="100"/>
      <c r="I27" s="183"/>
      <c r="J27" s="186"/>
      <c r="K27" s="100"/>
      <c r="L27" s="100"/>
      <c r="M27" s="100"/>
      <c r="N27" s="183"/>
      <c r="O27" s="18"/>
      <c r="Q27" s="25"/>
      <c r="R27" s="25"/>
      <c r="S27" s="1"/>
      <c r="T27" s="1"/>
      <c r="U27" s="1"/>
      <c r="V27" s="1"/>
      <c r="W27" s="1"/>
      <c r="X27" s="1"/>
      <c r="Y27" s="1"/>
      <c r="Z27" s="1"/>
      <c r="AA27" s="1"/>
      <c r="AB27" s="1"/>
    </row>
    <row r="28" spans="1:28" ht="15.5">
      <c r="A28" s="183" t="s">
        <v>14</v>
      </c>
      <c r="B28" s="186">
        <f>Invånare!F19</f>
        <v>117</v>
      </c>
      <c r="C28" s="120"/>
      <c r="D28" s="100"/>
      <c r="E28" s="100"/>
      <c r="F28" s="100"/>
      <c r="G28" s="100"/>
      <c r="H28" s="100"/>
      <c r="I28" s="183"/>
      <c r="J28" s="186"/>
      <c r="K28" s="100"/>
      <c r="L28" s="100"/>
      <c r="M28" s="100"/>
      <c r="N28" s="183"/>
      <c r="O28" s="19"/>
      <c r="Q28" s="25"/>
      <c r="R28" s="25"/>
      <c r="S28" s="1"/>
      <c r="T28" s="1"/>
      <c r="U28" s="1"/>
      <c r="V28" s="1"/>
      <c r="W28" s="1"/>
      <c r="X28" s="1"/>
      <c r="Y28" s="1"/>
      <c r="Z28" s="1"/>
      <c r="AA28" s="1"/>
      <c r="AB28" s="1"/>
    </row>
    <row r="29" spans="1:28">
      <c r="A29" s="187" t="s">
        <v>15</v>
      </c>
      <c r="B29" s="188">
        <f>Invånare!F20</f>
        <v>47</v>
      </c>
      <c r="C29" s="120"/>
      <c r="D29" s="100"/>
      <c r="E29" s="100"/>
      <c r="F29" s="100"/>
      <c r="G29" s="100"/>
      <c r="H29" s="100"/>
      <c r="I29" s="183"/>
      <c r="J29" s="186"/>
      <c r="K29" s="100"/>
      <c r="L29" s="100"/>
      <c r="M29" s="100"/>
      <c r="N29" s="67"/>
    </row>
    <row r="30" spans="1:28">
      <c r="A30" s="189" t="s">
        <v>16</v>
      </c>
      <c r="B30" s="190">
        <f>Invånare!F21</f>
        <v>1225</v>
      </c>
      <c r="C30" s="120"/>
      <c r="D30" s="100"/>
      <c r="E30" s="100"/>
      <c r="F30" s="100"/>
      <c r="G30" s="100"/>
      <c r="H30" s="100"/>
      <c r="I30" s="183"/>
      <c r="J30" s="186"/>
      <c r="K30" s="100"/>
      <c r="L30" s="100"/>
      <c r="M30" s="100"/>
      <c r="N30" s="100"/>
    </row>
    <row r="31" spans="1:28">
      <c r="A31" s="183" t="s">
        <v>18</v>
      </c>
      <c r="B31" s="191">
        <f>SUM(B15:B30)</f>
        <v>3522</v>
      </c>
      <c r="C31" s="120"/>
      <c r="D31" s="100"/>
      <c r="E31" s="100"/>
      <c r="F31" s="100"/>
      <c r="G31" s="100"/>
      <c r="H31" s="100"/>
      <c r="I31" s="183"/>
      <c r="J31" s="191"/>
      <c r="K31" s="100"/>
      <c r="L31" s="100"/>
      <c r="M31" s="100"/>
      <c r="N31" s="100"/>
    </row>
    <row r="32" spans="1:28">
      <c r="A32" s="134"/>
      <c r="B32" s="29"/>
      <c r="C32" s="100"/>
      <c r="D32" s="100"/>
      <c r="E32" s="100"/>
      <c r="F32" s="100"/>
      <c r="G32" s="100"/>
      <c r="H32" s="100"/>
      <c r="I32" s="100"/>
      <c r="J32" s="100"/>
      <c r="K32" s="100"/>
      <c r="L32" s="100"/>
      <c r="M32" s="100"/>
      <c r="N32" s="100"/>
    </row>
    <row r="33" spans="1:18">
      <c r="A33" s="100"/>
      <c r="B33" s="100"/>
      <c r="C33" s="100"/>
      <c r="D33" s="100"/>
      <c r="E33" s="100"/>
      <c r="F33" s="100"/>
      <c r="G33" s="100"/>
      <c r="H33" s="100"/>
      <c r="I33" s="100"/>
      <c r="J33" s="100"/>
      <c r="K33" s="100"/>
      <c r="L33" s="100"/>
      <c r="M33" s="100"/>
      <c r="N33" s="100"/>
    </row>
    <row r="34" spans="1:18">
      <c r="A34" s="272"/>
      <c r="B34" s="142"/>
      <c r="C34" s="218"/>
      <c r="D34" s="218"/>
      <c r="E34" s="218"/>
      <c r="F34" s="272"/>
      <c r="G34" s="142"/>
      <c r="H34" s="218"/>
      <c r="I34" s="218"/>
      <c r="J34" s="218"/>
      <c r="K34" s="272"/>
      <c r="L34" s="142"/>
      <c r="M34" s="218"/>
      <c r="N34" s="218"/>
      <c r="O34" s="21"/>
    </row>
    <row r="35" spans="1:18">
      <c r="A35" s="361"/>
      <c r="B35" s="362">
        <v>2022</v>
      </c>
      <c r="C35" s="361"/>
      <c r="D35" s="361"/>
      <c r="E35" s="361"/>
      <c r="F35" s="361"/>
      <c r="G35" s="361"/>
      <c r="H35" s="361"/>
      <c r="I35" s="361"/>
      <c r="J35" s="361"/>
      <c r="K35" s="361"/>
      <c r="L35" s="361"/>
      <c r="M35" s="361"/>
      <c r="N35" s="100"/>
    </row>
    <row r="36" spans="1:18" ht="15" thickBot="1">
      <c r="A36" s="192"/>
      <c r="B36" s="193" t="s">
        <v>36</v>
      </c>
      <c r="C36" s="193"/>
      <c r="D36" s="141" t="s">
        <v>23</v>
      </c>
      <c r="E36" s="194"/>
      <c r="F36" s="195" t="s">
        <v>30</v>
      </c>
      <c r="G36" s="195" t="s">
        <v>57</v>
      </c>
      <c r="H36" s="195" t="s">
        <v>58</v>
      </c>
      <c r="I36" s="195" t="s">
        <v>59</v>
      </c>
      <c r="J36" s="195" t="s">
        <v>60</v>
      </c>
      <c r="K36" s="195" t="s">
        <v>61</v>
      </c>
      <c r="L36" s="196"/>
      <c r="M36" s="192"/>
      <c r="N36" s="100"/>
    </row>
    <row r="37" spans="1:18" ht="15.5" thickTop="1" thickBot="1">
      <c r="A37" s="197"/>
      <c r="B37" s="100"/>
      <c r="C37" s="100"/>
      <c r="D37" s="198" t="s">
        <v>35</v>
      </c>
      <c r="E37" s="199"/>
      <c r="F37" s="200">
        <f>B15</f>
        <v>31</v>
      </c>
      <c r="G37" s="200">
        <v>0</v>
      </c>
      <c r="H37" s="200">
        <v>0</v>
      </c>
      <c r="I37" s="200">
        <v>0</v>
      </c>
      <c r="J37" s="200">
        <v>0</v>
      </c>
      <c r="K37" s="200">
        <v>0</v>
      </c>
      <c r="L37" s="199"/>
      <c r="M37" s="128">
        <f>B15-(SUM(F37:K37))</f>
        <v>0</v>
      </c>
      <c r="N37" s="100"/>
    </row>
    <row r="38" spans="1:18" ht="15" thickTop="1">
      <c r="A38" s="201" t="s">
        <v>1</v>
      </c>
      <c r="B38" s="200">
        <f>SUM(F38:K38)</f>
        <v>889499.12</v>
      </c>
      <c r="C38" s="200"/>
      <c r="D38" s="198" t="s">
        <v>39</v>
      </c>
      <c r="E38" s="199"/>
      <c r="F38" s="200">
        <f>F37*$C$6</f>
        <v>889499.12</v>
      </c>
      <c r="G38" s="200">
        <f>G37*$D$6</f>
        <v>0</v>
      </c>
      <c r="H38" s="200">
        <f>H37*$E$6</f>
        <v>0</v>
      </c>
      <c r="I38" s="200">
        <f>I37*$F$6</f>
        <v>0</v>
      </c>
      <c r="J38" s="200">
        <f>J37*$G$6</f>
        <v>0</v>
      </c>
      <c r="K38" s="200">
        <f>K37*$H$6</f>
        <v>0</v>
      </c>
      <c r="L38" s="202"/>
      <c r="M38" s="100"/>
      <c r="N38" s="100"/>
    </row>
    <row r="39" spans="1:18">
      <c r="A39" s="197"/>
      <c r="B39" s="199"/>
      <c r="C39" s="199"/>
      <c r="D39" s="198" t="s">
        <v>20</v>
      </c>
      <c r="E39" s="199"/>
      <c r="F39" s="437">
        <f>$C$11</f>
        <v>0.39200000000000002</v>
      </c>
      <c r="G39" s="437">
        <f>$D$11</f>
        <v>0.39200000000000002</v>
      </c>
      <c r="H39" s="437">
        <f>$E$11</f>
        <v>0.39200000000000002</v>
      </c>
      <c r="I39" s="437">
        <f>$F$11</f>
        <v>0.39200000000000002</v>
      </c>
      <c r="J39" s="437">
        <f>$G$11</f>
        <v>0.39200000000000002</v>
      </c>
      <c r="K39" s="437">
        <f>$H$11</f>
        <v>0.39200000000000002</v>
      </c>
      <c r="L39" s="199"/>
      <c r="M39" s="100"/>
      <c r="N39" s="100"/>
    </row>
    <row r="40" spans="1:18">
      <c r="A40" s="203"/>
      <c r="B40" s="374">
        <f>ROUND(SUM(F40:K40),2)</f>
        <v>348683.66</v>
      </c>
      <c r="C40" s="204"/>
      <c r="D40" s="205" t="s">
        <v>43</v>
      </c>
      <c r="E40" s="206"/>
      <c r="F40" s="207">
        <f>F38*F39</f>
        <v>348683.65503999998</v>
      </c>
      <c r="G40" s="207">
        <f t="shared" ref="G40:K40" si="2">G38*G39</f>
        <v>0</v>
      </c>
      <c r="H40" s="207">
        <f t="shared" si="2"/>
        <v>0</v>
      </c>
      <c r="I40" s="207">
        <f t="shared" si="2"/>
        <v>0</v>
      </c>
      <c r="J40" s="207">
        <f t="shared" si="2"/>
        <v>0</v>
      </c>
      <c r="K40" s="207">
        <f t="shared" si="2"/>
        <v>0</v>
      </c>
      <c r="L40" s="206"/>
      <c r="M40" s="206"/>
      <c r="N40" s="100"/>
    </row>
    <row r="41" spans="1:18">
      <c r="A41" s="100"/>
      <c r="B41" s="100"/>
      <c r="C41" s="100"/>
      <c r="D41" s="100"/>
      <c r="E41" s="100"/>
      <c r="F41" s="100"/>
      <c r="G41" s="100"/>
      <c r="H41" s="100"/>
      <c r="I41" s="100"/>
      <c r="J41" s="100"/>
      <c r="K41" s="100"/>
      <c r="L41" s="100"/>
      <c r="M41" s="100"/>
      <c r="N41" s="100"/>
      <c r="R41" s="23"/>
    </row>
    <row r="42" spans="1:18" ht="15" thickBot="1">
      <c r="A42" s="192"/>
      <c r="B42" s="193" t="s">
        <v>36</v>
      </c>
      <c r="C42" s="193"/>
      <c r="D42" s="141" t="s">
        <v>23</v>
      </c>
      <c r="E42" s="194"/>
      <c r="F42" s="195" t="s">
        <v>30</v>
      </c>
      <c r="G42" s="195" t="s">
        <v>57</v>
      </c>
      <c r="H42" s="195" t="s">
        <v>58</v>
      </c>
      <c r="I42" s="195" t="s">
        <v>59</v>
      </c>
      <c r="J42" s="195" t="s">
        <v>60</v>
      </c>
      <c r="K42" s="195" t="s">
        <v>61</v>
      </c>
      <c r="L42" s="196"/>
      <c r="M42" s="192"/>
      <c r="N42" s="100"/>
    </row>
    <row r="43" spans="1:18" ht="15.5" thickTop="1" thickBot="1">
      <c r="A43" s="197"/>
      <c r="B43" s="100"/>
      <c r="C43" s="100"/>
      <c r="D43" s="198" t="s">
        <v>35</v>
      </c>
      <c r="E43" s="199"/>
      <c r="F43" s="200">
        <v>40</v>
      </c>
      <c r="G43" s="200">
        <v>20</v>
      </c>
      <c r="H43" s="200">
        <v>20</v>
      </c>
      <c r="I43" s="200">
        <v>13</v>
      </c>
      <c r="J43" s="200">
        <v>0</v>
      </c>
      <c r="K43" s="200">
        <v>0</v>
      </c>
      <c r="L43" s="199"/>
      <c r="M43" s="128">
        <f>B16-(SUM(F43:K43))</f>
        <v>0</v>
      </c>
      <c r="N43" s="100"/>
    </row>
    <row r="44" spans="1:18" ht="15" thickTop="1">
      <c r="A44" s="183" t="s">
        <v>2</v>
      </c>
      <c r="B44" s="200">
        <f>SUM(F44:K44)</f>
        <v>1826182.91</v>
      </c>
      <c r="C44" s="200"/>
      <c r="D44" s="198" t="s">
        <v>39</v>
      </c>
      <c r="E44" s="199"/>
      <c r="F44" s="200">
        <f>F43*$C$6</f>
        <v>1147740.8</v>
      </c>
      <c r="G44" s="200">
        <f>G43*$D$6</f>
        <v>357074.80000000005</v>
      </c>
      <c r="H44" s="200">
        <f>H43*$E$6</f>
        <v>255053.4</v>
      </c>
      <c r="I44" s="200">
        <f>I43*$F$6</f>
        <v>66313.91</v>
      </c>
      <c r="J44" s="200">
        <f>J43*$G$6</f>
        <v>0</v>
      </c>
      <c r="K44" s="200">
        <f>K43*$H$6</f>
        <v>0</v>
      </c>
      <c r="L44" s="202"/>
      <c r="M44" s="100"/>
      <c r="N44" s="100"/>
    </row>
    <row r="45" spans="1:18">
      <c r="A45" s="197"/>
      <c r="B45" s="199"/>
      <c r="C45" s="199"/>
      <c r="D45" s="198" t="s">
        <v>20</v>
      </c>
      <c r="E45" s="199"/>
      <c r="F45" s="435">
        <f>$C$9</f>
        <v>0.20200000000000001</v>
      </c>
      <c r="G45" s="435">
        <f>$D$9</f>
        <v>0.20200000000000001</v>
      </c>
      <c r="H45" s="435">
        <f>$E$9</f>
        <v>0.20200000000000001</v>
      </c>
      <c r="I45" s="435">
        <f>$F$9</f>
        <v>0.20200000000000001</v>
      </c>
      <c r="J45" s="435">
        <f>$G$9</f>
        <v>0.20200000000000001</v>
      </c>
      <c r="K45" s="435">
        <f>$H$9</f>
        <v>0.20200000000000001</v>
      </c>
      <c r="L45" s="199"/>
      <c r="M45" s="100"/>
      <c r="N45" s="100"/>
    </row>
    <row r="46" spans="1:18">
      <c r="A46" s="203"/>
      <c r="B46" s="374">
        <f>ROUND(SUM(F46:K46),2)</f>
        <v>368888.95</v>
      </c>
      <c r="C46" s="204"/>
      <c r="D46" s="205" t="s">
        <v>43</v>
      </c>
      <c r="E46" s="206"/>
      <c r="F46" s="207">
        <f>F44*F45</f>
        <v>231843.64160000003</v>
      </c>
      <c r="G46" s="207">
        <f t="shared" ref="G46:K46" si="3">G44*G45</f>
        <v>72129.109600000011</v>
      </c>
      <c r="H46" s="207">
        <f t="shared" si="3"/>
        <v>51520.786800000002</v>
      </c>
      <c r="I46" s="207">
        <f t="shared" si="3"/>
        <v>13395.409820000001</v>
      </c>
      <c r="J46" s="207">
        <f t="shared" si="3"/>
        <v>0</v>
      </c>
      <c r="K46" s="207">
        <f t="shared" si="3"/>
        <v>0</v>
      </c>
      <c r="L46" s="206"/>
      <c r="M46" s="206"/>
      <c r="N46" s="100"/>
    </row>
    <row r="47" spans="1:18">
      <c r="A47" s="100"/>
      <c r="B47" s="100"/>
      <c r="C47" s="100"/>
      <c r="D47" s="100"/>
      <c r="E47" s="100"/>
      <c r="F47" s="100"/>
      <c r="G47" s="100"/>
      <c r="H47" s="100"/>
      <c r="I47" s="100"/>
      <c r="J47" s="100"/>
      <c r="K47" s="100"/>
      <c r="L47" s="100"/>
      <c r="M47" s="100"/>
      <c r="N47" s="100"/>
    </row>
    <row r="48" spans="1:18" ht="15" thickBot="1">
      <c r="A48" s="100"/>
      <c r="B48" s="208" t="s">
        <v>36</v>
      </c>
      <c r="C48" s="208"/>
      <c r="D48" s="198" t="s">
        <v>23</v>
      </c>
      <c r="E48" s="199"/>
      <c r="F48" s="172" t="s">
        <v>30</v>
      </c>
      <c r="G48" s="172" t="s">
        <v>57</v>
      </c>
      <c r="H48" s="172" t="s">
        <v>58</v>
      </c>
      <c r="I48" s="172" t="s">
        <v>59</v>
      </c>
      <c r="J48" s="172" t="s">
        <v>60</v>
      </c>
      <c r="K48" s="172" t="s">
        <v>61</v>
      </c>
      <c r="L48" s="100"/>
      <c r="M48" s="100"/>
      <c r="N48" s="100"/>
    </row>
    <row r="49" spans="1:14" ht="15.5" thickTop="1" thickBot="1">
      <c r="A49" s="197"/>
      <c r="B49" s="100"/>
      <c r="C49" s="100"/>
      <c r="D49" s="198" t="s">
        <v>35</v>
      </c>
      <c r="E49" s="199"/>
      <c r="F49" s="200">
        <v>40</v>
      </c>
      <c r="G49" s="200">
        <v>20</v>
      </c>
      <c r="H49" s="200">
        <v>20</v>
      </c>
      <c r="I49" s="200">
        <v>20</v>
      </c>
      <c r="J49" s="200">
        <v>50</v>
      </c>
      <c r="K49" s="200">
        <v>189</v>
      </c>
      <c r="L49" s="100"/>
      <c r="M49" s="128">
        <f>B17-(SUM(F49:K49))</f>
        <v>0</v>
      </c>
      <c r="N49" s="100"/>
    </row>
    <row r="50" spans="1:14" ht="15" thickTop="1">
      <c r="A50" s="183" t="s">
        <v>3</v>
      </c>
      <c r="B50" s="200">
        <f>SUM(F50:K50)</f>
        <v>2290698.02</v>
      </c>
      <c r="C50" s="200"/>
      <c r="D50" s="198" t="s">
        <v>39</v>
      </c>
      <c r="E50" s="199"/>
      <c r="F50" s="200">
        <f>F49*$C$6</f>
        <v>1147740.8</v>
      </c>
      <c r="G50" s="200">
        <f>G49*$D$6</f>
        <v>357074.80000000005</v>
      </c>
      <c r="H50" s="200">
        <f>H49*$E$6</f>
        <v>255053.4</v>
      </c>
      <c r="I50" s="200">
        <f>I49*$F$6</f>
        <v>102021.4</v>
      </c>
      <c r="J50" s="200">
        <f>J49*$G$6</f>
        <v>127526.50000000001</v>
      </c>
      <c r="K50" s="200">
        <f>K49*$H$6</f>
        <v>301281.12</v>
      </c>
      <c r="L50" s="100"/>
      <c r="M50" s="100"/>
      <c r="N50" s="100"/>
    </row>
    <row r="51" spans="1:14">
      <c r="A51" s="197"/>
      <c r="B51" s="199"/>
      <c r="C51" s="199"/>
      <c r="D51" s="198" t="s">
        <v>20</v>
      </c>
      <c r="E51" s="199"/>
      <c r="F51" s="435">
        <f>$C$9</f>
        <v>0.20200000000000001</v>
      </c>
      <c r="G51" s="435">
        <f>$D$9</f>
        <v>0.20200000000000001</v>
      </c>
      <c r="H51" s="435">
        <f>$E$9</f>
        <v>0.20200000000000001</v>
      </c>
      <c r="I51" s="435">
        <f>$F$9</f>
        <v>0.20200000000000001</v>
      </c>
      <c r="J51" s="435">
        <f>$G$9</f>
        <v>0.20200000000000001</v>
      </c>
      <c r="K51" s="435">
        <f>$H$9</f>
        <v>0.20200000000000001</v>
      </c>
      <c r="L51" s="100"/>
      <c r="M51" s="100"/>
      <c r="N51" s="100"/>
    </row>
    <row r="52" spans="1:14">
      <c r="A52" s="203"/>
      <c r="B52" s="374">
        <f>ROUND(SUM(F52:K52),2)</f>
        <v>462721</v>
      </c>
      <c r="C52" s="204"/>
      <c r="D52" s="205" t="s">
        <v>43</v>
      </c>
      <c r="E52" s="206"/>
      <c r="F52" s="207">
        <f>F50*F51</f>
        <v>231843.64160000003</v>
      </c>
      <c r="G52" s="207">
        <f t="shared" ref="G52:K52" si="4">G50*G51</f>
        <v>72129.109600000011</v>
      </c>
      <c r="H52" s="207">
        <f t="shared" si="4"/>
        <v>51520.786800000002</v>
      </c>
      <c r="I52" s="207">
        <f t="shared" si="4"/>
        <v>20608.322800000002</v>
      </c>
      <c r="J52" s="207">
        <f t="shared" si="4"/>
        <v>25760.353000000003</v>
      </c>
      <c r="K52" s="207">
        <f t="shared" si="4"/>
        <v>60858.786240000001</v>
      </c>
      <c r="L52" s="206"/>
      <c r="M52" s="206"/>
      <c r="N52" s="100"/>
    </row>
    <row r="53" spans="1:14">
      <c r="A53" s="100"/>
      <c r="B53" s="100"/>
      <c r="C53" s="100"/>
      <c r="D53" s="100"/>
      <c r="E53" s="100"/>
      <c r="F53" s="100"/>
      <c r="G53" s="100"/>
      <c r="H53" s="100"/>
      <c r="I53" s="100"/>
      <c r="J53" s="100"/>
      <c r="K53" s="100"/>
      <c r="L53" s="100"/>
      <c r="M53" s="100"/>
      <c r="N53" s="100"/>
    </row>
    <row r="54" spans="1:14" ht="15" thickBot="1">
      <c r="A54" s="100"/>
      <c r="B54" s="208" t="s">
        <v>36</v>
      </c>
      <c r="C54" s="208"/>
      <c r="D54" s="198" t="s">
        <v>23</v>
      </c>
      <c r="E54" s="199"/>
      <c r="F54" s="172" t="s">
        <v>30</v>
      </c>
      <c r="G54" s="172" t="s">
        <v>57</v>
      </c>
      <c r="H54" s="172" t="s">
        <v>58</v>
      </c>
      <c r="I54" s="172" t="s">
        <v>59</v>
      </c>
      <c r="J54" s="172" t="s">
        <v>60</v>
      </c>
      <c r="K54" s="172" t="s">
        <v>61</v>
      </c>
      <c r="L54" s="100"/>
      <c r="M54" s="100"/>
      <c r="N54" s="120"/>
    </row>
    <row r="55" spans="1:14" ht="15.5" thickTop="1" thickBot="1">
      <c r="A55" s="197"/>
      <c r="B55" s="100"/>
      <c r="C55" s="100"/>
      <c r="D55" s="198" t="s">
        <v>35</v>
      </c>
      <c r="E55" s="199"/>
      <c r="F55" s="200">
        <v>39</v>
      </c>
      <c r="G55" s="200">
        <v>0</v>
      </c>
      <c r="H55" s="200">
        <v>0</v>
      </c>
      <c r="I55" s="200">
        <v>0</v>
      </c>
      <c r="J55" s="200">
        <v>0</v>
      </c>
      <c r="K55" s="200">
        <v>0</v>
      </c>
      <c r="L55" s="100"/>
      <c r="M55" s="128">
        <f>B18-(SUM(F55:K55))</f>
        <v>0</v>
      </c>
      <c r="N55" s="100"/>
    </row>
    <row r="56" spans="1:14" ht="15" thickTop="1">
      <c r="A56" s="187" t="s">
        <v>4</v>
      </c>
      <c r="B56" s="200">
        <f>SUM(F56:K56)</f>
        <v>1119047.28</v>
      </c>
      <c r="C56" s="200"/>
      <c r="D56" s="198" t="s">
        <v>39</v>
      </c>
      <c r="E56" s="199"/>
      <c r="F56" s="200">
        <f>F55*$C$6</f>
        <v>1119047.28</v>
      </c>
      <c r="G56" s="200">
        <f>G55*$D$6</f>
        <v>0</v>
      </c>
      <c r="H56" s="200">
        <f>H55*$E$6</f>
        <v>0</v>
      </c>
      <c r="I56" s="200">
        <f>I55*$F$6</f>
        <v>0</v>
      </c>
      <c r="J56" s="200">
        <f>J55*$G$6</f>
        <v>0</v>
      </c>
      <c r="K56" s="200">
        <f>K55*$H$6</f>
        <v>0</v>
      </c>
      <c r="L56" s="100"/>
      <c r="M56" s="100"/>
      <c r="N56" s="100"/>
    </row>
    <row r="57" spans="1:14">
      <c r="A57" s="197"/>
      <c r="B57" s="199"/>
      <c r="C57" s="199"/>
      <c r="D57" s="198" t="s">
        <v>20</v>
      </c>
      <c r="E57" s="199"/>
      <c r="F57" s="436">
        <f>$C$10</f>
        <v>0.34200000000000003</v>
      </c>
      <c r="G57" s="436">
        <f>$D$10</f>
        <v>0.34200000000000003</v>
      </c>
      <c r="H57" s="436">
        <f>$E$10</f>
        <v>0.34200000000000003</v>
      </c>
      <c r="I57" s="436">
        <f>$F$10</f>
        <v>0.34200000000000003</v>
      </c>
      <c r="J57" s="436">
        <f>$G$10</f>
        <v>0.34200000000000003</v>
      </c>
      <c r="K57" s="436">
        <f>$H$10</f>
        <v>0.34200000000000003</v>
      </c>
      <c r="L57" s="100"/>
      <c r="M57" s="100"/>
      <c r="N57" s="100"/>
    </row>
    <row r="58" spans="1:14">
      <c r="A58" s="203"/>
      <c r="B58" s="374">
        <f>ROUND(SUM(F58:K58),2)</f>
        <v>382714.17</v>
      </c>
      <c r="C58" s="204"/>
      <c r="D58" s="205" t="s">
        <v>43</v>
      </c>
      <c r="E58" s="206"/>
      <c r="F58" s="207">
        <f>F56*F57</f>
        <v>382714.16976000002</v>
      </c>
      <c r="G58" s="207">
        <f t="shared" ref="G58:K58" si="5">G56*G57</f>
        <v>0</v>
      </c>
      <c r="H58" s="207">
        <f t="shared" si="5"/>
        <v>0</v>
      </c>
      <c r="I58" s="207">
        <f t="shared" si="5"/>
        <v>0</v>
      </c>
      <c r="J58" s="207">
        <f t="shared" si="5"/>
        <v>0</v>
      </c>
      <c r="K58" s="207">
        <f t="shared" si="5"/>
        <v>0</v>
      </c>
      <c r="L58" s="206"/>
      <c r="M58" s="206"/>
      <c r="N58" s="100"/>
    </row>
    <row r="59" spans="1:14">
      <c r="A59" s="100"/>
      <c r="B59" s="100"/>
      <c r="C59" s="100"/>
      <c r="D59" s="100"/>
      <c r="E59" s="100"/>
      <c r="F59" s="100"/>
      <c r="G59" s="100"/>
      <c r="H59" s="100"/>
      <c r="I59" s="100"/>
      <c r="J59" s="100"/>
      <c r="K59" s="100"/>
      <c r="L59" s="100"/>
      <c r="M59" s="100"/>
      <c r="N59" s="100"/>
    </row>
    <row r="60" spans="1:14" ht="15" thickBot="1">
      <c r="A60" s="100"/>
      <c r="B60" s="208" t="s">
        <v>36</v>
      </c>
      <c r="C60" s="208"/>
      <c r="D60" s="198" t="s">
        <v>23</v>
      </c>
      <c r="E60" s="199"/>
      <c r="F60" s="172" t="s">
        <v>30</v>
      </c>
      <c r="G60" s="172" t="s">
        <v>57</v>
      </c>
      <c r="H60" s="172" t="s">
        <v>58</v>
      </c>
      <c r="I60" s="172" t="s">
        <v>59</v>
      </c>
      <c r="J60" s="172" t="s">
        <v>60</v>
      </c>
      <c r="K60" s="172" t="s">
        <v>61</v>
      </c>
      <c r="L60" s="100"/>
      <c r="M60" s="100"/>
      <c r="N60" s="100"/>
    </row>
    <row r="61" spans="1:14" ht="15.5" thickTop="1" thickBot="1">
      <c r="A61" s="197"/>
      <c r="B61" s="100"/>
      <c r="C61" s="100"/>
      <c r="D61" s="198" t="s">
        <v>35</v>
      </c>
      <c r="E61" s="199"/>
      <c r="F61" s="200">
        <v>40</v>
      </c>
      <c r="G61" s="200">
        <v>22</v>
      </c>
      <c r="H61" s="200">
        <v>0</v>
      </c>
      <c r="I61" s="200">
        <v>0</v>
      </c>
      <c r="J61" s="200">
        <v>0</v>
      </c>
      <c r="K61" s="200">
        <v>0</v>
      </c>
      <c r="L61" s="100"/>
      <c r="M61" s="128">
        <f>B19-(SUM(F61:K61))</f>
        <v>0</v>
      </c>
      <c r="N61" s="100"/>
    </row>
    <row r="62" spans="1:14" ht="15" thickTop="1">
      <c r="A62" s="183" t="s">
        <v>5</v>
      </c>
      <c r="B62" s="200">
        <f>SUM(F62:K62)</f>
        <v>1540523.08</v>
      </c>
      <c r="C62" s="200"/>
      <c r="D62" s="198" t="s">
        <v>39</v>
      </c>
      <c r="E62" s="199"/>
      <c r="F62" s="200">
        <f>F61*$C$6</f>
        <v>1147740.8</v>
      </c>
      <c r="G62" s="200">
        <f>G61*$D$6</f>
        <v>392782.28</v>
      </c>
      <c r="H62" s="200">
        <f>H61*$E$6</f>
        <v>0</v>
      </c>
      <c r="I62" s="200">
        <f>I61*$F$6</f>
        <v>0</v>
      </c>
      <c r="J62" s="200">
        <f>J61*$G$6</f>
        <v>0</v>
      </c>
      <c r="K62" s="200">
        <f>K61*$H$6</f>
        <v>0</v>
      </c>
      <c r="L62" s="100"/>
      <c r="M62" s="100"/>
      <c r="N62" s="100"/>
    </row>
    <row r="63" spans="1:14">
      <c r="A63" s="197"/>
      <c r="B63" s="199"/>
      <c r="C63" s="199"/>
      <c r="D63" s="198" t="s">
        <v>20</v>
      </c>
      <c r="E63" s="199"/>
      <c r="F63" s="435">
        <f>$C$9</f>
        <v>0.20200000000000001</v>
      </c>
      <c r="G63" s="435">
        <f>$D$9</f>
        <v>0.20200000000000001</v>
      </c>
      <c r="H63" s="435">
        <f>$E$9</f>
        <v>0.20200000000000001</v>
      </c>
      <c r="I63" s="435">
        <f>$F$9</f>
        <v>0.20200000000000001</v>
      </c>
      <c r="J63" s="435">
        <f>$G$9</f>
        <v>0.20200000000000001</v>
      </c>
      <c r="K63" s="435">
        <f>$H$9</f>
        <v>0.20200000000000001</v>
      </c>
      <c r="L63" s="100"/>
      <c r="M63" s="100"/>
      <c r="N63" s="100"/>
    </row>
    <row r="64" spans="1:14">
      <c r="A64" s="203"/>
      <c r="B64" s="374">
        <f>ROUND(SUM(F64:K64),2)</f>
        <v>311185.65999999997</v>
      </c>
      <c r="C64" s="204"/>
      <c r="D64" s="205" t="s">
        <v>43</v>
      </c>
      <c r="E64" s="206"/>
      <c r="F64" s="207">
        <f>F62*F63</f>
        <v>231843.64160000003</v>
      </c>
      <c r="G64" s="207">
        <f t="shared" ref="G64:K64" si="6">G62*G63</f>
        <v>79342.020560000004</v>
      </c>
      <c r="H64" s="207">
        <f t="shared" si="6"/>
        <v>0</v>
      </c>
      <c r="I64" s="207">
        <f t="shared" si="6"/>
        <v>0</v>
      </c>
      <c r="J64" s="207">
        <f t="shared" si="6"/>
        <v>0</v>
      </c>
      <c r="K64" s="207">
        <f t="shared" si="6"/>
        <v>0</v>
      </c>
      <c r="L64" s="206"/>
      <c r="M64" s="206"/>
      <c r="N64" s="100"/>
    </row>
    <row r="65" spans="1:14">
      <c r="A65" s="100"/>
      <c r="B65" s="100"/>
      <c r="C65" s="100"/>
      <c r="D65" s="100"/>
      <c r="E65" s="100"/>
      <c r="F65" s="100"/>
      <c r="G65" s="100"/>
      <c r="H65" s="100"/>
      <c r="I65" s="100"/>
      <c r="J65" s="100"/>
      <c r="K65" s="100"/>
      <c r="L65" s="100"/>
      <c r="M65" s="100"/>
      <c r="N65" s="100"/>
    </row>
    <row r="66" spans="1:14" ht="15" thickBot="1">
      <c r="A66" s="100"/>
      <c r="B66" s="208" t="s">
        <v>36</v>
      </c>
      <c r="C66" s="208"/>
      <c r="D66" s="198" t="s">
        <v>23</v>
      </c>
      <c r="E66" s="199"/>
      <c r="F66" s="172" t="s">
        <v>30</v>
      </c>
      <c r="G66" s="172" t="s">
        <v>57</v>
      </c>
      <c r="H66" s="172" t="s">
        <v>58</v>
      </c>
      <c r="I66" s="172" t="s">
        <v>59</v>
      </c>
      <c r="J66" s="172" t="s">
        <v>60</v>
      </c>
      <c r="K66" s="172" t="s">
        <v>61</v>
      </c>
      <c r="L66" s="100"/>
      <c r="M66" s="100"/>
      <c r="N66" s="100"/>
    </row>
    <row r="67" spans="1:14" ht="15.5" thickTop="1" thickBot="1">
      <c r="A67" s="197"/>
      <c r="B67" s="100"/>
      <c r="C67" s="100"/>
      <c r="D67" s="198" t="s">
        <v>35</v>
      </c>
      <c r="E67" s="199"/>
      <c r="F67" s="200">
        <v>40</v>
      </c>
      <c r="G67" s="200">
        <v>20</v>
      </c>
      <c r="H67" s="200">
        <v>20</v>
      </c>
      <c r="I67" s="200">
        <v>20</v>
      </c>
      <c r="J67" s="200">
        <v>50</v>
      </c>
      <c r="K67" s="200">
        <v>50</v>
      </c>
      <c r="L67" s="100"/>
      <c r="M67" s="128">
        <f>B20-(SUM(F67:K67))</f>
        <v>0</v>
      </c>
      <c r="N67" s="100"/>
    </row>
    <row r="68" spans="1:14" ht="15" thickTop="1">
      <c r="A68" s="183" t="s">
        <v>6</v>
      </c>
      <c r="B68" s="200">
        <f>SUM(F68:K68)</f>
        <v>2069120.9</v>
      </c>
      <c r="C68" s="200"/>
      <c r="D68" s="198" t="s">
        <v>39</v>
      </c>
      <c r="E68" s="199"/>
      <c r="F68" s="200">
        <f>F67*$C$6</f>
        <v>1147740.8</v>
      </c>
      <c r="G68" s="200">
        <f>G67*$D$6</f>
        <v>357074.80000000005</v>
      </c>
      <c r="H68" s="200">
        <f>H67*$E$6</f>
        <v>255053.4</v>
      </c>
      <c r="I68" s="200">
        <f>I67*$F$6</f>
        <v>102021.4</v>
      </c>
      <c r="J68" s="200">
        <f>J67*$G$6</f>
        <v>127526.50000000001</v>
      </c>
      <c r="K68" s="200">
        <f>K67*$H$6</f>
        <v>79704</v>
      </c>
      <c r="L68" s="100"/>
      <c r="M68" s="100"/>
      <c r="N68" s="100"/>
    </row>
    <row r="69" spans="1:14">
      <c r="A69" s="197"/>
      <c r="B69" s="199"/>
      <c r="C69" s="199"/>
      <c r="D69" s="198" t="s">
        <v>20</v>
      </c>
      <c r="E69" s="199"/>
      <c r="F69" s="435">
        <f>$C$9</f>
        <v>0.20200000000000001</v>
      </c>
      <c r="G69" s="435">
        <f>$D$9</f>
        <v>0.20200000000000001</v>
      </c>
      <c r="H69" s="435">
        <f>$E$9</f>
        <v>0.20200000000000001</v>
      </c>
      <c r="I69" s="435">
        <f>$F$9</f>
        <v>0.20200000000000001</v>
      </c>
      <c r="J69" s="435">
        <f>$G$9</f>
        <v>0.20200000000000001</v>
      </c>
      <c r="K69" s="435">
        <f>$H$9</f>
        <v>0.20200000000000001</v>
      </c>
      <c r="L69" s="100"/>
      <c r="M69" s="100"/>
      <c r="N69" s="100"/>
    </row>
    <row r="70" spans="1:14">
      <c r="A70" s="203"/>
      <c r="B70" s="374">
        <f>ROUND(SUM(F70:K70),2)</f>
        <v>417962.42</v>
      </c>
      <c r="C70" s="204"/>
      <c r="D70" s="205" t="s">
        <v>43</v>
      </c>
      <c r="E70" s="206"/>
      <c r="F70" s="207">
        <f>F68*F69</f>
        <v>231843.64160000003</v>
      </c>
      <c r="G70" s="207">
        <f t="shared" ref="G70:K70" si="7">G68*G69</f>
        <v>72129.109600000011</v>
      </c>
      <c r="H70" s="207">
        <f t="shared" si="7"/>
        <v>51520.786800000002</v>
      </c>
      <c r="I70" s="207">
        <f t="shared" si="7"/>
        <v>20608.322800000002</v>
      </c>
      <c r="J70" s="207">
        <f t="shared" si="7"/>
        <v>25760.353000000003</v>
      </c>
      <c r="K70" s="207">
        <f t="shared" si="7"/>
        <v>16100.208000000001</v>
      </c>
      <c r="L70" s="206"/>
      <c r="M70" s="206"/>
      <c r="N70" s="100"/>
    </row>
    <row r="71" spans="1:14">
      <c r="A71" s="100"/>
      <c r="B71" s="100"/>
      <c r="C71" s="100"/>
      <c r="D71" s="100"/>
      <c r="E71" s="100"/>
      <c r="F71" s="100"/>
      <c r="G71" s="100"/>
      <c r="H71" s="100"/>
      <c r="I71" s="100"/>
      <c r="J71" s="100"/>
      <c r="K71" s="100"/>
      <c r="L71" s="100"/>
      <c r="M71" s="100"/>
      <c r="N71" s="100"/>
    </row>
    <row r="72" spans="1:14" ht="15" thickBot="1">
      <c r="A72" s="192"/>
      <c r="B72" s="193" t="s">
        <v>36</v>
      </c>
      <c r="C72" s="193"/>
      <c r="D72" s="141" t="s">
        <v>23</v>
      </c>
      <c r="E72" s="194"/>
      <c r="F72" s="195" t="s">
        <v>30</v>
      </c>
      <c r="G72" s="195" t="s">
        <v>57</v>
      </c>
      <c r="H72" s="195" t="s">
        <v>58</v>
      </c>
      <c r="I72" s="195" t="s">
        <v>59</v>
      </c>
      <c r="J72" s="195" t="s">
        <v>60</v>
      </c>
      <c r="K72" s="195" t="s">
        <v>61</v>
      </c>
      <c r="L72" s="192"/>
      <c r="M72" s="192"/>
      <c r="N72" s="100"/>
    </row>
    <row r="73" spans="1:14" ht="15.5" thickTop="1" thickBot="1">
      <c r="A73" s="197"/>
      <c r="B73" s="100"/>
      <c r="C73" s="100"/>
      <c r="D73" s="198" t="s">
        <v>35</v>
      </c>
      <c r="E73" s="199"/>
      <c r="F73" s="200">
        <v>40</v>
      </c>
      <c r="G73" s="200">
        <v>20</v>
      </c>
      <c r="H73" s="200">
        <v>20</v>
      </c>
      <c r="I73" s="200">
        <v>20</v>
      </c>
      <c r="J73" s="200">
        <v>50</v>
      </c>
      <c r="K73" s="200">
        <v>618</v>
      </c>
      <c r="L73" s="100"/>
      <c r="M73" s="128">
        <f>B21-(SUM(F73:K73))</f>
        <v>0</v>
      </c>
      <c r="N73" s="100"/>
    </row>
    <row r="74" spans="1:14" ht="15" thickTop="1">
      <c r="A74" s="183" t="s">
        <v>7</v>
      </c>
      <c r="B74" s="200">
        <f>SUM(F74:K74)</f>
        <v>2974558.34</v>
      </c>
      <c r="C74" s="200"/>
      <c r="D74" s="198" t="s">
        <v>39</v>
      </c>
      <c r="E74" s="199"/>
      <c r="F74" s="200">
        <f>F73*$C$6</f>
        <v>1147740.8</v>
      </c>
      <c r="G74" s="200">
        <f>G73*$D$6</f>
        <v>357074.80000000005</v>
      </c>
      <c r="H74" s="200">
        <f>H73*$E$6</f>
        <v>255053.4</v>
      </c>
      <c r="I74" s="200">
        <f>I73*$F$6</f>
        <v>102021.4</v>
      </c>
      <c r="J74" s="200">
        <f>J73*$G$6</f>
        <v>127526.50000000001</v>
      </c>
      <c r="K74" s="200">
        <f>K73*$H$6</f>
        <v>985141.44</v>
      </c>
      <c r="L74" s="100"/>
      <c r="M74" s="100"/>
      <c r="N74" s="100"/>
    </row>
    <row r="75" spans="1:14">
      <c r="A75" s="197"/>
      <c r="B75" s="199"/>
      <c r="C75" s="199"/>
      <c r="D75" s="198" t="s">
        <v>20</v>
      </c>
      <c r="E75" s="199"/>
      <c r="F75" s="435">
        <f>$C$9</f>
        <v>0.20200000000000001</v>
      </c>
      <c r="G75" s="435">
        <f>$D$9</f>
        <v>0.20200000000000001</v>
      </c>
      <c r="H75" s="435">
        <f>$E$9</f>
        <v>0.20200000000000001</v>
      </c>
      <c r="I75" s="435">
        <f>$F$9</f>
        <v>0.20200000000000001</v>
      </c>
      <c r="J75" s="435">
        <f>$G$9</f>
        <v>0.20200000000000001</v>
      </c>
      <c r="K75" s="435">
        <f>$H$9</f>
        <v>0.20200000000000001</v>
      </c>
      <c r="L75" s="100"/>
      <c r="M75" s="100"/>
      <c r="N75" s="100"/>
    </row>
    <row r="76" spans="1:14">
      <c r="A76" s="203"/>
      <c r="B76" s="374">
        <f>ROUND(SUM(F76:K76),2)</f>
        <v>600860.78</v>
      </c>
      <c r="C76" s="204"/>
      <c r="D76" s="205" t="s">
        <v>43</v>
      </c>
      <c r="E76" s="206"/>
      <c r="F76" s="207">
        <f>F74*F75</f>
        <v>231843.64160000003</v>
      </c>
      <c r="G76" s="207">
        <f t="shared" ref="G76:K76" si="8">G74*G75</f>
        <v>72129.109600000011</v>
      </c>
      <c r="H76" s="207">
        <f t="shared" si="8"/>
        <v>51520.786800000002</v>
      </c>
      <c r="I76" s="207">
        <f t="shared" si="8"/>
        <v>20608.322800000002</v>
      </c>
      <c r="J76" s="207">
        <f t="shared" si="8"/>
        <v>25760.353000000003</v>
      </c>
      <c r="K76" s="207">
        <f t="shared" si="8"/>
        <v>198998.57088000001</v>
      </c>
      <c r="L76" s="206"/>
      <c r="M76" s="206"/>
      <c r="N76" s="100"/>
    </row>
    <row r="77" spans="1:14">
      <c r="A77" s="100"/>
      <c r="B77" s="100"/>
      <c r="C77" s="100"/>
      <c r="D77" s="100"/>
      <c r="E77" s="100"/>
      <c r="F77" s="100"/>
      <c r="G77" s="100"/>
      <c r="H77" s="100"/>
      <c r="I77" s="100"/>
      <c r="J77" s="100"/>
      <c r="K77" s="100"/>
      <c r="L77" s="100"/>
      <c r="M77" s="100"/>
      <c r="N77" s="100"/>
    </row>
    <row r="78" spans="1:14" ht="15" thickBot="1">
      <c r="A78" s="192"/>
      <c r="B78" s="193" t="s">
        <v>36</v>
      </c>
      <c r="C78" s="193"/>
      <c r="D78" s="141" t="s">
        <v>23</v>
      </c>
      <c r="E78" s="194"/>
      <c r="F78" s="195" t="s">
        <v>30</v>
      </c>
      <c r="G78" s="195" t="s">
        <v>57</v>
      </c>
      <c r="H78" s="195" t="s">
        <v>58</v>
      </c>
      <c r="I78" s="195" t="s">
        <v>59</v>
      </c>
      <c r="J78" s="195" t="s">
        <v>60</v>
      </c>
      <c r="K78" s="195" t="s">
        <v>61</v>
      </c>
      <c r="L78" s="192"/>
      <c r="M78" s="192"/>
      <c r="N78" s="100"/>
    </row>
    <row r="79" spans="1:14" ht="15.5" thickTop="1" thickBot="1">
      <c r="A79" s="197"/>
      <c r="B79" s="100"/>
      <c r="C79" s="100"/>
      <c r="D79" s="198" t="s">
        <v>35</v>
      </c>
      <c r="E79" s="199"/>
      <c r="F79" s="200">
        <v>19</v>
      </c>
      <c r="G79" s="200">
        <v>0</v>
      </c>
      <c r="H79" s="200">
        <v>0</v>
      </c>
      <c r="I79" s="200">
        <v>0</v>
      </c>
      <c r="J79" s="200">
        <v>0</v>
      </c>
      <c r="K79" s="200">
        <v>0</v>
      </c>
      <c r="L79" s="100"/>
      <c r="M79" s="128">
        <f>B22-(SUM(F79:K79))</f>
        <v>0</v>
      </c>
      <c r="N79" s="100"/>
    </row>
    <row r="80" spans="1:14" ht="15" thickTop="1">
      <c r="A80" s="184" t="s">
        <v>8</v>
      </c>
      <c r="B80" s="200">
        <f>SUM(F80:K80)</f>
        <v>545176.88</v>
      </c>
      <c r="C80" s="200"/>
      <c r="D80" s="198" t="s">
        <v>39</v>
      </c>
      <c r="E80" s="199"/>
      <c r="F80" s="200">
        <f>F79*$C$6</f>
        <v>545176.88</v>
      </c>
      <c r="G80" s="200">
        <f>G79*$D$6</f>
        <v>0</v>
      </c>
      <c r="H80" s="200">
        <f>H79*$E$6</f>
        <v>0</v>
      </c>
      <c r="I80" s="200">
        <f>I79*$F$6</f>
        <v>0</v>
      </c>
      <c r="J80" s="200">
        <f>J79*$G$6</f>
        <v>0</v>
      </c>
      <c r="K80" s="200">
        <f>K79*$H$6</f>
        <v>0</v>
      </c>
      <c r="L80" s="100"/>
      <c r="M80" s="100"/>
      <c r="N80" s="100"/>
    </row>
    <row r="81" spans="1:14">
      <c r="A81" s="197"/>
      <c r="B81" s="199"/>
      <c r="C81" s="199"/>
      <c r="D81" s="198" t="s">
        <v>20</v>
      </c>
      <c r="E81" s="199"/>
      <c r="F81" s="437">
        <f>$C$11</f>
        <v>0.39200000000000002</v>
      </c>
      <c r="G81" s="437">
        <f>$D$11</f>
        <v>0.39200000000000002</v>
      </c>
      <c r="H81" s="437">
        <f>$E$11</f>
        <v>0.39200000000000002</v>
      </c>
      <c r="I81" s="437">
        <f>$F$11</f>
        <v>0.39200000000000002</v>
      </c>
      <c r="J81" s="437">
        <f>$G$11</f>
        <v>0.39200000000000002</v>
      </c>
      <c r="K81" s="437">
        <f>$H$11</f>
        <v>0.39200000000000002</v>
      </c>
      <c r="L81" s="100"/>
      <c r="M81" s="100"/>
      <c r="N81" s="100"/>
    </row>
    <row r="82" spans="1:14">
      <c r="A82" s="203"/>
      <c r="B82" s="374">
        <f>ROUND(SUM(F82:K82),2)</f>
        <v>213709.34</v>
      </c>
      <c r="C82" s="204"/>
      <c r="D82" s="205" t="s">
        <v>43</v>
      </c>
      <c r="E82" s="206"/>
      <c r="F82" s="207">
        <f>F80*F81</f>
        <v>213709.33696000002</v>
      </c>
      <c r="G82" s="207">
        <f t="shared" ref="G82:K82" si="9">G80*G81</f>
        <v>0</v>
      </c>
      <c r="H82" s="207">
        <f t="shared" si="9"/>
        <v>0</v>
      </c>
      <c r="I82" s="207">
        <f t="shared" si="9"/>
        <v>0</v>
      </c>
      <c r="J82" s="207">
        <f t="shared" si="9"/>
        <v>0</v>
      </c>
      <c r="K82" s="207">
        <f t="shared" si="9"/>
        <v>0</v>
      </c>
      <c r="L82" s="206"/>
      <c r="M82" s="206"/>
      <c r="N82" s="100"/>
    </row>
    <row r="83" spans="1:14">
      <c r="A83" s="100"/>
      <c r="B83" s="100"/>
      <c r="C83" s="100"/>
      <c r="D83" s="100"/>
      <c r="E83" s="100"/>
      <c r="F83" s="100"/>
      <c r="G83" s="100"/>
      <c r="H83" s="100"/>
      <c r="I83" s="100"/>
      <c r="J83" s="100"/>
      <c r="K83" s="100"/>
      <c r="L83" s="100"/>
      <c r="M83" s="100"/>
      <c r="N83" s="100"/>
    </row>
    <row r="84" spans="1:14" ht="15" thickBot="1">
      <c r="A84" s="192"/>
      <c r="B84" s="193" t="s">
        <v>36</v>
      </c>
      <c r="C84" s="193"/>
      <c r="D84" s="141" t="s">
        <v>23</v>
      </c>
      <c r="E84" s="194"/>
      <c r="F84" s="195" t="s">
        <v>30</v>
      </c>
      <c r="G84" s="195" t="s">
        <v>57</v>
      </c>
      <c r="H84" s="195" t="s">
        <v>58</v>
      </c>
      <c r="I84" s="195" t="s">
        <v>59</v>
      </c>
      <c r="J84" s="195" t="s">
        <v>60</v>
      </c>
      <c r="K84" s="195" t="s">
        <v>61</v>
      </c>
      <c r="L84" s="192"/>
      <c r="M84" s="192"/>
      <c r="N84" s="100"/>
    </row>
    <row r="85" spans="1:14" ht="15.5" thickTop="1" thickBot="1">
      <c r="A85" s="197"/>
      <c r="B85" s="100"/>
      <c r="C85" s="100"/>
      <c r="D85" s="198" t="s">
        <v>35</v>
      </c>
      <c r="E85" s="199"/>
      <c r="F85" s="200">
        <v>6</v>
      </c>
      <c r="G85" s="200">
        <v>0</v>
      </c>
      <c r="H85" s="200">
        <v>0</v>
      </c>
      <c r="I85" s="200">
        <v>0</v>
      </c>
      <c r="J85" s="200">
        <v>0</v>
      </c>
      <c r="K85" s="200">
        <v>0</v>
      </c>
      <c r="L85" s="100"/>
      <c r="M85" s="128">
        <f>B23-(SUM(F85:K85))</f>
        <v>0</v>
      </c>
      <c r="N85" s="100"/>
    </row>
    <row r="86" spans="1:14" ht="15" thickTop="1">
      <c r="A86" s="184" t="s">
        <v>9</v>
      </c>
      <c r="B86" s="200">
        <f>SUM(F86:K86)</f>
        <v>172161.12</v>
      </c>
      <c r="C86" s="200"/>
      <c r="D86" s="198" t="s">
        <v>39</v>
      </c>
      <c r="E86" s="199"/>
      <c r="F86" s="200">
        <f>F85*$C$6</f>
        <v>172161.12</v>
      </c>
      <c r="G86" s="200">
        <f>G85*$D$6</f>
        <v>0</v>
      </c>
      <c r="H86" s="200">
        <f>H85*$E$6</f>
        <v>0</v>
      </c>
      <c r="I86" s="200">
        <f>I85*$F$6</f>
        <v>0</v>
      </c>
      <c r="J86" s="200">
        <f>J85*$G$6</f>
        <v>0</v>
      </c>
      <c r="K86" s="200">
        <f>K85*$H$6</f>
        <v>0</v>
      </c>
      <c r="L86" s="100"/>
      <c r="M86" s="100"/>
      <c r="N86" s="100"/>
    </row>
    <row r="87" spans="1:14">
      <c r="A87" s="197"/>
      <c r="B87" s="199"/>
      <c r="C87" s="199"/>
      <c r="D87" s="198" t="s">
        <v>20</v>
      </c>
      <c r="E87" s="199"/>
      <c r="F87" s="437">
        <f>$C$11</f>
        <v>0.39200000000000002</v>
      </c>
      <c r="G87" s="437">
        <f>$D$11</f>
        <v>0.39200000000000002</v>
      </c>
      <c r="H87" s="437">
        <f>$E$11</f>
        <v>0.39200000000000002</v>
      </c>
      <c r="I87" s="437">
        <f>$F$11</f>
        <v>0.39200000000000002</v>
      </c>
      <c r="J87" s="437">
        <f>$G$11</f>
        <v>0.39200000000000002</v>
      </c>
      <c r="K87" s="437">
        <f>$H$11</f>
        <v>0.39200000000000002</v>
      </c>
      <c r="L87" s="100"/>
      <c r="M87" s="100"/>
      <c r="N87" s="100"/>
    </row>
    <row r="88" spans="1:14">
      <c r="A88" s="203"/>
      <c r="B88" s="374">
        <f>ROUND(SUM(F88:K88),2)</f>
        <v>67487.16</v>
      </c>
      <c r="C88" s="204"/>
      <c r="D88" s="205" t="s">
        <v>43</v>
      </c>
      <c r="E88" s="206"/>
      <c r="F88" s="207">
        <f>F86*F87</f>
        <v>67487.159039999999</v>
      </c>
      <c r="G88" s="207">
        <f t="shared" ref="G88:K88" si="10">G86*G87</f>
        <v>0</v>
      </c>
      <c r="H88" s="207">
        <f t="shared" si="10"/>
        <v>0</v>
      </c>
      <c r="I88" s="207">
        <f t="shared" si="10"/>
        <v>0</v>
      </c>
      <c r="J88" s="207">
        <f t="shared" si="10"/>
        <v>0</v>
      </c>
      <c r="K88" s="207">
        <f t="shared" si="10"/>
        <v>0</v>
      </c>
      <c r="L88" s="206"/>
      <c r="M88" s="206"/>
      <c r="N88" s="100"/>
    </row>
    <row r="89" spans="1:14">
      <c r="A89" s="100"/>
      <c r="B89" s="100"/>
      <c r="C89" s="100"/>
      <c r="D89" s="100"/>
      <c r="E89" s="100"/>
      <c r="F89" s="100"/>
      <c r="G89" s="100"/>
      <c r="H89" s="100"/>
      <c r="I89" s="100"/>
      <c r="J89" s="100"/>
      <c r="K89" s="100"/>
      <c r="L89" s="100"/>
      <c r="M89" s="100"/>
      <c r="N89" s="100"/>
    </row>
    <row r="90" spans="1:14" ht="15" thickBot="1">
      <c r="A90" s="192"/>
      <c r="B90" s="193" t="s">
        <v>36</v>
      </c>
      <c r="C90" s="193"/>
      <c r="D90" s="141" t="s">
        <v>23</v>
      </c>
      <c r="E90" s="194"/>
      <c r="F90" s="195" t="s">
        <v>30</v>
      </c>
      <c r="G90" s="195" t="s">
        <v>57</v>
      </c>
      <c r="H90" s="195" t="s">
        <v>58</v>
      </c>
      <c r="I90" s="195" t="s">
        <v>59</v>
      </c>
      <c r="J90" s="195" t="s">
        <v>60</v>
      </c>
      <c r="K90" s="195" t="s">
        <v>61</v>
      </c>
      <c r="L90" s="192"/>
      <c r="M90" s="192"/>
      <c r="N90" s="100"/>
    </row>
    <row r="91" spans="1:14" ht="15.5" thickTop="1" thickBot="1">
      <c r="A91" s="197"/>
      <c r="B91" s="100"/>
      <c r="C91" s="100"/>
      <c r="D91" s="198" t="s">
        <v>35</v>
      </c>
      <c r="E91" s="199"/>
      <c r="F91" s="200">
        <v>40</v>
      </c>
      <c r="G91" s="200">
        <v>20</v>
      </c>
      <c r="H91" s="200">
        <v>20</v>
      </c>
      <c r="I91" s="200">
        <v>20</v>
      </c>
      <c r="J91" s="200">
        <v>50</v>
      </c>
      <c r="K91" s="200">
        <v>148</v>
      </c>
      <c r="L91" s="100"/>
      <c r="M91" s="128">
        <f>B24-(SUM(F91:K91))</f>
        <v>0</v>
      </c>
      <c r="N91" s="100"/>
    </row>
    <row r="92" spans="1:14" ht="15" thickTop="1">
      <c r="A92" s="183" t="s">
        <v>10</v>
      </c>
      <c r="B92" s="200">
        <f>SUM(F92:K92)</f>
        <v>2225340.7399999998</v>
      </c>
      <c r="C92" s="200"/>
      <c r="D92" s="198" t="s">
        <v>39</v>
      </c>
      <c r="E92" s="199"/>
      <c r="F92" s="200">
        <f>F91*$C$6</f>
        <v>1147740.8</v>
      </c>
      <c r="G92" s="200">
        <f>G91*$D$6</f>
        <v>357074.80000000005</v>
      </c>
      <c r="H92" s="200">
        <f>H91*$E$6</f>
        <v>255053.4</v>
      </c>
      <c r="I92" s="200">
        <f>I91*$F$6</f>
        <v>102021.4</v>
      </c>
      <c r="J92" s="200">
        <f>J91*$G$6</f>
        <v>127526.50000000001</v>
      </c>
      <c r="K92" s="200">
        <f>K91*$H$6</f>
        <v>235923.84</v>
      </c>
      <c r="L92" s="100"/>
      <c r="M92" s="100"/>
      <c r="N92" s="100"/>
    </row>
    <row r="93" spans="1:14">
      <c r="A93" s="197"/>
      <c r="B93" s="199"/>
      <c r="C93" s="199"/>
      <c r="D93" s="198" t="s">
        <v>20</v>
      </c>
      <c r="E93" s="199"/>
      <c r="F93" s="435">
        <f>$C$9</f>
        <v>0.20200000000000001</v>
      </c>
      <c r="G93" s="435">
        <f>$D$9</f>
        <v>0.20200000000000001</v>
      </c>
      <c r="H93" s="435">
        <f>$E$9</f>
        <v>0.20200000000000001</v>
      </c>
      <c r="I93" s="435">
        <f>$F$9</f>
        <v>0.20200000000000001</v>
      </c>
      <c r="J93" s="435">
        <f>$G$9</f>
        <v>0.20200000000000001</v>
      </c>
      <c r="K93" s="435">
        <f>$H$9</f>
        <v>0.20200000000000001</v>
      </c>
      <c r="L93" s="100"/>
      <c r="M93" s="100"/>
      <c r="N93" s="100"/>
    </row>
    <row r="94" spans="1:14">
      <c r="A94" s="203"/>
      <c r="B94" s="374">
        <f>ROUND(SUM(F94:K94),2)</f>
        <v>449518.83</v>
      </c>
      <c r="C94" s="204"/>
      <c r="D94" s="205" t="s">
        <v>43</v>
      </c>
      <c r="E94" s="206"/>
      <c r="F94" s="207">
        <f>F92*F93</f>
        <v>231843.64160000003</v>
      </c>
      <c r="G94" s="207">
        <f t="shared" ref="G94:K94" si="11">G92*G93</f>
        <v>72129.109600000011</v>
      </c>
      <c r="H94" s="207">
        <f t="shared" si="11"/>
        <v>51520.786800000002</v>
      </c>
      <c r="I94" s="207">
        <f t="shared" si="11"/>
        <v>20608.322800000002</v>
      </c>
      <c r="J94" s="207">
        <f t="shared" si="11"/>
        <v>25760.353000000003</v>
      </c>
      <c r="K94" s="207">
        <f t="shared" si="11"/>
        <v>47656.615680000003</v>
      </c>
      <c r="L94" s="206"/>
      <c r="M94" s="206"/>
      <c r="N94" s="100"/>
    </row>
    <row r="95" spans="1:14">
      <c r="A95" s="100"/>
      <c r="B95" s="100"/>
      <c r="C95" s="100"/>
      <c r="D95" s="100"/>
      <c r="E95" s="100"/>
      <c r="F95" s="100"/>
      <c r="G95" s="100"/>
      <c r="H95" s="100"/>
      <c r="I95" s="100"/>
      <c r="J95" s="100"/>
      <c r="K95" s="100"/>
      <c r="L95" s="100"/>
      <c r="M95" s="100"/>
      <c r="N95" s="100"/>
    </row>
    <row r="96" spans="1:14" ht="15" thickBot="1">
      <c r="A96" s="192"/>
      <c r="B96" s="193" t="s">
        <v>36</v>
      </c>
      <c r="C96" s="193"/>
      <c r="D96" s="141" t="s">
        <v>23</v>
      </c>
      <c r="E96" s="194"/>
      <c r="F96" s="195" t="s">
        <v>30</v>
      </c>
      <c r="G96" s="195" t="s">
        <v>57</v>
      </c>
      <c r="H96" s="195" t="s">
        <v>58</v>
      </c>
      <c r="I96" s="195" t="s">
        <v>59</v>
      </c>
      <c r="J96" s="195" t="s">
        <v>60</v>
      </c>
      <c r="K96" s="195" t="s">
        <v>61</v>
      </c>
      <c r="L96" s="192"/>
      <c r="M96" s="192"/>
      <c r="N96" s="100"/>
    </row>
    <row r="97" spans="1:14" ht="15.5" thickTop="1" thickBot="1">
      <c r="A97" s="197"/>
      <c r="B97" s="100"/>
      <c r="C97" s="100"/>
      <c r="D97" s="198" t="s">
        <v>35</v>
      </c>
      <c r="E97" s="199"/>
      <c r="F97" s="200">
        <v>40</v>
      </c>
      <c r="G97" s="200">
        <v>4</v>
      </c>
      <c r="H97" s="200">
        <v>0</v>
      </c>
      <c r="I97" s="200">
        <v>0</v>
      </c>
      <c r="J97" s="200">
        <v>0</v>
      </c>
      <c r="K97" s="200">
        <v>0</v>
      </c>
      <c r="L97" s="100"/>
      <c r="M97" s="128">
        <f>B25-(SUM(F97:K97))</f>
        <v>0</v>
      </c>
      <c r="N97" s="100"/>
    </row>
    <row r="98" spans="1:14" ht="15" thickTop="1">
      <c r="A98" s="183" t="s">
        <v>11</v>
      </c>
      <c r="B98" s="200">
        <f>SUM(F98:K98)</f>
        <v>1219155.76</v>
      </c>
      <c r="C98" s="200"/>
      <c r="D98" s="198" t="s">
        <v>39</v>
      </c>
      <c r="E98" s="199"/>
      <c r="F98" s="200">
        <f>F97*$C$6</f>
        <v>1147740.8</v>
      </c>
      <c r="G98" s="200">
        <f>G97*$D$6</f>
        <v>71414.960000000006</v>
      </c>
      <c r="H98" s="200">
        <f>H97*$E$6</f>
        <v>0</v>
      </c>
      <c r="I98" s="200">
        <f>I97*$F$6</f>
        <v>0</v>
      </c>
      <c r="J98" s="200">
        <f>J97*$G$6</f>
        <v>0</v>
      </c>
      <c r="K98" s="200">
        <f>K97*$H$6</f>
        <v>0</v>
      </c>
      <c r="L98" s="100"/>
      <c r="M98" s="100"/>
      <c r="N98" s="100"/>
    </row>
    <row r="99" spans="1:14">
      <c r="A99" s="197"/>
      <c r="B99" s="199"/>
      <c r="C99" s="199"/>
      <c r="D99" s="198" t="s">
        <v>20</v>
      </c>
      <c r="E99" s="199"/>
      <c r="F99" s="435">
        <f>$C$9</f>
        <v>0.20200000000000001</v>
      </c>
      <c r="G99" s="435">
        <f>$D$9</f>
        <v>0.20200000000000001</v>
      </c>
      <c r="H99" s="435">
        <f>$E$9</f>
        <v>0.20200000000000001</v>
      </c>
      <c r="I99" s="435">
        <f>$F$9</f>
        <v>0.20200000000000001</v>
      </c>
      <c r="J99" s="435">
        <f>$G$9</f>
        <v>0.20200000000000001</v>
      </c>
      <c r="K99" s="435">
        <f>$H$9</f>
        <v>0.20200000000000001</v>
      </c>
      <c r="L99" s="100"/>
      <c r="M99" s="100"/>
      <c r="N99" s="100"/>
    </row>
    <row r="100" spans="1:14">
      <c r="A100" s="203"/>
      <c r="B100" s="374">
        <f>ROUND(SUM(F100:K100),2)</f>
        <v>246269.46</v>
      </c>
      <c r="C100" s="204"/>
      <c r="D100" s="205" t="s">
        <v>43</v>
      </c>
      <c r="E100" s="206"/>
      <c r="F100" s="207">
        <f>F98*F99</f>
        <v>231843.64160000003</v>
      </c>
      <c r="G100" s="207">
        <f t="shared" ref="G100:K100" si="12">G98*G99</f>
        <v>14425.821920000002</v>
      </c>
      <c r="H100" s="207">
        <f t="shared" si="12"/>
        <v>0</v>
      </c>
      <c r="I100" s="207">
        <f t="shared" si="12"/>
        <v>0</v>
      </c>
      <c r="J100" s="207">
        <f t="shared" si="12"/>
        <v>0</v>
      </c>
      <c r="K100" s="207">
        <f t="shared" si="12"/>
        <v>0</v>
      </c>
      <c r="L100" s="206"/>
      <c r="M100" s="206"/>
      <c r="N100" s="100"/>
    </row>
    <row r="101" spans="1:14">
      <c r="A101" s="100"/>
      <c r="B101" s="100"/>
      <c r="C101" s="100"/>
      <c r="D101" s="100"/>
      <c r="E101" s="100"/>
      <c r="F101" s="100"/>
      <c r="G101" s="100"/>
      <c r="H101" s="100"/>
      <c r="I101" s="100"/>
      <c r="J101" s="100"/>
      <c r="K101" s="100"/>
      <c r="L101" s="100"/>
      <c r="M101" s="100"/>
      <c r="N101" s="100"/>
    </row>
    <row r="102" spans="1:14" ht="15" thickBot="1">
      <c r="A102" s="192"/>
      <c r="B102" s="193" t="s">
        <v>36</v>
      </c>
      <c r="C102" s="193"/>
      <c r="D102" s="141" t="s">
        <v>23</v>
      </c>
      <c r="E102" s="194"/>
      <c r="F102" s="195" t="s">
        <v>30</v>
      </c>
      <c r="G102" s="195" t="s">
        <v>57</v>
      </c>
      <c r="H102" s="195" t="s">
        <v>58</v>
      </c>
      <c r="I102" s="195" t="s">
        <v>59</v>
      </c>
      <c r="J102" s="195" t="s">
        <v>60</v>
      </c>
      <c r="K102" s="195" t="s">
        <v>61</v>
      </c>
      <c r="L102" s="192"/>
      <c r="M102" s="192"/>
      <c r="N102" s="100"/>
    </row>
    <row r="103" spans="1:14" ht="15.5" thickTop="1" thickBot="1">
      <c r="A103" s="197"/>
      <c r="B103" s="100"/>
      <c r="C103" s="100"/>
      <c r="D103" s="198" t="s">
        <v>35</v>
      </c>
      <c r="E103" s="199"/>
      <c r="F103" s="200">
        <v>40</v>
      </c>
      <c r="G103" s="200">
        <v>20</v>
      </c>
      <c r="H103" s="200">
        <v>20</v>
      </c>
      <c r="I103" s="200">
        <v>20</v>
      </c>
      <c r="J103" s="200">
        <v>50</v>
      </c>
      <c r="K103" s="200">
        <v>74</v>
      </c>
      <c r="L103" s="100"/>
      <c r="M103" s="128">
        <f>B26-(SUM(F103:K103))</f>
        <v>0</v>
      </c>
      <c r="N103" s="100"/>
    </row>
    <row r="104" spans="1:14" ht="15" thickTop="1">
      <c r="A104" s="183" t="s">
        <v>12</v>
      </c>
      <c r="B104" s="200">
        <f>SUM(F104:K104)</f>
        <v>2107378.8199999998</v>
      </c>
      <c r="C104" s="200"/>
      <c r="D104" s="198" t="s">
        <v>39</v>
      </c>
      <c r="E104" s="199"/>
      <c r="F104" s="200">
        <f>F103*$C$6</f>
        <v>1147740.8</v>
      </c>
      <c r="G104" s="200">
        <f>G103*$D$6</f>
        <v>357074.80000000005</v>
      </c>
      <c r="H104" s="200">
        <f>H103*$E$6</f>
        <v>255053.4</v>
      </c>
      <c r="I104" s="200">
        <f>I103*$F$6</f>
        <v>102021.4</v>
      </c>
      <c r="J104" s="200">
        <f>J103*$G$6</f>
        <v>127526.50000000001</v>
      </c>
      <c r="K104" s="200">
        <f>K103*$H$6</f>
        <v>117961.92</v>
      </c>
      <c r="L104" s="100"/>
      <c r="M104" s="100"/>
      <c r="N104" s="100"/>
    </row>
    <row r="105" spans="1:14">
      <c r="A105" s="197"/>
      <c r="B105" s="199"/>
      <c r="C105" s="199"/>
      <c r="D105" s="198" t="s">
        <v>20</v>
      </c>
      <c r="E105" s="199"/>
      <c r="F105" s="435">
        <f>$C$9</f>
        <v>0.20200000000000001</v>
      </c>
      <c r="G105" s="435">
        <f>$D$9</f>
        <v>0.20200000000000001</v>
      </c>
      <c r="H105" s="435">
        <f>$E$9</f>
        <v>0.20200000000000001</v>
      </c>
      <c r="I105" s="435">
        <f>$F$9</f>
        <v>0.20200000000000001</v>
      </c>
      <c r="J105" s="435">
        <f>$G$9</f>
        <v>0.20200000000000001</v>
      </c>
      <c r="K105" s="435">
        <f>$H$9</f>
        <v>0.20200000000000001</v>
      </c>
      <c r="L105" s="100"/>
      <c r="M105" s="100"/>
      <c r="N105" s="100"/>
    </row>
    <row r="106" spans="1:14">
      <c r="A106" s="203"/>
      <c r="B106" s="374">
        <f>ROUND(SUM(F106:K106),2)</f>
        <v>425690.52</v>
      </c>
      <c r="C106" s="204"/>
      <c r="D106" s="205" t="s">
        <v>43</v>
      </c>
      <c r="E106" s="206"/>
      <c r="F106" s="207">
        <f>F104*F105</f>
        <v>231843.64160000003</v>
      </c>
      <c r="G106" s="207">
        <f t="shared" ref="G106:K106" si="13">G104*G105</f>
        <v>72129.109600000011</v>
      </c>
      <c r="H106" s="207">
        <f t="shared" si="13"/>
        <v>51520.786800000002</v>
      </c>
      <c r="I106" s="207">
        <f t="shared" si="13"/>
        <v>20608.322800000002</v>
      </c>
      <c r="J106" s="207">
        <f t="shared" si="13"/>
        <v>25760.353000000003</v>
      </c>
      <c r="K106" s="207">
        <f t="shared" si="13"/>
        <v>23828.307840000001</v>
      </c>
      <c r="L106" s="206"/>
      <c r="M106" s="206"/>
      <c r="N106" s="100"/>
    </row>
    <row r="107" spans="1:14">
      <c r="A107" s="100"/>
      <c r="B107" s="100"/>
      <c r="C107" s="100"/>
      <c r="D107" s="100"/>
      <c r="E107" s="100"/>
      <c r="F107" s="100"/>
      <c r="G107" s="100"/>
      <c r="H107" s="100"/>
      <c r="I107" s="100"/>
      <c r="J107" s="100"/>
      <c r="K107" s="100"/>
      <c r="L107" s="100"/>
      <c r="M107" s="100"/>
      <c r="N107" s="100"/>
    </row>
    <row r="108" spans="1:14" ht="15" thickBot="1">
      <c r="A108" s="192"/>
      <c r="B108" s="193" t="s">
        <v>36</v>
      </c>
      <c r="C108" s="193"/>
      <c r="D108" s="141" t="s">
        <v>23</v>
      </c>
      <c r="E108" s="194"/>
      <c r="F108" s="195" t="s">
        <v>30</v>
      </c>
      <c r="G108" s="195" t="s">
        <v>57</v>
      </c>
      <c r="H108" s="195" t="s">
        <v>58</v>
      </c>
      <c r="I108" s="195" t="s">
        <v>59</v>
      </c>
      <c r="J108" s="195" t="s">
        <v>60</v>
      </c>
      <c r="K108" s="195" t="s">
        <v>61</v>
      </c>
      <c r="L108" s="192"/>
      <c r="M108" s="192"/>
      <c r="N108" s="100"/>
    </row>
    <row r="109" spans="1:14" ht="15.5" thickTop="1" thickBot="1">
      <c r="A109" s="197"/>
      <c r="B109" s="100"/>
      <c r="C109" s="100"/>
      <c r="D109" s="198" t="s">
        <v>35</v>
      </c>
      <c r="E109" s="199"/>
      <c r="F109" s="200">
        <v>10</v>
      </c>
      <c r="G109" s="200">
        <v>0</v>
      </c>
      <c r="H109" s="200">
        <v>0</v>
      </c>
      <c r="I109" s="200">
        <v>0</v>
      </c>
      <c r="J109" s="200">
        <v>0</v>
      </c>
      <c r="K109" s="200">
        <v>0</v>
      </c>
      <c r="L109" s="100"/>
      <c r="M109" s="128">
        <f>B27-(SUM(F109:K109))</f>
        <v>0</v>
      </c>
      <c r="N109" s="100"/>
    </row>
    <row r="110" spans="1:14" ht="15" thickTop="1">
      <c r="A110" s="184" t="s">
        <v>13</v>
      </c>
      <c r="B110" s="200">
        <f>SUM(F110:K110)</f>
        <v>286935.2</v>
      </c>
      <c r="C110" s="200"/>
      <c r="D110" s="198" t="s">
        <v>39</v>
      </c>
      <c r="E110" s="199"/>
      <c r="F110" s="200">
        <f>F109*$C$6</f>
        <v>286935.2</v>
      </c>
      <c r="G110" s="200">
        <f>G109*$D$6</f>
        <v>0</v>
      </c>
      <c r="H110" s="200">
        <f>H109*$E$6</f>
        <v>0</v>
      </c>
      <c r="I110" s="200">
        <f>I109*$F$6</f>
        <v>0</v>
      </c>
      <c r="J110" s="200">
        <f>J109*$G$6</f>
        <v>0</v>
      </c>
      <c r="K110" s="200">
        <f>K109*$H$6</f>
        <v>0</v>
      </c>
      <c r="L110" s="100"/>
      <c r="M110" s="100"/>
      <c r="N110" s="100"/>
    </row>
    <row r="111" spans="1:14">
      <c r="A111" s="197"/>
      <c r="B111" s="199"/>
      <c r="C111" s="199"/>
      <c r="D111" s="198" t="s">
        <v>20</v>
      </c>
      <c r="E111" s="199"/>
      <c r="F111" s="437">
        <f>$C$11</f>
        <v>0.39200000000000002</v>
      </c>
      <c r="G111" s="437">
        <f>$D$11</f>
        <v>0.39200000000000002</v>
      </c>
      <c r="H111" s="437">
        <f>$E$11</f>
        <v>0.39200000000000002</v>
      </c>
      <c r="I111" s="437">
        <f>$F$11</f>
        <v>0.39200000000000002</v>
      </c>
      <c r="J111" s="437">
        <f>$G$11</f>
        <v>0.39200000000000002</v>
      </c>
      <c r="K111" s="437">
        <f>$H$11</f>
        <v>0.39200000000000002</v>
      </c>
      <c r="L111" s="100"/>
      <c r="M111" s="100"/>
      <c r="N111" s="100"/>
    </row>
    <row r="112" spans="1:14">
      <c r="A112" s="203"/>
      <c r="B112" s="374">
        <f>ROUND(SUM(F112:K112),2)</f>
        <v>112478.6</v>
      </c>
      <c r="C112" s="204"/>
      <c r="D112" s="205" t="s">
        <v>43</v>
      </c>
      <c r="E112" s="206"/>
      <c r="F112" s="207">
        <f>F110*F111</f>
        <v>112478.5984</v>
      </c>
      <c r="G112" s="207">
        <f t="shared" ref="G112:K112" si="14">G110*G111</f>
        <v>0</v>
      </c>
      <c r="H112" s="207">
        <f t="shared" si="14"/>
        <v>0</v>
      </c>
      <c r="I112" s="207">
        <f t="shared" si="14"/>
        <v>0</v>
      </c>
      <c r="J112" s="207">
        <f t="shared" si="14"/>
        <v>0</v>
      </c>
      <c r="K112" s="207">
        <f t="shared" si="14"/>
        <v>0</v>
      </c>
      <c r="L112" s="206"/>
      <c r="M112" s="206"/>
      <c r="N112" s="100"/>
    </row>
    <row r="113" spans="1:14">
      <c r="A113" s="100"/>
      <c r="B113" s="100"/>
      <c r="C113" s="100"/>
      <c r="D113" s="100"/>
      <c r="E113" s="100"/>
      <c r="F113" s="100"/>
      <c r="G113" s="100"/>
      <c r="H113" s="100"/>
      <c r="I113" s="100"/>
      <c r="J113" s="100"/>
      <c r="K113" s="100"/>
      <c r="L113" s="100"/>
      <c r="M113" s="100"/>
      <c r="N113" s="100"/>
    </row>
    <row r="114" spans="1:14" ht="15" thickBot="1">
      <c r="A114" s="192"/>
      <c r="B114" s="193" t="s">
        <v>36</v>
      </c>
      <c r="C114" s="193"/>
      <c r="D114" s="141" t="s">
        <v>23</v>
      </c>
      <c r="E114" s="194"/>
      <c r="F114" s="195" t="s">
        <v>30</v>
      </c>
      <c r="G114" s="195" t="s">
        <v>57</v>
      </c>
      <c r="H114" s="195" t="s">
        <v>58</v>
      </c>
      <c r="I114" s="195" t="s">
        <v>59</v>
      </c>
      <c r="J114" s="195" t="s">
        <v>60</v>
      </c>
      <c r="K114" s="195" t="s">
        <v>61</v>
      </c>
      <c r="L114" s="192"/>
      <c r="M114" s="192"/>
      <c r="N114" s="100"/>
    </row>
    <row r="115" spans="1:14" ht="15.5" thickTop="1" thickBot="1">
      <c r="A115" s="197"/>
      <c r="B115" s="100"/>
      <c r="C115" s="100"/>
      <c r="D115" s="198" t="s">
        <v>35</v>
      </c>
      <c r="E115" s="199"/>
      <c r="F115" s="200">
        <v>40</v>
      </c>
      <c r="G115" s="200">
        <v>20</v>
      </c>
      <c r="H115" s="200">
        <v>20</v>
      </c>
      <c r="I115" s="200">
        <v>20</v>
      </c>
      <c r="J115" s="200">
        <v>17</v>
      </c>
      <c r="K115" s="200">
        <v>0</v>
      </c>
      <c r="L115" s="100"/>
      <c r="M115" s="128">
        <f>B28-(SUM(F115:K115))</f>
        <v>0</v>
      </c>
      <c r="N115" s="100"/>
    </row>
    <row r="116" spans="1:14" ht="15" thickTop="1">
      <c r="A116" s="183" t="s">
        <v>14</v>
      </c>
      <c r="B116" s="200">
        <f>SUM(F116:K116)</f>
        <v>1905249.41</v>
      </c>
      <c r="C116" s="200"/>
      <c r="D116" s="198" t="s">
        <v>39</v>
      </c>
      <c r="E116" s="199"/>
      <c r="F116" s="200">
        <f>F115*$C$6</f>
        <v>1147740.8</v>
      </c>
      <c r="G116" s="200">
        <f>G115*$D$6</f>
        <v>357074.80000000005</v>
      </c>
      <c r="H116" s="200">
        <f>H115*$E$6</f>
        <v>255053.4</v>
      </c>
      <c r="I116" s="200">
        <f>I115*$F$6</f>
        <v>102021.4</v>
      </c>
      <c r="J116" s="200">
        <f>J115*$G$6</f>
        <v>43359.01</v>
      </c>
      <c r="K116" s="200">
        <f>K115*$H$6</f>
        <v>0</v>
      </c>
      <c r="L116" s="100"/>
      <c r="M116" s="100"/>
      <c r="N116" s="100"/>
    </row>
    <row r="117" spans="1:14">
      <c r="A117" s="197"/>
      <c r="B117" s="199"/>
      <c r="C117" s="199"/>
      <c r="D117" s="198" t="s">
        <v>20</v>
      </c>
      <c r="E117" s="199"/>
      <c r="F117" s="435">
        <f>$C$9</f>
        <v>0.20200000000000001</v>
      </c>
      <c r="G117" s="435">
        <f>$D$9</f>
        <v>0.20200000000000001</v>
      </c>
      <c r="H117" s="435">
        <f>$E$9</f>
        <v>0.20200000000000001</v>
      </c>
      <c r="I117" s="435">
        <f>$F$9</f>
        <v>0.20200000000000001</v>
      </c>
      <c r="J117" s="435">
        <f>$G$9</f>
        <v>0.20200000000000001</v>
      </c>
      <c r="K117" s="435">
        <f>$H$9</f>
        <v>0.20200000000000001</v>
      </c>
      <c r="L117" s="100"/>
      <c r="M117" s="100"/>
      <c r="N117" s="100"/>
    </row>
    <row r="118" spans="1:14">
      <c r="A118" s="203"/>
      <c r="B118" s="374">
        <f>ROUND(SUM(F118:K118),2)</f>
        <v>384860.38</v>
      </c>
      <c r="C118" s="204"/>
      <c r="D118" s="205" t="s">
        <v>43</v>
      </c>
      <c r="E118" s="206"/>
      <c r="F118" s="207">
        <f>F116*F117</f>
        <v>231843.64160000003</v>
      </c>
      <c r="G118" s="207">
        <f t="shared" ref="G118:K118" si="15">G116*G117</f>
        <v>72129.109600000011</v>
      </c>
      <c r="H118" s="207">
        <f t="shared" si="15"/>
        <v>51520.786800000002</v>
      </c>
      <c r="I118" s="207">
        <f t="shared" si="15"/>
        <v>20608.322800000002</v>
      </c>
      <c r="J118" s="207">
        <f t="shared" si="15"/>
        <v>8758.5200200000018</v>
      </c>
      <c r="K118" s="207">
        <f t="shared" si="15"/>
        <v>0</v>
      </c>
      <c r="L118" s="206"/>
      <c r="M118" s="206"/>
      <c r="N118" s="100"/>
    </row>
    <row r="119" spans="1:14">
      <c r="A119" s="100"/>
      <c r="B119" s="100"/>
      <c r="C119" s="100"/>
      <c r="D119" s="100"/>
      <c r="E119" s="100"/>
      <c r="F119" s="100"/>
      <c r="G119" s="100"/>
      <c r="H119" s="100"/>
      <c r="I119" s="100"/>
      <c r="J119" s="100"/>
      <c r="K119" s="100"/>
      <c r="L119" s="100"/>
      <c r="M119" s="100"/>
      <c r="N119" s="100"/>
    </row>
    <row r="120" spans="1:14" ht="15" thickBot="1">
      <c r="A120" s="100"/>
      <c r="B120" s="208" t="s">
        <v>36</v>
      </c>
      <c r="C120" s="208"/>
      <c r="D120" s="198" t="s">
        <v>23</v>
      </c>
      <c r="E120" s="199"/>
      <c r="F120" s="172" t="s">
        <v>30</v>
      </c>
      <c r="G120" s="172" t="s">
        <v>57</v>
      </c>
      <c r="H120" s="172" t="s">
        <v>58</v>
      </c>
      <c r="I120" s="172" t="s">
        <v>59</v>
      </c>
      <c r="J120" s="172" t="s">
        <v>60</v>
      </c>
      <c r="K120" s="172" t="s">
        <v>61</v>
      </c>
      <c r="L120" s="100"/>
      <c r="M120" s="100"/>
      <c r="N120" s="100"/>
    </row>
    <row r="121" spans="1:14" ht="15.5" thickTop="1" thickBot="1">
      <c r="A121" s="197"/>
      <c r="B121" s="100"/>
      <c r="C121" s="100"/>
      <c r="D121" s="198" t="s">
        <v>35</v>
      </c>
      <c r="E121" s="199"/>
      <c r="F121" s="200">
        <v>40</v>
      </c>
      <c r="G121" s="200">
        <v>7</v>
      </c>
      <c r="H121" s="200">
        <v>0</v>
      </c>
      <c r="I121" s="200">
        <v>0</v>
      </c>
      <c r="J121" s="200">
        <v>0</v>
      </c>
      <c r="K121" s="200">
        <v>0</v>
      </c>
      <c r="L121" s="100"/>
      <c r="M121" s="128">
        <f>B29-(SUM(F121:K121))</f>
        <v>0</v>
      </c>
      <c r="N121" s="100"/>
    </row>
    <row r="122" spans="1:14" ht="15" thickTop="1">
      <c r="A122" s="187" t="s">
        <v>15</v>
      </c>
      <c r="B122" s="200">
        <f>SUM(F122:K122)</f>
        <v>1272716.98</v>
      </c>
      <c r="C122" s="200"/>
      <c r="D122" s="198" t="s">
        <v>39</v>
      </c>
      <c r="E122" s="199"/>
      <c r="F122" s="200">
        <f>F121*$C$6</f>
        <v>1147740.8</v>
      </c>
      <c r="G122" s="200">
        <f>G121*$D$6</f>
        <v>124976.18000000001</v>
      </c>
      <c r="H122" s="200">
        <f>H121*$E$6</f>
        <v>0</v>
      </c>
      <c r="I122" s="200">
        <f>I121*$F$6</f>
        <v>0</v>
      </c>
      <c r="J122" s="200">
        <f>J121*$G$6</f>
        <v>0</v>
      </c>
      <c r="K122" s="200">
        <f>K121*$H$6</f>
        <v>0</v>
      </c>
      <c r="L122" s="100"/>
      <c r="M122" s="100"/>
      <c r="N122" s="100"/>
    </row>
    <row r="123" spans="1:14">
      <c r="A123" s="197"/>
      <c r="B123" s="199"/>
      <c r="C123" s="199"/>
      <c r="D123" s="198" t="s">
        <v>20</v>
      </c>
      <c r="E123" s="199"/>
      <c r="F123" s="436">
        <f>$C$10</f>
        <v>0.34200000000000003</v>
      </c>
      <c r="G123" s="436">
        <f>$D$10</f>
        <v>0.34200000000000003</v>
      </c>
      <c r="H123" s="436">
        <f>$E$10</f>
        <v>0.34200000000000003</v>
      </c>
      <c r="I123" s="436">
        <f>$F$10</f>
        <v>0.34200000000000003</v>
      </c>
      <c r="J123" s="436">
        <f>$G$10</f>
        <v>0.34200000000000003</v>
      </c>
      <c r="K123" s="436">
        <f>$H$10</f>
        <v>0.34200000000000003</v>
      </c>
      <c r="L123" s="100"/>
      <c r="M123" s="100"/>
      <c r="N123" s="100"/>
    </row>
    <row r="124" spans="1:14">
      <c r="A124" s="203"/>
      <c r="B124" s="374">
        <f>ROUND(SUM(F124:K124),2)</f>
        <v>435269.21</v>
      </c>
      <c r="C124" s="204"/>
      <c r="D124" s="205" t="s">
        <v>43</v>
      </c>
      <c r="E124" s="206"/>
      <c r="F124" s="207">
        <f>F122*F123</f>
        <v>392527.35360000003</v>
      </c>
      <c r="G124" s="207">
        <f t="shared" ref="G124:K124" si="16">G122*G123</f>
        <v>42741.853560000003</v>
      </c>
      <c r="H124" s="207">
        <f t="shared" si="16"/>
        <v>0</v>
      </c>
      <c r="I124" s="207">
        <f t="shared" si="16"/>
        <v>0</v>
      </c>
      <c r="J124" s="207">
        <f t="shared" si="16"/>
        <v>0</v>
      </c>
      <c r="K124" s="207">
        <f t="shared" si="16"/>
        <v>0</v>
      </c>
      <c r="L124" s="206"/>
      <c r="M124" s="206"/>
      <c r="N124" s="100"/>
    </row>
    <row r="125" spans="1:14">
      <c r="A125" s="100"/>
      <c r="B125" s="100"/>
      <c r="C125" s="100"/>
      <c r="D125" s="100"/>
      <c r="E125" s="100"/>
      <c r="F125" s="100"/>
      <c r="G125" s="100"/>
      <c r="H125" s="100"/>
      <c r="I125" s="100"/>
      <c r="J125" s="100"/>
      <c r="K125" s="100"/>
      <c r="L125" s="100"/>
      <c r="M125" s="100"/>
      <c r="N125" s="100"/>
    </row>
    <row r="126" spans="1:14" ht="15" thickBot="1">
      <c r="A126" s="192"/>
      <c r="B126" s="193" t="s">
        <v>36</v>
      </c>
      <c r="C126" s="193"/>
      <c r="D126" s="141" t="s">
        <v>23</v>
      </c>
      <c r="E126" s="194"/>
      <c r="F126" s="195" t="s">
        <v>30</v>
      </c>
      <c r="G126" s="195" t="s">
        <v>57</v>
      </c>
      <c r="H126" s="195" t="s">
        <v>58</v>
      </c>
      <c r="I126" s="195" t="s">
        <v>59</v>
      </c>
      <c r="J126" s="195" t="s">
        <v>60</v>
      </c>
      <c r="K126" s="195" t="s">
        <v>61</v>
      </c>
      <c r="L126" s="192"/>
      <c r="M126" s="192"/>
      <c r="N126" s="100"/>
    </row>
    <row r="127" spans="1:14" ht="15.5" thickTop="1" thickBot="1">
      <c r="A127" s="197"/>
      <c r="B127" s="100"/>
      <c r="C127" s="100"/>
      <c r="D127" s="198" t="s">
        <v>35</v>
      </c>
      <c r="E127" s="199"/>
      <c r="F127" s="200">
        <v>40</v>
      </c>
      <c r="G127" s="200">
        <v>20</v>
      </c>
      <c r="H127" s="200">
        <v>20</v>
      </c>
      <c r="I127" s="200">
        <v>20</v>
      </c>
      <c r="J127" s="200">
        <v>50</v>
      </c>
      <c r="K127" s="200">
        <v>1075</v>
      </c>
      <c r="L127" s="100"/>
      <c r="M127" s="128">
        <f>B30-(SUM(F127:K127))</f>
        <v>0</v>
      </c>
      <c r="N127" s="100"/>
    </row>
    <row r="128" spans="1:14" ht="15" thickTop="1">
      <c r="A128" s="183" t="s">
        <v>16</v>
      </c>
      <c r="B128" s="200">
        <f>SUM(F128:K128)</f>
        <v>3703052.9</v>
      </c>
      <c r="C128" s="200"/>
      <c r="D128" s="198" t="s">
        <v>39</v>
      </c>
      <c r="E128" s="199"/>
      <c r="F128" s="200">
        <f>F127*$C$6</f>
        <v>1147740.8</v>
      </c>
      <c r="G128" s="200">
        <f>G127*$D$6</f>
        <v>357074.80000000005</v>
      </c>
      <c r="H128" s="200">
        <f>H127*$E$6</f>
        <v>255053.4</v>
      </c>
      <c r="I128" s="200">
        <f>I127*$F$6</f>
        <v>102021.4</v>
      </c>
      <c r="J128" s="200">
        <f>J127*$G$6</f>
        <v>127526.50000000001</v>
      </c>
      <c r="K128" s="200">
        <f>K127*$H$6</f>
        <v>1713636</v>
      </c>
      <c r="L128" s="100"/>
      <c r="M128" s="100"/>
      <c r="N128" s="100"/>
    </row>
    <row r="129" spans="1:14">
      <c r="A129" s="197"/>
      <c r="B129" s="199"/>
      <c r="C129" s="199"/>
      <c r="D129" s="198" t="s">
        <v>20</v>
      </c>
      <c r="E129" s="199"/>
      <c r="F129" s="435">
        <f>$C$9</f>
        <v>0.20200000000000001</v>
      </c>
      <c r="G129" s="435">
        <f>$D$9</f>
        <v>0.20200000000000001</v>
      </c>
      <c r="H129" s="435">
        <f>$E$9</f>
        <v>0.20200000000000001</v>
      </c>
      <c r="I129" s="435">
        <f>$F$9</f>
        <v>0.20200000000000001</v>
      </c>
      <c r="J129" s="435">
        <f>$G$9</f>
        <v>0.20200000000000001</v>
      </c>
      <c r="K129" s="435">
        <f>$H$9</f>
        <v>0.20200000000000001</v>
      </c>
      <c r="L129" s="100"/>
      <c r="M129" s="100"/>
      <c r="N129" s="100"/>
    </row>
    <row r="130" spans="1:14">
      <c r="A130" s="203"/>
      <c r="B130" s="374">
        <f>ROUND(SUM(F130:K130),2)</f>
        <v>748016.69</v>
      </c>
      <c r="C130" s="204"/>
      <c r="D130" s="205" t="s">
        <v>43</v>
      </c>
      <c r="E130" s="206"/>
      <c r="F130" s="207">
        <f>F128*F129</f>
        <v>231843.64160000003</v>
      </c>
      <c r="G130" s="207">
        <f t="shared" ref="G130:K130" si="17">G128*G129</f>
        <v>72129.109600000011</v>
      </c>
      <c r="H130" s="207">
        <f t="shared" si="17"/>
        <v>51520.786800000002</v>
      </c>
      <c r="I130" s="207">
        <f t="shared" si="17"/>
        <v>20608.322800000002</v>
      </c>
      <c r="J130" s="207">
        <f t="shared" si="17"/>
        <v>25760.353000000003</v>
      </c>
      <c r="K130" s="207">
        <f t="shared" si="17"/>
        <v>346154.47200000001</v>
      </c>
      <c r="L130" s="206"/>
      <c r="M130" s="206"/>
      <c r="N130" s="100"/>
    </row>
    <row r="131" spans="1:14">
      <c r="A131" s="100"/>
      <c r="B131" s="100"/>
      <c r="C131" s="100"/>
      <c r="D131" s="100"/>
      <c r="E131" s="100"/>
      <c r="F131" s="100"/>
      <c r="G131" s="100"/>
      <c r="H131" s="100"/>
      <c r="I131" s="100"/>
      <c r="J131" s="100"/>
      <c r="K131" s="100"/>
      <c r="L131" s="100"/>
      <c r="M131" s="100"/>
      <c r="N131" s="100"/>
    </row>
    <row r="132" spans="1:14" ht="15" thickBot="1">
      <c r="A132" s="100"/>
      <c r="B132" s="100"/>
      <c r="C132" s="100"/>
      <c r="D132" s="100"/>
      <c r="E132" s="100"/>
      <c r="F132" s="100"/>
      <c r="G132" s="100"/>
      <c r="H132" s="100"/>
      <c r="I132" s="100"/>
      <c r="J132" s="100"/>
      <c r="K132" s="100"/>
      <c r="L132" s="100"/>
      <c r="M132" s="100"/>
      <c r="N132" s="100"/>
    </row>
    <row r="133" spans="1:14" ht="15.5" thickTop="1" thickBot="1">
      <c r="A133" s="209" t="s">
        <v>62</v>
      </c>
      <c r="B133" s="210"/>
      <c r="C133" s="209">
        <v>2022</v>
      </c>
      <c r="D133" s="363">
        <f>B40+B46+B52+B58+B64+B70+B76+B82+B88+B94+B100+B106+B112+B118+B124+B130</f>
        <v>5976316.8299999982</v>
      </c>
      <c r="E133" s="128">
        <f>D133-'Skola, STR &amp; Spcfr'!B23</f>
        <v>0</v>
      </c>
      <c r="F133" s="100"/>
      <c r="G133" s="100"/>
      <c r="H133" s="100"/>
      <c r="I133" s="100"/>
      <c r="J133" s="100"/>
      <c r="K133" s="100"/>
      <c r="L133" s="100"/>
      <c r="M133" s="100"/>
      <c r="N133" s="100"/>
    </row>
    <row r="134" spans="1:14" ht="15" thickTop="1">
      <c r="A134" s="211"/>
      <c r="B134" s="134"/>
      <c r="C134" s="100"/>
      <c r="D134" s="120"/>
      <c r="E134" s="120"/>
      <c r="F134" s="100"/>
      <c r="G134" s="100"/>
      <c r="H134" s="100"/>
      <c r="I134" s="100"/>
      <c r="J134" s="100"/>
      <c r="K134" s="100"/>
      <c r="L134" s="100"/>
      <c r="M134" s="100"/>
      <c r="N134" s="100"/>
    </row>
  </sheetData>
  <pageMargins left="0.7" right="0.7" top="0.75" bottom="0.75" header="0.3" footer="0.3"/>
  <pageSetup paperSize="9" scale="88" orientation="landscape" r:id="rId1"/>
  <rowBreaks count="3" manualBreakCount="3">
    <brk id="34" max="16383" man="1"/>
    <brk id="71" max="16383" man="1"/>
    <brk id="10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0"/>
  <sheetViews>
    <sheetView zoomScaleNormal="100" workbookViewId="0">
      <selection activeCell="B10" sqref="B10:B26"/>
    </sheetView>
  </sheetViews>
  <sheetFormatPr defaultColWidth="8.765625" defaultRowHeight="14.5"/>
  <cols>
    <col min="1" max="1" width="14.69140625" style="7" customWidth="1"/>
    <col min="2" max="2" width="10.765625" style="7" customWidth="1"/>
    <col min="3" max="3" width="10" style="7" customWidth="1"/>
    <col min="4" max="4" width="9.69140625" style="7" customWidth="1"/>
    <col min="5" max="5" width="11.07421875" style="7" bestFit="1" customWidth="1"/>
    <col min="6" max="6" width="8.765625" style="7"/>
    <col min="7" max="8" width="9.84375" style="7" bestFit="1" customWidth="1"/>
    <col min="9" max="16384" width="8.765625" style="7"/>
  </cols>
  <sheetData>
    <row r="1" spans="1:6" ht="15.5">
      <c r="A1" s="17" t="s">
        <v>37</v>
      </c>
    </row>
    <row r="2" spans="1:6">
      <c r="A2" s="7" t="s">
        <v>38</v>
      </c>
    </row>
    <row r="4" spans="1:6">
      <c r="A4" s="67" t="s">
        <v>167</v>
      </c>
      <c r="B4" s="100"/>
      <c r="C4" s="100"/>
      <c r="D4" s="100"/>
      <c r="E4" s="100"/>
      <c r="F4" s="100"/>
    </row>
    <row r="5" spans="1:6">
      <c r="A5" s="100"/>
      <c r="B5" s="100"/>
      <c r="C5" s="100"/>
      <c r="D5" s="100"/>
      <c r="E5" s="100"/>
      <c r="F5" s="100"/>
    </row>
    <row r="6" spans="1:6" ht="16.149999999999999" customHeight="1">
      <c r="A6" s="211" t="s">
        <v>64</v>
      </c>
      <c r="B6" s="220">
        <f>Basbelopp!Q77</f>
        <v>38058.1</v>
      </c>
      <c r="C6" s="100"/>
      <c r="D6" s="100"/>
      <c r="E6" s="100"/>
      <c r="F6" s="100"/>
    </row>
    <row r="7" spans="1:6">
      <c r="A7" s="143" t="s">
        <v>20</v>
      </c>
      <c r="B7" s="281">
        <v>1</v>
      </c>
      <c r="C7" s="100"/>
      <c r="D7" s="100"/>
      <c r="E7" s="100"/>
      <c r="F7" s="100"/>
    </row>
    <row r="8" spans="1:6">
      <c r="A8" s="100"/>
      <c r="B8" s="281"/>
      <c r="C8" s="100"/>
      <c r="D8" s="100"/>
      <c r="E8" s="100"/>
      <c r="F8" s="100"/>
    </row>
    <row r="9" spans="1:6">
      <c r="A9" s="136"/>
      <c r="B9" s="135" t="s">
        <v>35</v>
      </c>
      <c r="C9" s="135" t="s">
        <v>39</v>
      </c>
      <c r="D9" s="238" t="s">
        <v>65</v>
      </c>
      <c r="E9" s="100"/>
      <c r="F9" s="100"/>
    </row>
    <row r="10" spans="1:6">
      <c r="A10" s="143" t="s">
        <v>1</v>
      </c>
      <c r="B10" s="282">
        <v>0</v>
      </c>
      <c r="C10" s="120">
        <f>$B$6*B10</f>
        <v>0</v>
      </c>
      <c r="D10" s="151">
        <f>ROUND(C10*$B$7,2)</f>
        <v>0</v>
      </c>
      <c r="E10" s="100"/>
      <c r="F10" s="100"/>
    </row>
    <row r="11" spans="1:6">
      <c r="A11" s="143" t="s">
        <v>2</v>
      </c>
      <c r="B11" s="282">
        <v>3</v>
      </c>
      <c r="C11" s="120">
        <f>$B$6*B11</f>
        <v>114174.29999999999</v>
      </c>
      <c r="D11" s="151">
        <f>ROUND(C11*$B$7,2)</f>
        <v>114174.3</v>
      </c>
      <c r="E11" s="100"/>
      <c r="F11" s="100"/>
    </row>
    <row r="12" spans="1:6">
      <c r="A12" s="143" t="s">
        <v>3</v>
      </c>
      <c r="B12" s="282">
        <v>0</v>
      </c>
      <c r="C12" s="120">
        <f>$B$6*B12</f>
        <v>0</v>
      </c>
      <c r="D12" s="151">
        <f t="shared" ref="D12:D25" si="0">ROUND(C12*$B$7,2)</f>
        <v>0</v>
      </c>
      <c r="E12" s="100"/>
      <c r="F12" s="100"/>
    </row>
    <row r="13" spans="1:6">
      <c r="A13" s="143" t="s">
        <v>4</v>
      </c>
      <c r="B13" s="282">
        <v>1</v>
      </c>
      <c r="C13" s="120">
        <f t="shared" ref="C13:C25" si="1">$B$6*B13</f>
        <v>38058.1</v>
      </c>
      <c r="D13" s="151">
        <f t="shared" si="0"/>
        <v>38058.1</v>
      </c>
      <c r="E13" s="100"/>
      <c r="F13" s="100"/>
    </row>
    <row r="14" spans="1:6">
      <c r="A14" s="143" t="s">
        <v>5</v>
      </c>
      <c r="B14" s="282">
        <v>2</v>
      </c>
      <c r="C14" s="120">
        <f t="shared" si="1"/>
        <v>76116.2</v>
      </c>
      <c r="D14" s="151">
        <f t="shared" si="0"/>
        <v>76116.2</v>
      </c>
      <c r="E14" s="100"/>
      <c r="F14" s="100"/>
    </row>
    <row r="15" spans="1:6">
      <c r="A15" s="143" t="s">
        <v>6</v>
      </c>
      <c r="B15" s="282">
        <v>0</v>
      </c>
      <c r="C15" s="120">
        <f t="shared" si="1"/>
        <v>0</v>
      </c>
      <c r="D15" s="151">
        <f t="shared" si="0"/>
        <v>0</v>
      </c>
      <c r="E15" s="100"/>
      <c r="F15" s="100"/>
    </row>
    <row r="16" spans="1:6">
      <c r="A16" s="143" t="s">
        <v>7</v>
      </c>
      <c r="B16" s="282">
        <v>10</v>
      </c>
      <c r="C16" s="120">
        <f t="shared" si="1"/>
        <v>380581</v>
      </c>
      <c r="D16" s="151">
        <f t="shared" si="0"/>
        <v>380581</v>
      </c>
      <c r="E16" s="100"/>
      <c r="F16" s="100"/>
    </row>
    <row r="17" spans="1:10">
      <c r="A17" s="143" t="s">
        <v>8</v>
      </c>
      <c r="B17" s="282">
        <v>0</v>
      </c>
      <c r="C17" s="120">
        <f t="shared" si="1"/>
        <v>0</v>
      </c>
      <c r="D17" s="151">
        <f t="shared" si="0"/>
        <v>0</v>
      </c>
      <c r="E17" s="100"/>
      <c r="F17" s="100"/>
    </row>
    <row r="18" spans="1:10">
      <c r="A18" s="143" t="s">
        <v>9</v>
      </c>
      <c r="B18" s="282">
        <v>0</v>
      </c>
      <c r="C18" s="120">
        <f t="shared" si="1"/>
        <v>0</v>
      </c>
      <c r="D18" s="151">
        <f t="shared" si="0"/>
        <v>0</v>
      </c>
      <c r="E18" s="100"/>
      <c r="F18" s="100"/>
    </row>
    <row r="19" spans="1:10">
      <c r="A19" s="143" t="s">
        <v>10</v>
      </c>
      <c r="B19" s="282">
        <v>3</v>
      </c>
      <c r="C19" s="120">
        <f t="shared" si="1"/>
        <v>114174.29999999999</v>
      </c>
      <c r="D19" s="151">
        <f t="shared" si="0"/>
        <v>114174.3</v>
      </c>
      <c r="E19" s="100"/>
      <c r="F19" s="100"/>
    </row>
    <row r="20" spans="1:10">
      <c r="A20" s="143" t="s">
        <v>11</v>
      </c>
      <c r="B20" s="282">
        <v>1</v>
      </c>
      <c r="C20" s="120">
        <f t="shared" si="1"/>
        <v>38058.1</v>
      </c>
      <c r="D20" s="151">
        <f t="shared" si="0"/>
        <v>38058.1</v>
      </c>
      <c r="E20" s="100"/>
      <c r="F20" s="100"/>
    </row>
    <row r="21" spans="1:10">
      <c r="A21" s="143" t="s">
        <v>12</v>
      </c>
      <c r="B21" s="282">
        <v>4</v>
      </c>
      <c r="C21" s="120">
        <f t="shared" si="1"/>
        <v>152232.4</v>
      </c>
      <c r="D21" s="151">
        <f t="shared" si="0"/>
        <v>152232.4</v>
      </c>
      <c r="E21" s="100"/>
      <c r="F21" s="100"/>
      <c r="G21" s="4"/>
      <c r="H21" s="99"/>
    </row>
    <row r="22" spans="1:10">
      <c r="A22" s="143" t="s">
        <v>13</v>
      </c>
      <c r="B22" s="282">
        <v>0</v>
      </c>
      <c r="C22" s="120">
        <f t="shared" si="1"/>
        <v>0</v>
      </c>
      <c r="D22" s="151">
        <f t="shared" si="0"/>
        <v>0</v>
      </c>
      <c r="E22" s="100"/>
      <c r="F22" s="100"/>
      <c r="G22" s="4"/>
    </row>
    <row r="23" spans="1:10">
      <c r="A23" s="143" t="s">
        <v>14</v>
      </c>
      <c r="B23" s="282">
        <v>2</v>
      </c>
      <c r="C23" s="120">
        <f t="shared" si="1"/>
        <v>76116.2</v>
      </c>
      <c r="D23" s="151">
        <f t="shared" si="0"/>
        <v>76116.2</v>
      </c>
      <c r="E23" s="100"/>
      <c r="F23" s="100"/>
    </row>
    <row r="24" spans="1:10">
      <c r="A24" s="143" t="s">
        <v>15</v>
      </c>
      <c r="B24" s="282">
        <v>1</v>
      </c>
      <c r="C24" s="120">
        <f t="shared" si="1"/>
        <v>38058.1</v>
      </c>
      <c r="D24" s="151">
        <f t="shared" si="0"/>
        <v>38058.1</v>
      </c>
      <c r="E24" s="100"/>
      <c r="F24" s="100"/>
    </row>
    <row r="25" spans="1:10" ht="15" thickBot="1">
      <c r="A25" s="135" t="s">
        <v>16</v>
      </c>
      <c r="B25" s="284">
        <v>5</v>
      </c>
      <c r="C25" s="121">
        <f t="shared" si="1"/>
        <v>190290.5</v>
      </c>
      <c r="D25" s="153">
        <f t="shared" si="0"/>
        <v>190290.5</v>
      </c>
      <c r="E25" s="100"/>
      <c r="F25" s="100"/>
      <c r="G25" s="4"/>
      <c r="J25" s="100" t="s">
        <v>188</v>
      </c>
    </row>
    <row r="26" spans="1:10" ht="15.5" thickTop="1" thickBot="1">
      <c r="A26" s="143" t="s">
        <v>18</v>
      </c>
      <c r="B26" s="286">
        <v>32</v>
      </c>
      <c r="C26" s="287">
        <f>SUM(C10:C25)</f>
        <v>1217859.1999999997</v>
      </c>
      <c r="D26" s="155">
        <f>SUM(D10:D25)</f>
        <v>1217859.2</v>
      </c>
      <c r="F26" s="100"/>
      <c r="J26" s="128">
        <f>D26-'Skola, STR &amp; Spcfr'!C23</f>
        <v>0</v>
      </c>
    </row>
    <row r="27" spans="1:10" ht="15" thickTop="1">
      <c r="A27" s="100"/>
      <c r="B27" s="100"/>
      <c r="C27" s="100"/>
      <c r="D27" s="100"/>
      <c r="E27" s="100"/>
      <c r="F27" s="100"/>
    </row>
    <row r="28" spans="1:10">
      <c r="A28" s="67" t="s">
        <v>435</v>
      </c>
      <c r="B28" s="100"/>
      <c r="C28" s="100"/>
      <c r="D28" s="100"/>
      <c r="E28" s="100"/>
      <c r="F28" s="100"/>
    </row>
    <row r="29" spans="1:10">
      <c r="A29" s="67" t="s">
        <v>49</v>
      </c>
      <c r="B29" s="94">
        <v>44830</v>
      </c>
      <c r="C29" s="100"/>
      <c r="D29" s="100"/>
      <c r="E29" s="100"/>
      <c r="F29" s="100"/>
    </row>
    <row r="30" spans="1:10">
      <c r="A30" s="100"/>
      <c r="B30" s="100"/>
      <c r="C30" s="100"/>
      <c r="D30" s="100"/>
      <c r="E30" s="100"/>
      <c r="F30" s="10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0D301-CF72-4CAE-8552-7ED828B436C3}">
  <dimension ref="A1:O32"/>
  <sheetViews>
    <sheetView zoomScaleNormal="100" workbookViewId="0">
      <selection activeCell="G15" sqref="G15"/>
    </sheetView>
  </sheetViews>
  <sheetFormatPr defaultColWidth="8.765625" defaultRowHeight="14.5"/>
  <cols>
    <col min="1" max="1" width="14.69140625" style="7" customWidth="1"/>
    <col min="2" max="2" width="10.765625" style="7" customWidth="1"/>
    <col min="3" max="3" width="10" style="7" customWidth="1"/>
    <col min="4" max="4" width="9.69140625" style="7" customWidth="1"/>
    <col min="5" max="5" width="11.07421875" style="7" bestFit="1" customWidth="1"/>
    <col min="6" max="6" width="8.765625" style="7"/>
    <col min="7" max="8" width="9.84375" style="7" bestFit="1" customWidth="1"/>
    <col min="9" max="16384" width="8.765625" style="7"/>
  </cols>
  <sheetData>
    <row r="1" spans="1:11" ht="15.5">
      <c r="A1" s="17" t="s">
        <v>443</v>
      </c>
    </row>
    <row r="2" spans="1:11">
      <c r="A2" s="7" t="s">
        <v>38</v>
      </c>
    </row>
    <row r="4" spans="1:11">
      <c r="A4" s="67" t="s">
        <v>378</v>
      </c>
      <c r="B4" s="100"/>
      <c r="C4" s="100"/>
      <c r="D4" s="100"/>
      <c r="E4" s="100"/>
      <c r="F4" s="100"/>
    </row>
    <row r="5" spans="1:11">
      <c r="A5" s="100"/>
      <c r="B5" s="100"/>
      <c r="C5" s="100"/>
      <c r="D5" s="100"/>
      <c r="E5" s="100"/>
      <c r="F5" s="100"/>
      <c r="H5" s="672"/>
      <c r="I5" s="672"/>
      <c r="J5" s="672"/>
      <c r="K5" s="672"/>
    </row>
    <row r="6" spans="1:11" ht="16.149999999999999" customHeight="1">
      <c r="A6" s="211" t="s">
        <v>64</v>
      </c>
      <c r="B6" s="220">
        <f>Basbelopp!Y77</f>
        <v>11385.34</v>
      </c>
      <c r="C6" s="100"/>
      <c r="E6" s="100"/>
      <c r="F6" s="100"/>
      <c r="H6" s="672"/>
      <c r="I6" s="672"/>
      <c r="J6" s="672"/>
      <c r="K6" s="672"/>
    </row>
    <row r="7" spans="1:11">
      <c r="A7" s="143" t="s">
        <v>20</v>
      </c>
      <c r="B7" s="281">
        <v>1</v>
      </c>
      <c r="C7" s="100"/>
      <c r="D7" s="100"/>
      <c r="E7" s="100"/>
      <c r="F7" s="100"/>
      <c r="H7" s="672"/>
      <c r="I7" s="672"/>
      <c r="J7" s="672"/>
      <c r="K7" s="672"/>
    </row>
    <row r="8" spans="1:11">
      <c r="A8" s="100"/>
      <c r="B8" s="281"/>
      <c r="C8" s="100"/>
      <c r="D8" s="100"/>
      <c r="E8" s="100"/>
      <c r="F8" s="100"/>
      <c r="H8" s="672"/>
      <c r="I8" s="672"/>
      <c r="J8" s="672"/>
      <c r="K8" s="672"/>
    </row>
    <row r="9" spans="1:11">
      <c r="A9" s="136"/>
      <c r="B9" s="135" t="s">
        <v>35</v>
      </c>
      <c r="C9" s="135" t="s">
        <v>39</v>
      </c>
      <c r="D9" s="238" t="s">
        <v>319</v>
      </c>
      <c r="E9" s="100"/>
      <c r="F9" s="100"/>
      <c r="H9" s="673"/>
      <c r="I9" s="673"/>
      <c r="J9" s="674"/>
      <c r="K9" s="672"/>
    </row>
    <row r="10" spans="1:11">
      <c r="A10" s="143" t="s">
        <v>1</v>
      </c>
      <c r="B10" s="282">
        <v>4</v>
      </c>
      <c r="C10" s="120">
        <f>$B$6*B10</f>
        <v>45541.36</v>
      </c>
      <c r="D10" s="151">
        <f>ROUND(C10*$B$7,2)</f>
        <v>45541.36</v>
      </c>
      <c r="E10" s="100"/>
      <c r="F10" s="100"/>
      <c r="H10" s="672"/>
      <c r="I10" s="672"/>
      <c r="J10" s="675"/>
      <c r="K10" s="672"/>
    </row>
    <row r="11" spans="1:11">
      <c r="A11" s="143" t="s">
        <v>2</v>
      </c>
      <c r="B11" s="282">
        <v>2</v>
      </c>
      <c r="C11" s="120">
        <f>$B$6*B11</f>
        <v>22770.68</v>
      </c>
      <c r="D11" s="151">
        <f>ROUND(C11*$B$7,2)</f>
        <v>22770.68</v>
      </c>
      <c r="E11" s="100"/>
      <c r="F11" s="100"/>
      <c r="H11" s="672"/>
      <c r="I11" s="672"/>
      <c r="J11" s="675"/>
      <c r="K11" s="672"/>
    </row>
    <row r="12" spans="1:11">
      <c r="A12" s="143" t="s">
        <v>3</v>
      </c>
      <c r="B12" s="282">
        <v>7</v>
      </c>
      <c r="C12" s="120">
        <f>$B$6*B12</f>
        <v>79697.38</v>
      </c>
      <c r="D12" s="151">
        <f t="shared" ref="D12:D25" si="0">ROUND(C12*$B$7,2)</f>
        <v>79697.38</v>
      </c>
      <c r="E12" s="100"/>
      <c r="F12" s="100"/>
      <c r="H12" s="672"/>
      <c r="I12" s="672"/>
      <c r="J12" s="675"/>
      <c r="K12" s="672"/>
    </row>
    <row r="13" spans="1:11">
      <c r="A13" s="143" t="s">
        <v>4</v>
      </c>
      <c r="B13" s="282">
        <v>3</v>
      </c>
      <c r="C13" s="120">
        <f t="shared" ref="C13:C25" si="1">$B$6*B13</f>
        <v>34156.020000000004</v>
      </c>
      <c r="D13" s="151">
        <f t="shared" si="0"/>
        <v>34156.019999999997</v>
      </c>
      <c r="E13" s="100"/>
      <c r="F13" s="100"/>
      <c r="H13" s="672"/>
      <c r="I13" s="672"/>
      <c r="J13" s="675"/>
      <c r="K13" s="672"/>
    </row>
    <row r="14" spans="1:11">
      <c r="A14" s="143" t="s">
        <v>5</v>
      </c>
      <c r="B14" s="282">
        <v>5</v>
      </c>
      <c r="C14" s="120">
        <f t="shared" si="1"/>
        <v>56926.7</v>
      </c>
      <c r="D14" s="151">
        <f t="shared" si="0"/>
        <v>56926.7</v>
      </c>
      <c r="E14" s="100"/>
      <c r="F14" s="100"/>
      <c r="H14" s="672"/>
      <c r="I14" s="672"/>
      <c r="J14" s="675"/>
      <c r="K14" s="672"/>
    </row>
    <row r="15" spans="1:11">
      <c r="A15" s="143" t="s">
        <v>6</v>
      </c>
      <c r="B15" s="282">
        <v>8</v>
      </c>
      <c r="C15" s="120">
        <f t="shared" si="1"/>
        <v>91082.72</v>
      </c>
      <c r="D15" s="151">
        <f t="shared" si="0"/>
        <v>91082.72</v>
      </c>
      <c r="E15" s="100"/>
      <c r="F15" s="100"/>
      <c r="H15" s="672"/>
      <c r="I15" s="672"/>
      <c r="J15" s="675"/>
      <c r="K15" s="672"/>
    </row>
    <row r="16" spans="1:11">
      <c r="A16" s="143" t="s">
        <v>7</v>
      </c>
      <c r="B16" s="282">
        <v>7</v>
      </c>
      <c r="C16" s="120">
        <f t="shared" si="1"/>
        <v>79697.38</v>
      </c>
      <c r="D16" s="151">
        <f t="shared" si="0"/>
        <v>79697.38</v>
      </c>
      <c r="E16" s="100"/>
      <c r="F16" s="100"/>
      <c r="H16" s="672"/>
      <c r="I16" s="672"/>
      <c r="J16" s="675"/>
      <c r="K16" s="672"/>
    </row>
    <row r="17" spans="1:15">
      <c r="A17" s="143" t="s">
        <v>8</v>
      </c>
      <c r="B17" s="282">
        <v>6</v>
      </c>
      <c r="C17" s="120">
        <f t="shared" si="1"/>
        <v>68312.040000000008</v>
      </c>
      <c r="D17" s="151">
        <f t="shared" si="0"/>
        <v>68312.039999999994</v>
      </c>
      <c r="E17" s="100"/>
      <c r="F17" s="100"/>
      <c r="H17" s="672"/>
      <c r="I17" s="672"/>
      <c r="J17" s="675"/>
      <c r="K17" s="672"/>
    </row>
    <row r="18" spans="1:15">
      <c r="A18" s="143" t="s">
        <v>9</v>
      </c>
      <c r="B18" s="282">
        <v>0</v>
      </c>
      <c r="C18" s="120">
        <f t="shared" si="1"/>
        <v>0</v>
      </c>
      <c r="D18" s="151">
        <f t="shared" si="0"/>
        <v>0</v>
      </c>
      <c r="E18" s="100"/>
      <c r="F18" s="100"/>
      <c r="H18" s="672"/>
      <c r="I18" s="672"/>
      <c r="J18" s="675"/>
      <c r="K18" s="672"/>
    </row>
    <row r="19" spans="1:15">
      <c r="A19" s="143" t="s">
        <v>10</v>
      </c>
      <c r="B19" s="282">
        <v>4</v>
      </c>
      <c r="C19" s="120">
        <f t="shared" si="1"/>
        <v>45541.36</v>
      </c>
      <c r="D19" s="151">
        <f t="shared" si="0"/>
        <v>45541.36</v>
      </c>
      <c r="E19" s="100"/>
      <c r="F19" s="100"/>
      <c r="H19" s="672"/>
      <c r="I19" s="672"/>
      <c r="J19" s="675"/>
      <c r="K19" s="672"/>
    </row>
    <row r="20" spans="1:15">
      <c r="A20" s="143" t="s">
        <v>11</v>
      </c>
      <c r="B20" s="282">
        <v>3</v>
      </c>
      <c r="C20" s="120">
        <f t="shared" si="1"/>
        <v>34156.020000000004</v>
      </c>
      <c r="D20" s="151">
        <f t="shared" si="0"/>
        <v>34156.019999999997</v>
      </c>
      <c r="E20" s="100"/>
      <c r="F20" s="100"/>
      <c r="H20" s="672"/>
      <c r="I20" s="672"/>
      <c r="J20" s="675"/>
      <c r="K20" s="672"/>
    </row>
    <row r="21" spans="1:15">
      <c r="A21" s="143" t="s">
        <v>12</v>
      </c>
      <c r="B21" s="282">
        <v>14</v>
      </c>
      <c r="C21" s="120">
        <f t="shared" si="1"/>
        <v>159394.76</v>
      </c>
      <c r="D21" s="151">
        <f t="shared" si="0"/>
        <v>159394.76</v>
      </c>
      <c r="E21" s="100"/>
      <c r="F21" s="100"/>
      <c r="G21" s="4"/>
      <c r="H21" s="672"/>
      <c r="I21" s="672"/>
      <c r="J21" s="675"/>
      <c r="K21" s="672"/>
    </row>
    <row r="22" spans="1:15">
      <c r="A22" s="143" t="s">
        <v>13</v>
      </c>
      <c r="B22" s="282">
        <v>0</v>
      </c>
      <c r="C22" s="120">
        <f t="shared" si="1"/>
        <v>0</v>
      </c>
      <c r="D22" s="151">
        <f t="shared" si="0"/>
        <v>0</v>
      </c>
      <c r="E22" s="100"/>
      <c r="F22" s="100"/>
      <c r="G22" s="4"/>
      <c r="H22" s="672"/>
      <c r="I22" s="672"/>
      <c r="J22" s="675"/>
      <c r="K22" s="672"/>
    </row>
    <row r="23" spans="1:15">
      <c r="A23" s="143" t="s">
        <v>14</v>
      </c>
      <c r="B23" s="282">
        <v>1</v>
      </c>
      <c r="C23" s="120">
        <f t="shared" si="1"/>
        <v>11385.34</v>
      </c>
      <c r="D23" s="151">
        <f t="shared" si="0"/>
        <v>11385.34</v>
      </c>
      <c r="E23" s="100"/>
      <c r="F23" s="100"/>
      <c r="H23" s="672"/>
      <c r="I23" s="672"/>
      <c r="J23" s="675"/>
      <c r="K23" s="672"/>
    </row>
    <row r="24" spans="1:15">
      <c r="A24" s="143" t="s">
        <v>15</v>
      </c>
      <c r="B24" s="282">
        <v>2</v>
      </c>
      <c r="C24" s="120">
        <f t="shared" si="1"/>
        <v>22770.68</v>
      </c>
      <c r="D24" s="151">
        <f t="shared" si="0"/>
        <v>22770.68</v>
      </c>
      <c r="E24" s="100"/>
      <c r="F24" s="100"/>
      <c r="H24" s="672"/>
      <c r="I24" s="672"/>
      <c r="J24" s="675"/>
      <c r="K24" s="672"/>
    </row>
    <row r="25" spans="1:15" ht="15" thickBot="1">
      <c r="A25" s="135" t="s">
        <v>16</v>
      </c>
      <c r="B25" s="284">
        <v>40</v>
      </c>
      <c r="C25" s="121">
        <f t="shared" si="1"/>
        <v>455413.6</v>
      </c>
      <c r="D25" s="153">
        <f t="shared" si="0"/>
        <v>455413.6</v>
      </c>
      <c r="E25" s="100"/>
      <c r="F25" s="100"/>
      <c r="G25" s="4"/>
      <c r="H25" s="672"/>
      <c r="I25" s="672"/>
      <c r="J25" s="672"/>
      <c r="K25" s="672"/>
      <c r="O25" s="100" t="s">
        <v>188</v>
      </c>
    </row>
    <row r="26" spans="1:15" ht="15.5" thickTop="1" thickBot="1">
      <c r="A26" s="143" t="s">
        <v>18</v>
      </c>
      <c r="B26" s="286">
        <v>106</v>
      </c>
      <c r="C26" s="287">
        <f>SUM(C10:C25)</f>
        <v>1206846.04</v>
      </c>
      <c r="D26" s="155">
        <f>SUM(D10:D25)</f>
        <v>1206846.04</v>
      </c>
      <c r="F26" s="100"/>
      <c r="H26" s="672"/>
      <c r="I26" s="672"/>
      <c r="J26" s="672"/>
      <c r="K26" s="672"/>
      <c r="O26" s="128">
        <f>D26-'Skola, STR &amp; Spcfr'!F23</f>
        <v>0</v>
      </c>
    </row>
    <row r="27" spans="1:15" ht="15" thickTop="1">
      <c r="A27" s="100"/>
      <c r="B27" s="100"/>
      <c r="C27" s="100"/>
      <c r="D27" s="100"/>
      <c r="E27" s="100"/>
      <c r="F27" s="100"/>
      <c r="H27" s="672"/>
      <c r="I27" s="672"/>
      <c r="J27" s="672"/>
      <c r="K27" s="672"/>
    </row>
    <row r="28" spans="1:15">
      <c r="A28" s="67" t="s">
        <v>435</v>
      </c>
      <c r="B28" s="100"/>
      <c r="C28" s="100"/>
      <c r="D28" s="100"/>
      <c r="E28" s="100"/>
      <c r="F28" s="100"/>
      <c r="H28" s="672"/>
      <c r="I28" s="672"/>
      <c r="J28" s="672"/>
      <c r="K28" s="672"/>
    </row>
    <row r="29" spans="1:15">
      <c r="A29" s="67" t="s">
        <v>49</v>
      </c>
      <c r="B29" s="94"/>
      <c r="C29" s="100"/>
      <c r="D29" s="100"/>
      <c r="E29" s="100"/>
      <c r="F29" s="100"/>
      <c r="H29" s="672"/>
      <c r="I29" s="672"/>
      <c r="J29" s="672"/>
      <c r="K29" s="672"/>
    </row>
    <row r="30" spans="1:15">
      <c r="A30" s="100"/>
      <c r="B30" s="100"/>
      <c r="C30" s="100"/>
      <c r="D30" s="100"/>
      <c r="E30" s="100"/>
      <c r="F30" s="100"/>
      <c r="H30" s="672"/>
      <c r="I30" s="672"/>
      <c r="J30" s="672"/>
      <c r="K30" s="672"/>
    </row>
    <row r="31" spans="1:15">
      <c r="H31" s="672"/>
      <c r="I31" s="672"/>
      <c r="J31" s="672"/>
      <c r="K31" s="672"/>
    </row>
    <row r="32" spans="1:15">
      <c r="C32" s="473" t="s">
        <v>436</v>
      </c>
      <c r="H32" s="672"/>
      <c r="I32" s="672"/>
      <c r="J32" s="672"/>
      <c r="K32" s="67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C3CF-A681-49A4-9B23-C2C434A3A893}">
  <dimension ref="A1:J32"/>
  <sheetViews>
    <sheetView topLeftCell="A3" zoomScaleNormal="100" workbookViewId="0">
      <selection activeCell="F30" sqref="F30"/>
    </sheetView>
  </sheetViews>
  <sheetFormatPr defaultColWidth="8.765625" defaultRowHeight="14.5"/>
  <cols>
    <col min="1" max="1" width="14.69140625" style="7" customWidth="1"/>
    <col min="2" max="2" width="10.765625" style="7" customWidth="1"/>
    <col min="3" max="3" width="10" style="7" customWidth="1"/>
    <col min="4" max="4" width="9.69140625" style="7" customWidth="1"/>
    <col min="5" max="5" width="11.07421875" style="7" bestFit="1" customWidth="1"/>
    <col min="6" max="6" width="8.765625" style="7"/>
    <col min="7" max="8" width="9.84375" style="7" bestFit="1" customWidth="1"/>
    <col min="9" max="16384" width="8.765625" style="7"/>
  </cols>
  <sheetData>
    <row r="1" spans="1:8" ht="15.5">
      <c r="A1" s="17" t="s">
        <v>373</v>
      </c>
    </row>
    <row r="2" spans="1:8">
      <c r="A2" s="7" t="s">
        <v>38</v>
      </c>
    </row>
    <row r="4" spans="1:8">
      <c r="A4" s="67" t="s">
        <v>378</v>
      </c>
      <c r="B4" s="100"/>
      <c r="C4" s="100"/>
      <c r="D4" s="100"/>
      <c r="E4" s="100"/>
      <c r="F4" s="100"/>
    </row>
    <row r="5" spans="1:8">
      <c r="A5" s="100"/>
      <c r="B5" s="100"/>
      <c r="C5" s="100"/>
      <c r="D5" s="100"/>
      <c r="E5" s="100"/>
      <c r="F5" s="100"/>
    </row>
    <row r="6" spans="1:8" ht="16.149999999999999" customHeight="1">
      <c r="A6" s="211" t="s">
        <v>64</v>
      </c>
      <c r="B6" s="220">
        <f>Basbelopp!Y78</f>
        <v>12849.26</v>
      </c>
      <c r="C6" s="100"/>
      <c r="E6" s="100"/>
      <c r="F6" s="134"/>
      <c r="G6" s="672"/>
      <c r="H6" s="672"/>
    </row>
    <row r="7" spans="1:8">
      <c r="A7" s="143" t="s">
        <v>20</v>
      </c>
      <c r="B7" s="281">
        <v>1</v>
      </c>
      <c r="C7" s="100"/>
      <c r="D7" s="100"/>
      <c r="E7" s="100"/>
      <c r="F7" s="134"/>
      <c r="G7" s="672"/>
      <c r="H7" s="672"/>
    </row>
    <row r="8" spans="1:8">
      <c r="A8" s="100"/>
      <c r="B8" s="281"/>
      <c r="C8" s="100"/>
      <c r="D8" s="100"/>
      <c r="E8" s="100"/>
      <c r="F8" s="134"/>
      <c r="G8" s="672"/>
      <c r="H8" s="672"/>
    </row>
    <row r="9" spans="1:8">
      <c r="A9" s="136"/>
      <c r="B9" s="135" t="s">
        <v>35</v>
      </c>
      <c r="C9" s="135" t="s">
        <v>39</v>
      </c>
      <c r="D9" s="238" t="s">
        <v>319</v>
      </c>
      <c r="E9" s="100"/>
      <c r="F9" s="673"/>
      <c r="G9" s="673"/>
      <c r="H9" s="674"/>
    </row>
    <row r="10" spans="1:8">
      <c r="A10" s="143" t="s">
        <v>1</v>
      </c>
      <c r="B10" s="282">
        <v>0</v>
      </c>
      <c r="C10" s="120">
        <f>$B$6*B10</f>
        <v>0</v>
      </c>
      <c r="D10" s="151">
        <f>ROUND(C10*$B$7,2)</f>
        <v>0</v>
      </c>
      <c r="E10" s="100"/>
      <c r="F10" s="672"/>
      <c r="G10" s="672"/>
      <c r="H10" s="675"/>
    </row>
    <row r="11" spans="1:8">
      <c r="A11" s="143" t="s">
        <v>2</v>
      </c>
      <c r="B11" s="282">
        <v>0</v>
      </c>
      <c r="C11" s="120">
        <f>$B$6*B11</f>
        <v>0</v>
      </c>
      <c r="D11" s="151">
        <f>ROUND(C11*$B$7,2)</f>
        <v>0</v>
      </c>
      <c r="E11" s="100"/>
      <c r="F11" s="672"/>
      <c r="G11" s="672"/>
      <c r="H11" s="675"/>
    </row>
    <row r="12" spans="1:8">
      <c r="A12" s="143" t="s">
        <v>3</v>
      </c>
      <c r="B12" s="282">
        <v>1</v>
      </c>
      <c r="C12" s="120">
        <f>$B$6*B12</f>
        <v>12849.26</v>
      </c>
      <c r="D12" s="151">
        <f t="shared" ref="D12:D25" si="0">ROUND(C12*$B$7,2)</f>
        <v>12849.26</v>
      </c>
      <c r="E12" s="100"/>
      <c r="F12" s="676"/>
      <c r="G12" s="672"/>
      <c r="H12" s="675"/>
    </row>
    <row r="13" spans="1:8">
      <c r="A13" s="143" t="s">
        <v>4</v>
      </c>
      <c r="B13" s="282">
        <v>0</v>
      </c>
      <c r="C13" s="120">
        <f t="shared" ref="C13:C25" si="1">$B$6*B13</f>
        <v>0</v>
      </c>
      <c r="D13" s="151">
        <f t="shared" si="0"/>
        <v>0</v>
      </c>
      <c r="E13" s="100"/>
      <c r="F13" s="672"/>
      <c r="G13" s="672"/>
      <c r="H13" s="675"/>
    </row>
    <row r="14" spans="1:8">
      <c r="A14" s="143" t="s">
        <v>5</v>
      </c>
      <c r="B14" s="282">
        <v>0</v>
      </c>
      <c r="C14" s="120">
        <f t="shared" si="1"/>
        <v>0</v>
      </c>
      <c r="D14" s="151">
        <f t="shared" si="0"/>
        <v>0</v>
      </c>
      <c r="E14" s="100"/>
      <c r="F14" s="672"/>
      <c r="G14" s="672"/>
      <c r="H14" s="675"/>
    </row>
    <row r="15" spans="1:8">
      <c r="A15" s="143" t="s">
        <v>6</v>
      </c>
      <c r="B15" s="282">
        <v>0</v>
      </c>
      <c r="C15" s="120">
        <f t="shared" si="1"/>
        <v>0</v>
      </c>
      <c r="D15" s="151">
        <f t="shared" si="0"/>
        <v>0</v>
      </c>
      <c r="E15" s="100"/>
      <c r="F15" s="672"/>
      <c r="G15" s="672"/>
      <c r="H15" s="675"/>
    </row>
    <row r="16" spans="1:8">
      <c r="A16" s="143" t="s">
        <v>7</v>
      </c>
      <c r="B16" s="282">
        <v>0</v>
      </c>
      <c r="C16" s="120">
        <f t="shared" si="1"/>
        <v>0</v>
      </c>
      <c r="D16" s="151">
        <f t="shared" si="0"/>
        <v>0</v>
      </c>
      <c r="E16" s="100"/>
      <c r="F16" s="672"/>
      <c r="G16" s="672"/>
      <c r="H16" s="675"/>
    </row>
    <row r="17" spans="1:10">
      <c r="A17" s="143" t="s">
        <v>8</v>
      </c>
      <c r="B17" s="282">
        <v>2</v>
      </c>
      <c r="C17" s="120">
        <f t="shared" si="1"/>
        <v>25698.52</v>
      </c>
      <c r="D17" s="151">
        <f t="shared" si="0"/>
        <v>25698.52</v>
      </c>
      <c r="E17" s="100"/>
      <c r="F17" s="672"/>
      <c r="G17" s="672"/>
      <c r="H17" s="675"/>
    </row>
    <row r="18" spans="1:10">
      <c r="A18" s="143" t="s">
        <v>9</v>
      </c>
      <c r="B18" s="282">
        <v>0</v>
      </c>
      <c r="C18" s="120">
        <f t="shared" si="1"/>
        <v>0</v>
      </c>
      <c r="D18" s="151">
        <f t="shared" si="0"/>
        <v>0</v>
      </c>
      <c r="E18" s="100"/>
      <c r="F18" s="672"/>
      <c r="G18" s="672"/>
      <c r="H18" s="675"/>
    </row>
    <row r="19" spans="1:10">
      <c r="A19" s="143" t="s">
        <v>10</v>
      </c>
      <c r="B19" s="282">
        <v>0</v>
      </c>
      <c r="C19" s="120">
        <f t="shared" si="1"/>
        <v>0</v>
      </c>
      <c r="D19" s="151">
        <f t="shared" si="0"/>
        <v>0</v>
      </c>
      <c r="E19" s="100"/>
      <c r="F19" s="672"/>
      <c r="G19" s="672"/>
      <c r="H19" s="675"/>
    </row>
    <row r="20" spans="1:10">
      <c r="A20" s="143" t="s">
        <v>11</v>
      </c>
      <c r="B20" s="282">
        <v>0</v>
      </c>
      <c r="C20" s="120">
        <f t="shared" si="1"/>
        <v>0</v>
      </c>
      <c r="D20" s="151">
        <f t="shared" si="0"/>
        <v>0</v>
      </c>
      <c r="E20" s="100"/>
      <c r="F20" s="672"/>
      <c r="G20" s="672"/>
      <c r="H20" s="675"/>
    </row>
    <row r="21" spans="1:10">
      <c r="A21" s="143" t="s">
        <v>12</v>
      </c>
      <c r="B21" s="282">
        <v>0</v>
      </c>
      <c r="C21" s="120">
        <f t="shared" si="1"/>
        <v>0</v>
      </c>
      <c r="D21" s="151">
        <f t="shared" si="0"/>
        <v>0</v>
      </c>
      <c r="E21" s="100"/>
      <c r="F21" s="672"/>
      <c r="G21" s="672"/>
      <c r="H21" s="675"/>
    </row>
    <row r="22" spans="1:10">
      <c r="A22" s="143" t="s">
        <v>13</v>
      </c>
      <c r="B22" s="282">
        <v>0</v>
      </c>
      <c r="C22" s="120">
        <f t="shared" si="1"/>
        <v>0</v>
      </c>
      <c r="D22" s="151">
        <f t="shared" si="0"/>
        <v>0</v>
      </c>
      <c r="E22" s="100"/>
      <c r="F22" s="672"/>
      <c r="G22" s="672"/>
      <c r="H22" s="675"/>
    </row>
    <row r="23" spans="1:10">
      <c r="A23" s="143" t="s">
        <v>14</v>
      </c>
      <c r="B23" s="282">
        <v>0</v>
      </c>
      <c r="C23" s="120">
        <f t="shared" si="1"/>
        <v>0</v>
      </c>
      <c r="D23" s="151">
        <f t="shared" si="0"/>
        <v>0</v>
      </c>
      <c r="E23" s="100"/>
      <c r="F23" s="672"/>
      <c r="G23" s="672"/>
      <c r="H23" s="675"/>
    </row>
    <row r="24" spans="1:10">
      <c r="A24" s="143" t="s">
        <v>15</v>
      </c>
      <c r="B24" s="282">
        <v>0</v>
      </c>
      <c r="C24" s="120">
        <f t="shared" si="1"/>
        <v>0</v>
      </c>
      <c r="D24" s="151">
        <f t="shared" si="0"/>
        <v>0</v>
      </c>
      <c r="E24" s="100"/>
      <c r="F24" s="672"/>
      <c r="G24" s="672"/>
      <c r="H24" s="675"/>
    </row>
    <row r="25" spans="1:10" ht="15" thickBot="1">
      <c r="A25" s="135" t="s">
        <v>16</v>
      </c>
      <c r="B25" s="284">
        <v>4</v>
      </c>
      <c r="C25" s="121">
        <f t="shared" si="1"/>
        <v>51397.04</v>
      </c>
      <c r="D25" s="153">
        <f t="shared" si="0"/>
        <v>51397.04</v>
      </c>
      <c r="E25" s="100"/>
      <c r="F25" s="672"/>
      <c r="G25" s="672"/>
      <c r="H25" s="672"/>
      <c r="J25" s="100" t="s">
        <v>188</v>
      </c>
    </row>
    <row r="26" spans="1:10" ht="15.5" thickTop="1" thickBot="1">
      <c r="A26" s="143" t="s">
        <v>18</v>
      </c>
      <c r="B26" s="286">
        <v>7</v>
      </c>
      <c r="C26" s="287">
        <f>SUM(C10:C25)</f>
        <v>89944.82</v>
      </c>
      <c r="D26" s="155">
        <f>SUM(D10:D25)</f>
        <v>89944.82</v>
      </c>
      <c r="F26" s="672"/>
      <c r="G26" s="672"/>
      <c r="H26" s="672"/>
      <c r="J26" s="128">
        <f>D26-'Skola, STR &amp; Spcfr'!E23</f>
        <v>0</v>
      </c>
    </row>
    <row r="27" spans="1:10" ht="15" thickTop="1">
      <c r="A27" s="100"/>
      <c r="B27" s="100"/>
      <c r="C27" s="100"/>
      <c r="D27" s="100"/>
      <c r="E27" s="100"/>
      <c r="F27" s="672"/>
      <c r="G27" s="672"/>
      <c r="H27" s="672"/>
    </row>
    <row r="28" spans="1:10">
      <c r="A28" s="67" t="s">
        <v>435</v>
      </c>
      <c r="B28" s="100"/>
      <c r="C28" s="100"/>
      <c r="D28" s="100"/>
      <c r="E28" s="100"/>
      <c r="F28" s="672"/>
      <c r="G28" s="672"/>
      <c r="H28" s="672"/>
    </row>
    <row r="29" spans="1:10">
      <c r="A29" s="67" t="s">
        <v>49</v>
      </c>
      <c r="B29" s="94"/>
      <c r="C29" s="100"/>
      <c r="D29" s="100"/>
      <c r="E29" s="100"/>
      <c r="F29" s="134"/>
      <c r="G29" s="672"/>
      <c r="H29" s="672"/>
    </row>
    <row r="30" spans="1:10">
      <c r="A30" s="100"/>
      <c r="B30" s="100"/>
      <c r="C30" s="100"/>
      <c r="D30" s="100"/>
      <c r="E30" s="100"/>
      <c r="F30" s="134"/>
      <c r="G30" s="672"/>
      <c r="H30" s="672"/>
    </row>
    <row r="31" spans="1:10">
      <c r="F31" s="672"/>
      <c r="G31" s="672"/>
      <c r="H31" s="672"/>
    </row>
    <row r="32" spans="1:10">
      <c r="C32" s="473" t="s">
        <v>436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02DD-82EC-4C85-A70D-005B2962E862}">
  <dimension ref="A1:J32"/>
  <sheetViews>
    <sheetView zoomScaleNormal="100" workbookViewId="0">
      <selection activeCell="B7" sqref="B7"/>
    </sheetView>
  </sheetViews>
  <sheetFormatPr defaultColWidth="8.765625" defaultRowHeight="14.5"/>
  <cols>
    <col min="1" max="1" width="14.69140625" style="7" customWidth="1"/>
    <col min="2" max="2" width="10.765625" style="7" customWidth="1"/>
    <col min="3" max="3" width="10" style="7" customWidth="1"/>
    <col min="4" max="4" width="9.69140625" style="7" customWidth="1"/>
    <col min="5" max="5" width="11.07421875" style="7" bestFit="1" customWidth="1"/>
    <col min="6" max="6" width="8.765625" style="7"/>
    <col min="7" max="8" width="9.84375" style="7" bestFit="1" customWidth="1"/>
    <col min="9" max="16384" width="8.765625" style="7"/>
  </cols>
  <sheetData>
    <row r="1" spans="1:6" ht="15.5">
      <c r="A1" s="17" t="s">
        <v>323</v>
      </c>
    </row>
    <row r="2" spans="1:6">
      <c r="A2" s="7" t="s">
        <v>38</v>
      </c>
    </row>
    <row r="4" spans="1:6">
      <c r="A4" s="67" t="s">
        <v>320</v>
      </c>
      <c r="B4" s="100"/>
      <c r="C4" s="100"/>
      <c r="D4" s="100"/>
      <c r="E4" s="100"/>
      <c r="F4" s="100"/>
    </row>
    <row r="5" spans="1:6">
      <c r="A5" s="100"/>
      <c r="B5" s="100"/>
      <c r="C5" s="100"/>
      <c r="D5" s="100"/>
      <c r="E5" s="100"/>
      <c r="F5" s="100"/>
    </row>
    <row r="6" spans="1:6" ht="16.149999999999999" customHeight="1">
      <c r="A6" s="211" t="s">
        <v>64</v>
      </c>
      <c r="B6" s="220">
        <f>Basbelopp!Y76</f>
        <v>10890.82</v>
      </c>
      <c r="C6" s="100"/>
      <c r="E6" s="100"/>
      <c r="F6" s="100"/>
    </row>
    <row r="7" spans="1:6">
      <c r="A7" s="143" t="s">
        <v>20</v>
      </c>
      <c r="B7" s="281">
        <v>1</v>
      </c>
      <c r="C7" s="100"/>
      <c r="D7" s="100"/>
      <c r="E7" s="100"/>
      <c r="F7" s="100"/>
    </row>
    <row r="8" spans="1:6">
      <c r="A8" s="100"/>
      <c r="B8" s="281"/>
      <c r="C8" s="100"/>
      <c r="D8" s="100"/>
      <c r="E8" s="100"/>
      <c r="F8" s="100"/>
    </row>
    <row r="9" spans="1:6">
      <c r="A9" s="136"/>
      <c r="B9" s="135" t="s">
        <v>35</v>
      </c>
      <c r="C9" s="135" t="s">
        <v>39</v>
      </c>
      <c r="D9" s="238" t="s">
        <v>319</v>
      </c>
      <c r="E9" s="100"/>
      <c r="F9" s="100"/>
    </row>
    <row r="10" spans="1:6">
      <c r="A10" s="143" t="s">
        <v>1</v>
      </c>
      <c r="B10" s="282">
        <v>0</v>
      </c>
      <c r="C10" s="120">
        <f>$B$6*B10</f>
        <v>0</v>
      </c>
      <c r="D10" s="151">
        <f>ROUND(C10*$B$7,2)</f>
        <v>0</v>
      </c>
      <c r="E10" s="100"/>
      <c r="F10" s="100"/>
    </row>
    <row r="11" spans="1:6">
      <c r="A11" s="143" t="s">
        <v>2</v>
      </c>
      <c r="B11" s="282">
        <v>1</v>
      </c>
      <c r="C11" s="120">
        <f>$B$6*B11</f>
        <v>10890.82</v>
      </c>
      <c r="D11" s="151">
        <f>ROUND(C11*$B$7,2)</f>
        <v>10890.82</v>
      </c>
      <c r="E11" s="100"/>
      <c r="F11" s="100"/>
    </row>
    <row r="12" spans="1:6">
      <c r="A12" s="143" t="s">
        <v>3</v>
      </c>
      <c r="B12" s="282">
        <v>0</v>
      </c>
      <c r="C12" s="120">
        <f>$B$6*B12</f>
        <v>0</v>
      </c>
      <c r="D12" s="151">
        <f t="shared" ref="D12:D25" si="0">ROUND(C12*$B$7,2)</f>
        <v>0</v>
      </c>
      <c r="E12" s="100"/>
      <c r="F12" s="100"/>
    </row>
    <row r="13" spans="1:6">
      <c r="A13" s="143" t="s">
        <v>4</v>
      </c>
      <c r="B13" s="282">
        <v>0</v>
      </c>
      <c r="C13" s="120">
        <f t="shared" ref="C13:C25" si="1">$B$6*B13</f>
        <v>0</v>
      </c>
      <c r="D13" s="151">
        <f t="shared" si="0"/>
        <v>0</v>
      </c>
      <c r="E13" s="100"/>
      <c r="F13" s="100"/>
    </row>
    <row r="14" spans="1:6">
      <c r="A14" s="143" t="s">
        <v>5</v>
      </c>
      <c r="B14" s="282">
        <v>0</v>
      </c>
      <c r="C14" s="120">
        <f t="shared" si="1"/>
        <v>0</v>
      </c>
      <c r="D14" s="151">
        <f t="shared" si="0"/>
        <v>0</v>
      </c>
      <c r="E14" s="100"/>
      <c r="F14" s="100"/>
    </row>
    <row r="15" spans="1:6">
      <c r="A15" s="143" t="s">
        <v>6</v>
      </c>
      <c r="B15" s="282">
        <v>0</v>
      </c>
      <c r="C15" s="120">
        <f t="shared" si="1"/>
        <v>0</v>
      </c>
      <c r="D15" s="151">
        <f t="shared" si="0"/>
        <v>0</v>
      </c>
      <c r="E15" s="100"/>
      <c r="F15" s="100"/>
    </row>
    <row r="16" spans="1:6">
      <c r="A16" s="143" t="s">
        <v>7</v>
      </c>
      <c r="B16" s="282">
        <v>10</v>
      </c>
      <c r="C16" s="120">
        <f t="shared" si="1"/>
        <v>108908.2</v>
      </c>
      <c r="D16" s="151">
        <f t="shared" si="0"/>
        <v>108908.2</v>
      </c>
      <c r="E16" s="100"/>
      <c r="F16" s="100"/>
    </row>
    <row r="17" spans="1:10">
      <c r="A17" s="143" t="s">
        <v>8</v>
      </c>
      <c r="B17" s="282">
        <v>0</v>
      </c>
      <c r="C17" s="120">
        <f t="shared" si="1"/>
        <v>0</v>
      </c>
      <c r="D17" s="151">
        <f t="shared" si="0"/>
        <v>0</v>
      </c>
      <c r="E17" s="100"/>
      <c r="F17" s="100"/>
    </row>
    <row r="18" spans="1:10">
      <c r="A18" s="143" t="s">
        <v>9</v>
      </c>
      <c r="B18" s="282">
        <v>0</v>
      </c>
      <c r="C18" s="120">
        <f t="shared" si="1"/>
        <v>0</v>
      </c>
      <c r="D18" s="151">
        <f t="shared" si="0"/>
        <v>0</v>
      </c>
      <c r="E18" s="100"/>
      <c r="F18" s="100"/>
    </row>
    <row r="19" spans="1:10">
      <c r="A19" s="143" t="s">
        <v>10</v>
      </c>
      <c r="B19" s="282">
        <v>2</v>
      </c>
      <c r="C19" s="120">
        <f t="shared" si="1"/>
        <v>21781.64</v>
      </c>
      <c r="D19" s="151">
        <f t="shared" si="0"/>
        <v>21781.64</v>
      </c>
      <c r="E19" s="100"/>
      <c r="F19" s="100"/>
    </row>
    <row r="20" spans="1:10">
      <c r="A20" s="143" t="s">
        <v>11</v>
      </c>
      <c r="B20" s="282">
        <v>0</v>
      </c>
      <c r="C20" s="120">
        <f t="shared" si="1"/>
        <v>0</v>
      </c>
      <c r="D20" s="151">
        <f t="shared" si="0"/>
        <v>0</v>
      </c>
      <c r="E20" s="100"/>
      <c r="F20" s="100"/>
    </row>
    <row r="21" spans="1:10">
      <c r="A21" s="143" t="s">
        <v>12</v>
      </c>
      <c r="B21" s="282">
        <v>3</v>
      </c>
      <c r="C21" s="120">
        <f t="shared" si="1"/>
        <v>32672.46</v>
      </c>
      <c r="D21" s="151">
        <f t="shared" si="0"/>
        <v>32672.46</v>
      </c>
      <c r="E21" s="100"/>
      <c r="F21" s="100"/>
      <c r="G21" s="4"/>
      <c r="H21" s="99"/>
    </row>
    <row r="22" spans="1:10">
      <c r="A22" s="143" t="s">
        <v>13</v>
      </c>
      <c r="B22" s="282">
        <v>0</v>
      </c>
      <c r="C22" s="120">
        <f t="shared" si="1"/>
        <v>0</v>
      </c>
      <c r="D22" s="151">
        <f t="shared" si="0"/>
        <v>0</v>
      </c>
      <c r="E22" s="100"/>
      <c r="F22" s="100"/>
      <c r="G22" s="4"/>
    </row>
    <row r="23" spans="1:10">
      <c r="A23" s="143" t="s">
        <v>14</v>
      </c>
      <c r="B23" s="282">
        <v>1</v>
      </c>
      <c r="C23" s="120">
        <f t="shared" si="1"/>
        <v>10890.82</v>
      </c>
      <c r="D23" s="151">
        <f t="shared" si="0"/>
        <v>10890.82</v>
      </c>
      <c r="E23" s="100"/>
      <c r="F23" s="100"/>
    </row>
    <row r="24" spans="1:10">
      <c r="A24" s="143" t="s">
        <v>15</v>
      </c>
      <c r="B24" s="282">
        <v>1</v>
      </c>
      <c r="C24" s="120">
        <f t="shared" si="1"/>
        <v>10890.82</v>
      </c>
      <c r="D24" s="151">
        <f t="shared" si="0"/>
        <v>10890.82</v>
      </c>
      <c r="E24" s="100"/>
      <c r="F24" s="100"/>
    </row>
    <row r="25" spans="1:10" ht="15" thickBot="1">
      <c r="A25" s="135" t="s">
        <v>16</v>
      </c>
      <c r="B25" s="284">
        <v>2</v>
      </c>
      <c r="C25" s="121">
        <f t="shared" si="1"/>
        <v>21781.64</v>
      </c>
      <c r="D25" s="153">
        <f t="shared" si="0"/>
        <v>21781.64</v>
      </c>
      <c r="E25" s="100"/>
      <c r="F25" s="100"/>
      <c r="G25" s="4"/>
      <c r="J25" s="100" t="s">
        <v>188</v>
      </c>
    </row>
    <row r="26" spans="1:10" ht="15.5" thickTop="1" thickBot="1">
      <c r="A26" s="143" t="s">
        <v>18</v>
      </c>
      <c r="B26" s="286">
        <v>20</v>
      </c>
      <c r="C26" s="287">
        <f>SUM(C10:C25)</f>
        <v>217816.39999999997</v>
      </c>
      <c r="D26" s="155">
        <f>SUM(D10:D25)</f>
        <v>217816.39999999997</v>
      </c>
      <c r="F26" s="100"/>
      <c r="J26" s="128">
        <f>D26-'Skola, STR &amp; Spcfr'!D23</f>
        <v>0</v>
      </c>
    </row>
    <row r="27" spans="1:10" ht="15" thickTop="1">
      <c r="A27" s="100"/>
      <c r="B27" s="100"/>
      <c r="C27" s="100"/>
      <c r="D27" s="100"/>
      <c r="E27" s="100"/>
      <c r="F27" s="100"/>
    </row>
    <row r="28" spans="1:10">
      <c r="A28" s="67" t="s">
        <v>435</v>
      </c>
      <c r="B28" s="100"/>
      <c r="C28" s="100"/>
      <c r="D28" s="100"/>
      <c r="E28" s="100"/>
      <c r="F28" s="100"/>
    </row>
    <row r="29" spans="1:10">
      <c r="A29" s="67" t="s">
        <v>49</v>
      </c>
      <c r="B29" s="94">
        <v>44830</v>
      </c>
      <c r="C29" s="100"/>
      <c r="D29" s="100"/>
      <c r="E29" s="100"/>
      <c r="F29" s="100"/>
    </row>
    <row r="30" spans="1:10">
      <c r="A30" s="100"/>
      <c r="B30" s="100"/>
      <c r="C30" s="100"/>
      <c r="D30" s="100"/>
      <c r="E30" s="100"/>
      <c r="F30" s="100"/>
    </row>
    <row r="32" spans="1:10">
      <c r="C32" s="473" t="s">
        <v>436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D5E3-5583-4095-A13C-AB342877259C}">
  <dimension ref="A1:H24"/>
  <sheetViews>
    <sheetView zoomScaleNormal="100" workbookViewId="0">
      <selection activeCell="B9" sqref="B9"/>
    </sheetView>
  </sheetViews>
  <sheetFormatPr defaultRowHeight="15.5"/>
  <cols>
    <col min="1" max="1" width="9.765625" bestFit="1" customWidth="1"/>
    <col min="2" max="2" width="10.84375" customWidth="1"/>
    <col min="3" max="3" width="12" customWidth="1"/>
    <col min="4" max="4" width="12.4609375" bestFit="1" customWidth="1"/>
    <col min="5" max="5" width="13.69140625" customWidth="1"/>
  </cols>
  <sheetData>
    <row r="1" spans="1:8">
      <c r="A1" s="17" t="s">
        <v>89</v>
      </c>
    </row>
    <row r="2" spans="1:8">
      <c r="A2" s="17"/>
    </row>
    <row r="3" spans="1:8">
      <c r="A3" s="294">
        <v>2022</v>
      </c>
      <c r="E3" s="294"/>
    </row>
    <row r="4" spans="1:8">
      <c r="A4" s="100"/>
      <c r="B4" s="100"/>
      <c r="C4" s="100"/>
      <c r="D4" s="100"/>
      <c r="E4" s="100"/>
      <c r="F4" s="100"/>
      <c r="G4" s="100"/>
      <c r="H4" s="100"/>
    </row>
    <row r="5" spans="1:8">
      <c r="A5" s="136"/>
      <c r="B5" s="238" t="s">
        <v>274</v>
      </c>
      <c r="C5" s="135"/>
      <c r="D5" s="135"/>
      <c r="E5" s="238"/>
      <c r="F5" s="100"/>
      <c r="G5" s="100"/>
      <c r="H5" s="100"/>
    </row>
    <row r="6" spans="1:8">
      <c r="A6" s="183" t="s">
        <v>1</v>
      </c>
      <c r="B6" s="283">
        <f>'Socvård+barnomsorg data'!I43</f>
        <v>64069.727399999996</v>
      </c>
      <c r="C6" s="120"/>
      <c r="D6" s="120"/>
      <c r="E6" s="283"/>
      <c r="F6" s="100"/>
      <c r="G6" s="100"/>
      <c r="H6" s="100"/>
    </row>
    <row r="7" spans="1:8">
      <c r="A7" s="183" t="s">
        <v>2</v>
      </c>
      <c r="B7" s="283">
        <f>'Socvård+barnomsorg data'!I44</f>
        <v>120387.06780000002</v>
      </c>
      <c r="C7" s="120"/>
      <c r="D7" s="120"/>
      <c r="E7" s="283"/>
      <c r="F7" s="100"/>
      <c r="G7" s="100"/>
      <c r="H7" s="100"/>
    </row>
    <row r="8" spans="1:8">
      <c r="A8" s="183" t="s">
        <v>3</v>
      </c>
      <c r="B8" s="283">
        <f>'Socvård+barnomsorg data'!I45</f>
        <v>404749.62450000003</v>
      </c>
      <c r="C8" s="120"/>
      <c r="D8" s="120"/>
      <c r="E8" s="283"/>
      <c r="F8" s="100"/>
      <c r="G8" s="100"/>
      <c r="H8" s="100"/>
    </row>
    <row r="9" spans="1:8">
      <c r="A9" s="183" t="s">
        <v>4</v>
      </c>
      <c r="B9" s="283">
        <f>'Socvård+barnomsorg data'!I46</f>
        <v>142243.79760000002</v>
      </c>
      <c r="C9" s="120"/>
      <c r="D9" s="120"/>
      <c r="E9" s="283"/>
      <c r="F9" s="100"/>
      <c r="G9" s="100"/>
      <c r="H9" s="100"/>
    </row>
    <row r="10" spans="1:8">
      <c r="A10" s="183" t="s">
        <v>5</v>
      </c>
      <c r="B10" s="283">
        <f>'Socvård+barnomsorg data'!I47</f>
        <v>70571.729400000011</v>
      </c>
      <c r="C10" s="120"/>
      <c r="D10" s="120"/>
      <c r="E10" s="283"/>
      <c r="F10" s="100"/>
      <c r="G10" s="100"/>
      <c r="H10" s="100"/>
    </row>
    <row r="11" spans="1:8">
      <c r="A11" s="183" t="s">
        <v>6</v>
      </c>
      <c r="B11" s="283">
        <f>'Socvård+barnomsorg data'!I48</f>
        <v>247001.05290000004</v>
      </c>
      <c r="C11" s="120"/>
      <c r="D11" s="120"/>
      <c r="E11" s="283"/>
      <c r="F11" s="100"/>
      <c r="G11" s="100"/>
      <c r="H11" s="100"/>
    </row>
    <row r="12" spans="1:8">
      <c r="A12" s="183" t="s">
        <v>7</v>
      </c>
      <c r="B12" s="283">
        <f>'Socvård+barnomsorg data'!I49</f>
        <v>1120845.1140000001</v>
      </c>
      <c r="C12" s="120"/>
      <c r="D12" s="120"/>
      <c r="E12" s="283"/>
      <c r="F12" s="100"/>
      <c r="G12" s="100"/>
      <c r="H12" s="100"/>
    </row>
    <row r="13" spans="1:8">
      <c r="A13" s="183" t="s">
        <v>8</v>
      </c>
      <c r="B13" s="283">
        <f>'Socvård+barnomsorg data'!I50</f>
        <v>82375.363799999992</v>
      </c>
      <c r="C13" s="120"/>
      <c r="D13" s="120"/>
      <c r="E13" s="283"/>
      <c r="F13" s="100"/>
      <c r="G13" s="100"/>
      <c r="H13" s="100"/>
    </row>
    <row r="14" spans="1:8">
      <c r="A14" s="183" t="s">
        <v>9</v>
      </c>
      <c r="B14" s="283">
        <f>'Socvård+barnomsorg data'!I51</f>
        <v>22882.0455</v>
      </c>
      <c r="C14" s="120"/>
      <c r="D14" s="120"/>
      <c r="E14" s="283"/>
      <c r="F14" s="100"/>
      <c r="G14" s="100"/>
      <c r="H14" s="100"/>
    </row>
    <row r="15" spans="1:8">
      <c r="A15" s="183" t="s">
        <v>10</v>
      </c>
      <c r="B15" s="283">
        <f>'Socvård+barnomsorg data'!I52</f>
        <v>446262.40650000004</v>
      </c>
      <c r="C15" s="120"/>
      <c r="D15" s="120"/>
      <c r="E15" s="283"/>
      <c r="F15" s="100"/>
      <c r="G15" s="100"/>
      <c r="H15" s="100"/>
    </row>
    <row r="16" spans="1:8">
      <c r="A16" s="183" t="s">
        <v>11</v>
      </c>
      <c r="B16" s="283">
        <f>'Socvård+barnomsorg data'!I53</f>
        <v>33210.225600000005</v>
      </c>
      <c r="C16" s="120"/>
      <c r="D16" s="423"/>
      <c r="E16" s="283"/>
      <c r="F16" s="100"/>
      <c r="G16" s="100"/>
      <c r="H16" s="100"/>
    </row>
    <row r="17" spans="1:8">
      <c r="A17" s="183" t="s">
        <v>12</v>
      </c>
      <c r="B17" s="283">
        <f>'Socvård+barnomsorg data'!I54</f>
        <v>286438.19580000004</v>
      </c>
      <c r="C17" s="120"/>
      <c r="D17" s="120"/>
      <c r="E17" s="283"/>
      <c r="F17" s="100"/>
      <c r="G17" s="100"/>
      <c r="H17" s="100"/>
    </row>
    <row r="18" spans="1:8">
      <c r="A18" s="183" t="s">
        <v>13</v>
      </c>
      <c r="B18" s="283">
        <f>'Socvård+barnomsorg data'!I55</f>
        <v>41187.681899999996</v>
      </c>
      <c r="C18" s="120"/>
      <c r="D18" s="120"/>
      <c r="E18" s="283"/>
      <c r="F18" s="100"/>
      <c r="G18" s="100"/>
      <c r="H18" s="100"/>
    </row>
    <row r="19" spans="1:8">
      <c r="A19" s="183" t="s">
        <v>14</v>
      </c>
      <c r="B19" s="283">
        <f>'Socvård+barnomsorg data'!I56</f>
        <v>124538.34600000001</v>
      </c>
      <c r="C19" s="120"/>
      <c r="D19" s="120"/>
      <c r="E19" s="283"/>
      <c r="F19" s="100"/>
      <c r="G19" s="100"/>
      <c r="H19" s="100"/>
    </row>
    <row r="20" spans="1:8">
      <c r="A20" s="183" t="s">
        <v>15</v>
      </c>
      <c r="B20" s="283">
        <f>'Socvård+barnomsorg data'!I57</f>
        <v>154097.4474</v>
      </c>
      <c r="C20" s="120"/>
      <c r="D20" s="120"/>
      <c r="E20" s="283"/>
      <c r="F20" s="100"/>
      <c r="G20" s="100"/>
      <c r="H20" s="100"/>
    </row>
    <row r="21" spans="1:8">
      <c r="A21" s="183" t="s">
        <v>16</v>
      </c>
      <c r="B21" s="285">
        <f>'Socvård+barnomsorg data'!I58</f>
        <v>1374073.0842000002</v>
      </c>
      <c r="C21" s="121"/>
      <c r="D21" s="121"/>
      <c r="E21" s="285"/>
      <c r="F21" s="100"/>
      <c r="G21" s="100"/>
      <c r="H21" s="100"/>
    </row>
    <row r="22" spans="1:8">
      <c r="A22" s="245" t="s">
        <v>18</v>
      </c>
      <c r="B22" s="288">
        <f>'Socvård+barnomsorg data'!I59</f>
        <v>4734932.9103000006</v>
      </c>
      <c r="C22" s="287"/>
      <c r="D22" s="120"/>
      <c r="E22" s="288"/>
      <c r="F22" s="100"/>
      <c r="G22" s="100"/>
      <c r="H22" s="100"/>
    </row>
    <row r="23" spans="1:8">
      <c r="A23" s="100"/>
      <c r="B23" s="100"/>
      <c r="C23" s="100"/>
      <c r="D23" s="100"/>
      <c r="E23" s="100"/>
      <c r="F23" s="100"/>
      <c r="G23" s="100"/>
      <c r="H23" s="100"/>
    </row>
    <row r="24" spans="1:8">
      <c r="A24" s="100"/>
      <c r="B24" s="100"/>
      <c r="C24" s="100"/>
      <c r="D24" s="100"/>
      <c r="E24" s="100"/>
      <c r="F24" s="100"/>
      <c r="G24" s="100"/>
      <c r="H24" s="10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1"/>
  <sheetViews>
    <sheetView topLeftCell="A12" zoomScaleNormal="100" workbookViewId="0">
      <selection activeCell="A4" sqref="A4"/>
    </sheetView>
  </sheetViews>
  <sheetFormatPr defaultRowHeight="15.5"/>
  <cols>
    <col min="1" max="1" width="9.765625" bestFit="1" customWidth="1"/>
    <col min="2" max="2" width="19.69140625" customWidth="1"/>
    <col min="3" max="3" width="12" customWidth="1"/>
    <col min="4" max="4" width="12.4609375" bestFit="1" customWidth="1"/>
    <col min="5" max="5" width="13.69140625" customWidth="1"/>
  </cols>
  <sheetData>
    <row r="1" spans="1:8">
      <c r="A1" s="17" t="s">
        <v>89</v>
      </c>
    </row>
    <row r="2" spans="1:8">
      <c r="A2" s="17"/>
    </row>
    <row r="3" spans="1:8">
      <c r="A3" s="294">
        <v>2023</v>
      </c>
      <c r="E3" s="294"/>
    </row>
    <row r="4" spans="1:8">
      <c r="A4" s="100"/>
      <c r="B4" s="100"/>
      <c r="C4" s="100"/>
      <c r="D4" s="100"/>
      <c r="E4" s="100"/>
      <c r="F4" s="100"/>
      <c r="G4" s="100"/>
      <c r="H4" s="100"/>
    </row>
    <row r="5" spans="1:8">
      <c r="A5" s="136"/>
      <c r="B5" s="135" t="s">
        <v>301</v>
      </c>
      <c r="C5" s="135" t="s">
        <v>284</v>
      </c>
      <c r="D5" s="135" t="s">
        <v>262</v>
      </c>
      <c r="E5" s="238" t="s">
        <v>53</v>
      </c>
      <c r="F5" s="100"/>
      <c r="G5" s="135" t="s">
        <v>301</v>
      </c>
      <c r="H5" s="100"/>
    </row>
    <row r="6" spans="1:8">
      <c r="A6" s="183" t="s">
        <v>1</v>
      </c>
      <c r="B6" s="120">
        <f>'Socvård+barnomsorg data'!G43</f>
        <v>242805.9</v>
      </c>
      <c r="C6" s="120">
        <f>'Soctjänst data'!D34</f>
        <v>60555.89</v>
      </c>
      <c r="D6" s="120">
        <f t="shared" ref="D6:D21" si="0">B6+C6</f>
        <v>303361.78999999998</v>
      </c>
      <c r="E6" s="283">
        <f>IF(D6&gt;0,D6,0)</f>
        <v>303361.78999999998</v>
      </c>
      <c r="F6" s="100"/>
      <c r="G6" s="120">
        <v>253796.55</v>
      </c>
      <c r="H6" s="100"/>
    </row>
    <row r="7" spans="1:8">
      <c r="A7" s="183" t="s">
        <v>2</v>
      </c>
      <c r="B7" s="120">
        <f>'Socvård+barnomsorg data'!G44</f>
        <v>161623.91</v>
      </c>
      <c r="C7" s="120">
        <f>'Soctjänst data'!D35</f>
        <v>125832.18</v>
      </c>
      <c r="D7" s="120">
        <f t="shared" si="0"/>
        <v>287456.08999999997</v>
      </c>
      <c r="E7" s="283">
        <f t="shared" ref="E7:E21" si="1">IF(D7&gt;0,D7,0)</f>
        <v>287456.08999999997</v>
      </c>
      <c r="F7" s="100"/>
      <c r="G7" s="120">
        <v>159938.88</v>
      </c>
      <c r="H7" s="100"/>
    </row>
    <row r="8" spans="1:8">
      <c r="A8" s="183" t="s">
        <v>3</v>
      </c>
      <c r="B8" s="120">
        <f>'Socvård+barnomsorg data'!G45</f>
        <v>329728.95</v>
      </c>
      <c r="C8" s="120">
        <f>'Soctjänst data'!D36</f>
        <v>355782.73</v>
      </c>
      <c r="D8" s="120">
        <f t="shared" si="0"/>
        <v>685511.67999999993</v>
      </c>
      <c r="E8" s="283">
        <f t="shared" si="1"/>
        <v>685511.67999999993</v>
      </c>
      <c r="F8" s="100"/>
      <c r="G8" s="120">
        <v>352200.39</v>
      </c>
      <c r="H8" s="100"/>
    </row>
    <row r="9" spans="1:8">
      <c r="A9" s="183" t="s">
        <v>4</v>
      </c>
      <c r="B9" s="120">
        <f>'Socvård+barnomsorg data'!G46</f>
        <v>260559.57</v>
      </c>
      <c r="C9" s="120">
        <f>'Soctjänst data'!D37</f>
        <v>67569.05</v>
      </c>
      <c r="D9" s="120">
        <f t="shared" si="0"/>
        <v>328128.62</v>
      </c>
      <c r="E9" s="283">
        <f t="shared" si="1"/>
        <v>328128.62</v>
      </c>
      <c r="F9" s="100"/>
      <c r="G9" s="120">
        <v>281037.32</v>
      </c>
      <c r="H9" s="100"/>
    </row>
    <row r="10" spans="1:8">
      <c r="A10" s="183" t="s">
        <v>5</v>
      </c>
      <c r="B10" s="120">
        <f>'Socvård+barnomsorg data'!G47</f>
        <v>90358.55</v>
      </c>
      <c r="C10" s="120">
        <f>'Soctjänst data'!D38</f>
        <v>68108.52</v>
      </c>
      <c r="D10" s="120">
        <f t="shared" si="0"/>
        <v>158467.07</v>
      </c>
      <c r="E10" s="283">
        <f t="shared" si="1"/>
        <v>158467.07</v>
      </c>
      <c r="F10" s="100"/>
      <c r="G10" s="120">
        <v>78885.56</v>
      </c>
      <c r="H10" s="100"/>
    </row>
    <row r="11" spans="1:8">
      <c r="A11" s="183" t="s">
        <v>6</v>
      </c>
      <c r="B11" s="120">
        <f>'Socvård+barnomsorg data'!G48</f>
        <v>227514.18</v>
      </c>
      <c r="C11" s="120">
        <f>'Soctjänst data'!D39</f>
        <v>218351.87</v>
      </c>
      <c r="D11" s="120">
        <f t="shared" si="0"/>
        <v>445866.05</v>
      </c>
      <c r="E11" s="283">
        <f t="shared" si="1"/>
        <v>445866.05</v>
      </c>
      <c r="F11" s="100"/>
      <c r="G11" s="120">
        <v>215130.55</v>
      </c>
      <c r="H11" s="100"/>
    </row>
    <row r="12" spans="1:8">
      <c r="A12" s="183" t="s">
        <v>7</v>
      </c>
      <c r="B12" s="120">
        <f>'Socvård+barnomsorg data'!G49</f>
        <v>446916.27</v>
      </c>
      <c r="C12" s="120">
        <f>'Soctjänst data'!D40</f>
        <v>743394.4</v>
      </c>
      <c r="D12" s="120">
        <f t="shared" si="0"/>
        <v>1190310.67</v>
      </c>
      <c r="E12" s="283">
        <f t="shared" si="1"/>
        <v>1190310.67</v>
      </c>
      <c r="F12" s="100"/>
      <c r="G12" s="120">
        <v>391033.36</v>
      </c>
      <c r="H12" s="100"/>
    </row>
    <row r="13" spans="1:8">
      <c r="A13" s="183" t="s">
        <v>8</v>
      </c>
      <c r="B13" s="120">
        <f>'Socvård+barnomsorg data'!G50</f>
        <v>235164.67</v>
      </c>
      <c r="C13" s="120">
        <f>'Soctjänst data'!D41</f>
        <v>42213.8</v>
      </c>
      <c r="D13" s="120">
        <f t="shared" si="0"/>
        <v>277378.47000000003</v>
      </c>
      <c r="E13" s="283">
        <f t="shared" si="1"/>
        <v>277378.47000000003</v>
      </c>
      <c r="F13" s="100"/>
      <c r="G13" s="120">
        <v>215017.52</v>
      </c>
      <c r="H13" s="100"/>
    </row>
    <row r="14" spans="1:8">
      <c r="A14" s="183" t="s">
        <v>9</v>
      </c>
      <c r="B14" s="120">
        <f>'Socvård+barnomsorg data'!G51</f>
        <v>150586.60999999999</v>
      </c>
      <c r="C14" s="120">
        <f>'Soctjänst data'!D42</f>
        <v>30210.51</v>
      </c>
      <c r="D14" s="120">
        <f t="shared" si="0"/>
        <v>180797.12</v>
      </c>
      <c r="E14" s="283">
        <f t="shared" si="1"/>
        <v>180797.12</v>
      </c>
      <c r="F14" s="100"/>
      <c r="G14" s="120">
        <v>140560.92000000001</v>
      </c>
      <c r="H14" s="100"/>
    </row>
    <row r="15" spans="1:8">
      <c r="A15" s="183" t="s">
        <v>10</v>
      </c>
      <c r="B15" s="120">
        <f>'Socvård+barnomsorg data'!G52</f>
        <v>221569.16</v>
      </c>
      <c r="C15" s="120">
        <f>'Soctjänst data'!D43</f>
        <v>287943.95</v>
      </c>
      <c r="D15" s="120">
        <f t="shared" si="0"/>
        <v>509513.11</v>
      </c>
      <c r="E15" s="283">
        <f t="shared" si="1"/>
        <v>509513.11</v>
      </c>
      <c r="F15" s="100"/>
      <c r="G15" s="120">
        <v>196189.72</v>
      </c>
      <c r="H15" s="100"/>
    </row>
    <row r="16" spans="1:8">
      <c r="A16" s="183" t="s">
        <v>11</v>
      </c>
      <c r="B16" s="120">
        <f>'Socvård+barnomsorg data'!G53</f>
        <v>68920.39</v>
      </c>
      <c r="C16" s="120">
        <f>'Soctjänst data'!D44</f>
        <v>50710.5</v>
      </c>
      <c r="D16" s="459">
        <f t="shared" si="0"/>
        <v>119630.89</v>
      </c>
      <c r="E16" s="283">
        <f t="shared" si="1"/>
        <v>119630.89</v>
      </c>
      <c r="F16" s="100"/>
      <c r="G16" s="120">
        <v>62917.52</v>
      </c>
      <c r="H16" s="100"/>
    </row>
    <row r="17" spans="1:8">
      <c r="A17" s="183" t="s">
        <v>12</v>
      </c>
      <c r="B17" s="120">
        <f>'Socvård+barnomsorg data'!G54</f>
        <v>316619.45</v>
      </c>
      <c r="C17" s="120">
        <f>'Soctjänst data'!D45</f>
        <v>244111.73</v>
      </c>
      <c r="D17" s="120">
        <f t="shared" si="0"/>
        <v>560731.18000000005</v>
      </c>
      <c r="E17" s="283">
        <f t="shared" si="1"/>
        <v>560731.18000000005</v>
      </c>
      <c r="F17" s="100"/>
      <c r="G17" s="120">
        <v>304148.06</v>
      </c>
      <c r="H17" s="100"/>
    </row>
    <row r="18" spans="1:8">
      <c r="A18" s="183" t="s">
        <v>13</v>
      </c>
      <c r="B18" s="120">
        <f>'Socvård+barnomsorg data'!G55</f>
        <v>65301.69</v>
      </c>
      <c r="C18" s="120">
        <f>'Soctjänst data'!D46</f>
        <v>14161.18</v>
      </c>
      <c r="D18" s="120">
        <f t="shared" si="0"/>
        <v>79462.87</v>
      </c>
      <c r="E18" s="283">
        <f t="shared" si="1"/>
        <v>79462.87</v>
      </c>
      <c r="F18" s="100"/>
      <c r="G18" s="120">
        <v>68332.67</v>
      </c>
      <c r="H18" s="100"/>
    </row>
    <row r="19" spans="1:8">
      <c r="A19" s="183" t="s">
        <v>14</v>
      </c>
      <c r="B19" s="120">
        <f>'Socvård+barnomsorg data'!G56</f>
        <v>156053.5</v>
      </c>
      <c r="C19" s="120">
        <f>'Soctjänst data'!D47</f>
        <v>137430.85999999999</v>
      </c>
      <c r="D19" s="120">
        <f t="shared" si="0"/>
        <v>293484.36</v>
      </c>
      <c r="E19" s="283">
        <f t="shared" si="1"/>
        <v>293484.36</v>
      </c>
      <c r="F19" s="100"/>
      <c r="G19" s="120">
        <v>133284.56</v>
      </c>
      <c r="H19" s="100"/>
    </row>
    <row r="20" spans="1:8">
      <c r="A20" s="183" t="s">
        <v>15</v>
      </c>
      <c r="B20" s="120">
        <f>'Socvård+barnomsorg data'!G57</f>
        <v>237384.77</v>
      </c>
      <c r="C20" s="120">
        <f>'Soctjänst data'!D48</f>
        <v>62444.05</v>
      </c>
      <c r="D20" s="120">
        <f t="shared" si="0"/>
        <v>299828.82</v>
      </c>
      <c r="E20" s="283">
        <f t="shared" si="1"/>
        <v>299828.82</v>
      </c>
      <c r="F20" s="100"/>
      <c r="G20" s="120">
        <v>256527.54</v>
      </c>
      <c r="H20" s="100"/>
    </row>
    <row r="21" spans="1:8">
      <c r="A21" s="183" t="s">
        <v>16</v>
      </c>
      <c r="B21" s="121">
        <f>'Socvård+barnomsorg data'!G58</f>
        <v>1882316.57</v>
      </c>
      <c r="C21" s="121">
        <f>'Soctjänst data'!D49</f>
        <v>1583624.28</v>
      </c>
      <c r="D21" s="121">
        <f t="shared" si="0"/>
        <v>3465940.85</v>
      </c>
      <c r="E21" s="285">
        <f t="shared" si="1"/>
        <v>3465940.85</v>
      </c>
      <c r="F21" s="100"/>
      <c r="G21" s="121">
        <v>1744660.62</v>
      </c>
      <c r="H21" s="100"/>
    </row>
    <row r="22" spans="1:8">
      <c r="A22" s="245" t="s">
        <v>18</v>
      </c>
      <c r="B22" s="287">
        <f>'Socvård+barnomsorg data'!G59</f>
        <v>5093424.1400000006</v>
      </c>
      <c r="C22" s="287">
        <f>SUM(C6:C21)</f>
        <v>4092445.5</v>
      </c>
      <c r="D22" s="120">
        <f>SUM(D6:D21)</f>
        <v>9185869.6400000006</v>
      </c>
      <c r="E22" s="288">
        <f>SUM(E6:E21)</f>
        <v>9185869.6400000006</v>
      </c>
      <c r="F22" s="100"/>
      <c r="G22" s="287">
        <v>4853661.74</v>
      </c>
      <c r="H22" s="100"/>
    </row>
    <row r="23" spans="1:8">
      <c r="A23" s="100"/>
      <c r="B23" s="100"/>
      <c r="C23" s="100"/>
      <c r="D23" s="100"/>
      <c r="E23" s="100"/>
      <c r="F23" s="100"/>
      <c r="G23" s="100"/>
      <c r="H23" s="100"/>
    </row>
    <row r="24" spans="1:8">
      <c r="A24" s="136"/>
      <c r="B24" s="135" t="s">
        <v>301</v>
      </c>
      <c r="C24" s="135" t="s">
        <v>284</v>
      </c>
      <c r="D24" s="135" t="s">
        <v>262</v>
      </c>
      <c r="E24" s="238" t="s">
        <v>53</v>
      </c>
      <c r="F24" s="100"/>
      <c r="G24" s="100"/>
      <c r="H24" s="100"/>
    </row>
    <row r="25" spans="1:8">
      <c r="A25" s="183" t="s">
        <v>1</v>
      </c>
      <c r="B25" s="120">
        <v>253796.55</v>
      </c>
      <c r="C25" s="120">
        <v>48043.29</v>
      </c>
      <c r="D25" s="120">
        <v>301839.83999999997</v>
      </c>
      <c r="E25" s="283">
        <v>301839.83999999997</v>
      </c>
    </row>
    <row r="26" spans="1:8">
      <c r="A26" s="183" t="s">
        <v>2</v>
      </c>
      <c r="B26" s="120">
        <v>159938.88</v>
      </c>
      <c r="C26" s="120">
        <v>102780.26</v>
      </c>
      <c r="D26" s="120">
        <v>262719.14</v>
      </c>
      <c r="E26" s="283">
        <v>262719.14</v>
      </c>
    </row>
    <row r="27" spans="1:8">
      <c r="A27" s="183" t="s">
        <v>3</v>
      </c>
      <c r="B27" s="120">
        <v>352200.39</v>
      </c>
      <c r="C27" s="120">
        <v>279946.65000000002</v>
      </c>
      <c r="D27" s="120">
        <v>632147.04</v>
      </c>
      <c r="E27" s="283">
        <v>632147.04</v>
      </c>
    </row>
    <row r="28" spans="1:8">
      <c r="A28" s="183" t="s">
        <v>4</v>
      </c>
      <c r="B28" s="120">
        <v>281037.32</v>
      </c>
      <c r="C28" s="120">
        <v>57328.06</v>
      </c>
      <c r="D28" s="120">
        <v>338365.38</v>
      </c>
      <c r="E28" s="283">
        <v>338365.38</v>
      </c>
    </row>
    <row r="29" spans="1:8">
      <c r="A29" s="183" t="s">
        <v>5</v>
      </c>
      <c r="B29" s="120">
        <v>78885.56</v>
      </c>
      <c r="C29" s="120">
        <v>53549.38</v>
      </c>
      <c r="D29" s="120">
        <v>132434.94</v>
      </c>
      <c r="E29" s="283">
        <v>132434.94</v>
      </c>
    </row>
    <row r="30" spans="1:8">
      <c r="A30" s="183" t="s">
        <v>6</v>
      </c>
      <c r="B30" s="120">
        <v>215130.55</v>
      </c>
      <c r="C30" s="120">
        <v>170904.57</v>
      </c>
      <c r="D30" s="120">
        <v>386035.12</v>
      </c>
      <c r="E30" s="283">
        <v>386035.12</v>
      </c>
    </row>
    <row r="31" spans="1:8">
      <c r="A31" s="183" t="s">
        <v>7</v>
      </c>
      <c r="B31" s="120">
        <v>391033.36</v>
      </c>
      <c r="C31" s="120">
        <v>564967.54</v>
      </c>
      <c r="D31" s="120">
        <v>956000.9</v>
      </c>
      <c r="E31" s="283">
        <v>956000.9</v>
      </c>
    </row>
    <row r="32" spans="1:8">
      <c r="A32" s="183" t="s">
        <v>8</v>
      </c>
      <c r="B32" s="120">
        <v>215017.52</v>
      </c>
      <c r="C32" s="120">
        <v>33900.21</v>
      </c>
      <c r="D32" s="120">
        <v>248917.72999999998</v>
      </c>
      <c r="E32" s="283">
        <v>248917.72999999998</v>
      </c>
    </row>
    <row r="33" spans="1:5">
      <c r="A33" s="183" t="s">
        <v>9</v>
      </c>
      <c r="B33" s="120">
        <v>140560.92000000001</v>
      </c>
      <c r="C33" s="120">
        <v>25047.29</v>
      </c>
      <c r="D33" s="120">
        <v>165608.21000000002</v>
      </c>
      <c r="E33" s="283">
        <v>165608.21000000002</v>
      </c>
    </row>
    <row r="34" spans="1:5">
      <c r="A34" s="183" t="s">
        <v>10</v>
      </c>
      <c r="B34" s="120">
        <v>196189.72</v>
      </c>
      <c r="C34" s="120">
        <v>221646.92</v>
      </c>
      <c r="D34" s="120">
        <v>417836.64</v>
      </c>
      <c r="E34" s="283">
        <v>417836.64</v>
      </c>
    </row>
    <row r="35" spans="1:5">
      <c r="A35" s="183" t="s">
        <v>11</v>
      </c>
      <c r="B35" s="120">
        <v>62917.52</v>
      </c>
      <c r="C35" s="120">
        <v>39514.26</v>
      </c>
      <c r="D35" s="459">
        <v>102431.78</v>
      </c>
      <c r="E35" s="283">
        <v>102431.78</v>
      </c>
    </row>
    <row r="36" spans="1:5">
      <c r="A36" s="183" t="s">
        <v>12</v>
      </c>
      <c r="B36" s="120">
        <v>304148.06</v>
      </c>
      <c r="C36" s="120">
        <v>199622.58</v>
      </c>
      <c r="D36" s="120">
        <v>503770.64</v>
      </c>
      <c r="E36" s="283">
        <v>503770.64</v>
      </c>
    </row>
    <row r="37" spans="1:5">
      <c r="A37" s="183" t="s">
        <v>13</v>
      </c>
      <c r="B37" s="120">
        <v>68332.67</v>
      </c>
      <c r="C37" s="120">
        <v>9500.7000000000007</v>
      </c>
      <c r="D37" s="120">
        <v>77833.37</v>
      </c>
      <c r="E37" s="283">
        <v>77833.37</v>
      </c>
    </row>
    <row r="38" spans="1:5">
      <c r="A38" s="183" t="s">
        <v>14</v>
      </c>
      <c r="B38" s="120">
        <v>133284.56</v>
      </c>
      <c r="C38" s="120">
        <v>110445.59</v>
      </c>
      <c r="D38" s="120">
        <v>243730.15</v>
      </c>
      <c r="E38" s="283">
        <v>243730.15</v>
      </c>
    </row>
    <row r="39" spans="1:5">
      <c r="A39" s="183" t="s">
        <v>15</v>
      </c>
      <c r="B39" s="120">
        <v>256527.54</v>
      </c>
      <c r="C39" s="120">
        <v>48259.22</v>
      </c>
      <c r="D39" s="120">
        <v>304786.76</v>
      </c>
      <c r="E39" s="283">
        <v>304786.76</v>
      </c>
    </row>
    <row r="40" spans="1:5">
      <c r="A40" s="183" t="s">
        <v>16</v>
      </c>
      <c r="B40" s="121">
        <v>1744660.62</v>
      </c>
      <c r="C40" s="121">
        <v>1260893.54</v>
      </c>
      <c r="D40" s="121">
        <v>3005554.16</v>
      </c>
      <c r="E40" s="285">
        <v>3005554.16</v>
      </c>
    </row>
    <row r="41" spans="1:5">
      <c r="A41" s="245" t="s">
        <v>18</v>
      </c>
      <c r="B41" s="287">
        <v>4853661.74</v>
      </c>
      <c r="C41" s="287">
        <v>3226350.06</v>
      </c>
      <c r="D41" s="120">
        <v>8080011.7999999998</v>
      </c>
      <c r="E41" s="288">
        <v>8080011.7999999998</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34"/>
  <sheetViews>
    <sheetView topLeftCell="A80" zoomScaleNormal="100" zoomScalePageLayoutView="80" workbookViewId="0">
      <selection activeCell="I93" sqref="I93:Z108"/>
    </sheetView>
  </sheetViews>
  <sheetFormatPr defaultRowHeight="15.5"/>
  <cols>
    <col min="1" max="1" width="15.07421875" customWidth="1"/>
    <col min="2" max="2" width="10.53515625" bestFit="1" customWidth="1"/>
    <col min="3" max="5" width="9.765625" bestFit="1" customWidth="1"/>
    <col min="6" max="6" width="10.53515625" bestFit="1" customWidth="1"/>
    <col min="7" max="7" width="10.4609375" bestFit="1" customWidth="1"/>
    <col min="8" max="8" width="9.84375" customWidth="1"/>
    <col min="9" max="9" width="10.765625" customWidth="1"/>
    <col min="10" max="10" width="11.3046875" bestFit="1" customWidth="1"/>
    <col min="11" max="11" width="8.84375" bestFit="1" customWidth="1"/>
    <col min="14" max="14" width="9.84375" customWidth="1"/>
  </cols>
  <sheetData>
    <row r="1" spans="1:17">
      <c r="A1" s="17" t="s">
        <v>325</v>
      </c>
    </row>
    <row r="2" spans="1:17">
      <c r="A2" s="5" t="s">
        <v>40</v>
      </c>
    </row>
    <row r="3" spans="1:17">
      <c r="B3" s="294"/>
    </row>
    <row r="4" spans="1:17">
      <c r="A4" s="67" t="s">
        <v>48</v>
      </c>
      <c r="B4" s="100"/>
      <c r="C4" s="100"/>
      <c r="D4" s="100"/>
      <c r="E4" s="100"/>
      <c r="F4" s="100"/>
      <c r="G4" s="100"/>
      <c r="H4" s="100"/>
    </row>
    <row r="5" spans="1:17">
      <c r="A5" s="100"/>
      <c r="B5" s="100"/>
      <c r="C5" s="100"/>
      <c r="D5" s="100"/>
      <c r="E5" s="100"/>
      <c r="F5" s="100"/>
      <c r="G5" s="100"/>
      <c r="H5" s="100"/>
    </row>
    <row r="6" spans="1:17">
      <c r="A6" s="100"/>
      <c r="B6" s="100"/>
      <c r="C6" s="100"/>
      <c r="D6" s="100"/>
      <c r="E6" s="100"/>
      <c r="F6" s="100"/>
      <c r="G6" s="100"/>
      <c r="H6" s="100"/>
    </row>
    <row r="7" spans="1:17">
      <c r="A7" s="217">
        <v>2023</v>
      </c>
      <c r="B7" s="218" t="s">
        <v>274</v>
      </c>
      <c r="C7" s="218"/>
      <c r="D7" s="219" t="s">
        <v>324</v>
      </c>
      <c r="E7" s="219"/>
      <c r="F7" s="219"/>
      <c r="G7" s="100"/>
      <c r="H7" s="217">
        <v>2022</v>
      </c>
      <c r="I7" s="219" t="s">
        <v>324</v>
      </c>
      <c r="J7" s="219"/>
      <c r="K7" s="219"/>
      <c r="N7" s="217">
        <v>2023</v>
      </c>
      <c r="O7" s="219" t="s">
        <v>324</v>
      </c>
      <c r="P7" s="219"/>
      <c r="Q7" s="219"/>
    </row>
    <row r="8" spans="1:17">
      <c r="A8" s="127" t="s">
        <v>41</v>
      </c>
      <c r="B8" s="127" t="s">
        <v>24</v>
      </c>
      <c r="C8" s="402"/>
      <c r="D8" s="127" t="s">
        <v>26</v>
      </c>
      <c r="E8" s="127" t="s">
        <v>27</v>
      </c>
      <c r="F8" s="127" t="s">
        <v>28</v>
      </c>
      <c r="G8" s="100"/>
      <c r="H8" s="127" t="s">
        <v>41</v>
      </c>
      <c r="I8" s="127" t="s">
        <v>26</v>
      </c>
      <c r="J8" s="127" t="s">
        <v>27</v>
      </c>
      <c r="K8" s="127" t="s">
        <v>28</v>
      </c>
      <c r="N8" s="127" t="s">
        <v>41</v>
      </c>
      <c r="O8" s="127" t="s">
        <v>26</v>
      </c>
      <c r="P8" s="127" t="s">
        <v>27</v>
      </c>
      <c r="Q8" s="127" t="s">
        <v>28</v>
      </c>
    </row>
    <row r="9" spans="1:17">
      <c r="A9" s="217" t="s">
        <v>22</v>
      </c>
      <c r="B9" s="220">
        <f>Basbelopp!AE77</f>
        <v>12503.85</v>
      </c>
      <c r="C9" s="403"/>
      <c r="D9" s="220">
        <f>Basbelopp!AG77</f>
        <v>1263.47</v>
      </c>
      <c r="E9" s="220">
        <f>Basbelopp!AH77</f>
        <v>5146.45</v>
      </c>
      <c r="F9" s="220">
        <f>Basbelopp!AI77</f>
        <v>20450.509999999998</v>
      </c>
      <c r="G9" s="100"/>
      <c r="H9" s="217" t="s">
        <v>22</v>
      </c>
      <c r="I9" s="220">
        <v>1289.95</v>
      </c>
      <c r="J9" s="220">
        <v>5682.28</v>
      </c>
      <c r="K9" s="220">
        <v>20098.77</v>
      </c>
      <c r="N9" s="217" t="s">
        <v>22</v>
      </c>
      <c r="O9" s="220">
        <v>1263.47</v>
      </c>
      <c r="P9" s="220">
        <v>5146.45</v>
      </c>
      <c r="Q9" s="220">
        <v>20450.509999999998</v>
      </c>
    </row>
    <row r="10" spans="1:17">
      <c r="A10" s="218"/>
      <c r="B10" s="218"/>
      <c r="C10" s="218"/>
      <c r="D10" s="218"/>
      <c r="E10" s="218"/>
      <c r="F10" s="218"/>
      <c r="G10" s="100"/>
      <c r="H10" s="100"/>
    </row>
    <row r="11" spans="1:17">
      <c r="A11" s="67" t="s">
        <v>49</v>
      </c>
      <c r="B11" s="100"/>
      <c r="C11" s="100"/>
      <c r="D11" s="100"/>
      <c r="E11" s="100"/>
      <c r="F11" s="100"/>
      <c r="G11" s="100"/>
      <c r="H11" s="100"/>
    </row>
    <row r="12" spans="1:17">
      <c r="B12" s="100"/>
      <c r="C12" s="100"/>
      <c r="D12" s="100"/>
      <c r="E12" s="100"/>
      <c r="F12" s="100"/>
      <c r="G12" s="100"/>
      <c r="H12" s="100"/>
    </row>
    <row r="13" spans="1:17">
      <c r="A13" s="100"/>
      <c r="B13" s="100"/>
      <c r="C13" s="100"/>
      <c r="D13" s="100"/>
      <c r="E13" s="100"/>
      <c r="F13" s="100"/>
      <c r="G13" s="100"/>
      <c r="H13" s="100"/>
    </row>
    <row r="14" spans="1:17">
      <c r="A14" s="135" t="s">
        <v>20</v>
      </c>
      <c r="B14" s="136"/>
      <c r="C14" s="404">
        <v>2023</v>
      </c>
      <c r="D14" s="100"/>
      <c r="E14" s="404" t="s">
        <v>459</v>
      </c>
      <c r="F14" s="221"/>
      <c r="G14" s="100"/>
    </row>
    <row r="15" spans="1:17">
      <c r="A15" s="100" t="s">
        <v>45</v>
      </c>
      <c r="B15" s="100"/>
      <c r="C15" s="222">
        <v>0.125</v>
      </c>
      <c r="D15" s="100"/>
      <c r="E15" s="222">
        <v>0.16600000000000001</v>
      </c>
      <c r="F15" s="100"/>
      <c r="G15" s="100"/>
    </row>
    <row r="16" spans="1:17">
      <c r="A16" s="223" t="s">
        <v>46</v>
      </c>
      <c r="B16" s="223"/>
      <c r="C16" s="224">
        <f>C15+15%</f>
        <v>0.27500000000000002</v>
      </c>
      <c r="D16" s="100"/>
      <c r="E16" s="224">
        <v>0.316</v>
      </c>
      <c r="F16" s="100"/>
      <c r="G16" s="100"/>
    </row>
    <row r="17" spans="1:19">
      <c r="A17" s="225" t="s">
        <v>47</v>
      </c>
      <c r="B17" s="225"/>
      <c r="C17" s="226">
        <f>C15+15%+5%</f>
        <v>0.32500000000000001</v>
      </c>
      <c r="D17" s="100"/>
      <c r="E17" s="226">
        <v>0.36599999999999999</v>
      </c>
      <c r="F17" s="100"/>
      <c r="G17" s="100"/>
    </row>
    <row r="18" spans="1:19">
      <c r="A18" s="100"/>
      <c r="B18" s="100"/>
      <c r="C18" s="100"/>
      <c r="D18" s="100"/>
      <c r="E18" s="100"/>
      <c r="F18" s="100"/>
      <c r="G18" s="100"/>
      <c r="H18" s="100"/>
    </row>
    <row r="19" spans="1:19">
      <c r="A19" s="100"/>
      <c r="B19" s="100"/>
      <c r="C19" s="100"/>
      <c r="D19" s="100"/>
      <c r="E19" s="100"/>
      <c r="F19" s="100"/>
      <c r="G19" s="100"/>
      <c r="H19" s="100"/>
      <c r="N19" s="180" t="s">
        <v>88</v>
      </c>
      <c r="O19" s="100"/>
      <c r="P19" s="100"/>
      <c r="Q19" s="100"/>
      <c r="R19" s="100"/>
      <c r="S19" s="100"/>
    </row>
    <row r="20" spans="1:19">
      <c r="A20" s="180" t="s">
        <v>88</v>
      </c>
      <c r="B20" s="100"/>
      <c r="C20" s="100"/>
      <c r="D20" s="100"/>
      <c r="E20" s="100"/>
      <c r="F20" s="100"/>
      <c r="G20" s="100"/>
      <c r="H20" s="100"/>
      <c r="N20" s="227" t="s">
        <v>343</v>
      </c>
      <c r="O20" s="228"/>
      <c r="P20" s="320"/>
      <c r="Q20" s="228" t="s">
        <v>26</v>
      </c>
      <c r="R20" s="228" t="s">
        <v>27</v>
      </c>
      <c r="S20" s="228" t="s">
        <v>28</v>
      </c>
    </row>
    <row r="21" spans="1:19" ht="16" thickBot="1">
      <c r="A21" s="227" t="str">
        <f>Invånare!A26</f>
        <v>2022-01-01</v>
      </c>
      <c r="B21" s="228" t="s">
        <v>24</v>
      </c>
      <c r="C21" s="320" t="s">
        <v>25</v>
      </c>
      <c r="D21" s="228" t="s">
        <v>26</v>
      </c>
      <c r="E21" s="228" t="s">
        <v>27</v>
      </c>
      <c r="F21" s="228" t="s">
        <v>28</v>
      </c>
      <c r="G21" s="100"/>
      <c r="H21" s="100"/>
      <c r="L21" s="100" t="s">
        <v>188</v>
      </c>
      <c r="N21" s="229" t="s">
        <v>1</v>
      </c>
      <c r="O21" s="230"/>
      <c r="P21" s="321"/>
      <c r="Q21" s="230">
        <v>78</v>
      </c>
      <c r="R21" s="230">
        <v>48</v>
      </c>
      <c r="S21" s="230">
        <v>22</v>
      </c>
    </row>
    <row r="22" spans="1:19" ht="16.5" thickTop="1" thickBot="1">
      <c r="A22" s="229" t="s">
        <v>1</v>
      </c>
      <c r="B22" s="230">
        <f>Invånare!B27</f>
        <v>14</v>
      </c>
      <c r="C22" s="321">
        <f>Invånare!C27</f>
        <v>283</v>
      </c>
      <c r="D22" s="230">
        <f>Invånare!D27</f>
        <v>80</v>
      </c>
      <c r="E22" s="230">
        <f>Invånare!E27</f>
        <v>54</v>
      </c>
      <c r="F22" s="230">
        <f>Invånare!F27</f>
        <v>18</v>
      </c>
      <c r="H22" s="100"/>
      <c r="L22" s="128">
        <f>SUM(B22:F22)-Invånare!B6</f>
        <v>0</v>
      </c>
      <c r="N22" s="211" t="s">
        <v>2</v>
      </c>
      <c r="O22" s="119"/>
      <c r="P22" s="322"/>
      <c r="Q22" s="119">
        <v>135</v>
      </c>
      <c r="R22" s="119">
        <v>81</v>
      </c>
      <c r="S22" s="119">
        <v>37</v>
      </c>
    </row>
    <row r="23" spans="1:19" ht="16.5" thickTop="1" thickBot="1">
      <c r="A23" s="211" t="s">
        <v>2</v>
      </c>
      <c r="B23" s="119">
        <f>Invånare!B28</f>
        <v>58</v>
      </c>
      <c r="C23" s="322">
        <f>Invånare!C28</f>
        <v>614</v>
      </c>
      <c r="D23" s="119">
        <f>Invånare!D28</f>
        <v>143</v>
      </c>
      <c r="E23" s="119">
        <f>Invånare!E28</f>
        <v>85</v>
      </c>
      <c r="F23" s="119">
        <f>Invånare!F28</f>
        <v>33</v>
      </c>
      <c r="H23" s="100"/>
      <c r="L23" s="128">
        <f>SUM(B23:F23)-Invånare!B7</f>
        <v>0</v>
      </c>
      <c r="N23" s="211" t="s">
        <v>3</v>
      </c>
      <c r="O23" s="119"/>
      <c r="P23" s="322"/>
      <c r="Q23" s="119">
        <v>318</v>
      </c>
      <c r="R23" s="119">
        <v>198</v>
      </c>
      <c r="S23" s="119">
        <v>61</v>
      </c>
    </row>
    <row r="24" spans="1:19" ht="16.5" thickTop="1" thickBot="1">
      <c r="A24" s="211" t="s">
        <v>3</v>
      </c>
      <c r="B24" s="119">
        <f>Invånare!B29</f>
        <v>195</v>
      </c>
      <c r="C24" s="322">
        <f>Invånare!C29</f>
        <v>1857</v>
      </c>
      <c r="D24" s="119">
        <f>Invånare!D29</f>
        <v>322</v>
      </c>
      <c r="E24" s="119">
        <f>Invånare!E29</f>
        <v>207</v>
      </c>
      <c r="F24" s="119">
        <f>Invånare!F29</f>
        <v>57</v>
      </c>
      <c r="H24" s="100"/>
      <c r="L24" s="128">
        <f>SUM(B24:F24)-Invånare!B8</f>
        <v>0</v>
      </c>
      <c r="N24" s="231" t="s">
        <v>4</v>
      </c>
      <c r="O24" s="232"/>
      <c r="P24" s="323"/>
      <c r="Q24" s="232">
        <v>91</v>
      </c>
      <c r="R24" s="232">
        <v>44</v>
      </c>
      <c r="S24" s="232">
        <v>31</v>
      </c>
    </row>
    <row r="25" spans="1:19" ht="16.5" thickTop="1" thickBot="1">
      <c r="A25" s="231" t="s">
        <v>4</v>
      </c>
      <c r="B25" s="232">
        <f>Invånare!B30</f>
        <v>36</v>
      </c>
      <c r="C25" s="323">
        <f>Invånare!C30</f>
        <v>303</v>
      </c>
      <c r="D25" s="232">
        <f>Invånare!D30</f>
        <v>85</v>
      </c>
      <c r="E25" s="232">
        <f>Invånare!E30</f>
        <v>48</v>
      </c>
      <c r="F25" s="232">
        <f>Invånare!F30</f>
        <v>29</v>
      </c>
      <c r="H25" s="100"/>
      <c r="L25" s="128">
        <f>SUM(B25:F25)-Invånare!B9</f>
        <v>0</v>
      </c>
      <c r="N25" s="233" t="s">
        <v>5</v>
      </c>
      <c r="O25" s="119"/>
      <c r="P25" s="322"/>
      <c r="Q25" s="119">
        <v>54</v>
      </c>
      <c r="R25" s="119">
        <v>40</v>
      </c>
      <c r="S25" s="119">
        <v>20</v>
      </c>
    </row>
    <row r="26" spans="1:19" ht="16.5" thickTop="1" thickBot="1">
      <c r="A26" s="233" t="s">
        <v>5</v>
      </c>
      <c r="B26" s="119">
        <f>Invånare!B31</f>
        <v>34</v>
      </c>
      <c r="C26" s="322">
        <f>Invånare!C31</f>
        <v>353</v>
      </c>
      <c r="D26" s="119">
        <f>Invånare!D31</f>
        <v>53</v>
      </c>
      <c r="E26" s="119">
        <f>Invånare!E31</f>
        <v>44</v>
      </c>
      <c r="F26" s="119">
        <f>Invånare!F31</f>
        <v>21</v>
      </c>
      <c r="H26" s="100"/>
      <c r="L26" s="128">
        <f>SUM(B26:F26)-Invånare!B10</f>
        <v>0</v>
      </c>
      <c r="N26" s="233" t="s">
        <v>6</v>
      </c>
      <c r="O26" s="119"/>
      <c r="P26" s="322"/>
      <c r="Q26" s="119">
        <v>202</v>
      </c>
      <c r="R26" s="119">
        <v>106</v>
      </c>
      <c r="S26" s="119">
        <v>46</v>
      </c>
    </row>
    <row r="27" spans="1:19" ht="16.5" thickTop="1" thickBot="1">
      <c r="A27" s="233" t="s">
        <v>6</v>
      </c>
      <c r="B27" s="119">
        <f>Invånare!B32</f>
        <v>119</v>
      </c>
      <c r="C27" s="322">
        <f>Invånare!C32</f>
        <v>1136</v>
      </c>
      <c r="D27" s="119">
        <f>Invånare!D32</f>
        <v>195</v>
      </c>
      <c r="E27" s="119">
        <f>Invånare!E32</f>
        <v>123</v>
      </c>
      <c r="F27" s="119">
        <f>Invånare!F32</f>
        <v>46</v>
      </c>
      <c r="H27" s="100"/>
      <c r="L27" s="128">
        <f>SUM(B27:F27)-Invånare!B11</f>
        <v>0</v>
      </c>
      <c r="N27" s="233" t="s">
        <v>7</v>
      </c>
      <c r="O27" s="119"/>
      <c r="P27" s="322"/>
      <c r="Q27" s="119">
        <v>503</v>
      </c>
      <c r="R27" s="119">
        <v>247</v>
      </c>
      <c r="S27" s="119">
        <v>66</v>
      </c>
    </row>
    <row r="28" spans="1:19" ht="16.5" thickTop="1" thickBot="1">
      <c r="A28" s="233" t="s">
        <v>7</v>
      </c>
      <c r="B28" s="119">
        <f>Invånare!B33</f>
        <v>540</v>
      </c>
      <c r="C28" s="322">
        <f>Invånare!C33</f>
        <v>4120</v>
      </c>
      <c r="D28" s="119">
        <f>Invånare!D33</f>
        <v>508</v>
      </c>
      <c r="E28" s="119">
        <f>Invånare!E33</f>
        <v>268</v>
      </c>
      <c r="F28" s="119">
        <f>Invånare!F33</f>
        <v>76</v>
      </c>
      <c r="H28" s="100"/>
      <c r="L28" s="128">
        <f>SUM(B28:F28)-Invånare!B12</f>
        <v>0</v>
      </c>
      <c r="N28" s="229" t="s">
        <v>8</v>
      </c>
      <c r="O28" s="230"/>
      <c r="P28" s="321"/>
      <c r="Q28" s="230">
        <v>58</v>
      </c>
      <c r="R28" s="230">
        <v>37</v>
      </c>
      <c r="S28" s="230">
        <v>22</v>
      </c>
    </row>
    <row r="29" spans="1:19" ht="16.5" thickTop="1" thickBot="1">
      <c r="A29" s="229" t="s">
        <v>8</v>
      </c>
      <c r="B29" s="230">
        <f>Invånare!B34</f>
        <v>18</v>
      </c>
      <c r="C29" s="321">
        <f>Invånare!C34</f>
        <v>173</v>
      </c>
      <c r="D29" s="230">
        <f>Invånare!D34</f>
        <v>66</v>
      </c>
      <c r="E29" s="230">
        <f>Invånare!E34</f>
        <v>33</v>
      </c>
      <c r="F29" s="230">
        <f>Invånare!F34</f>
        <v>23</v>
      </c>
      <c r="H29" s="218"/>
      <c r="L29" s="128">
        <f>SUM(B29:F29)-Invånare!B13</f>
        <v>0</v>
      </c>
      <c r="N29" s="229" t="s">
        <v>9</v>
      </c>
      <c r="O29" s="230"/>
      <c r="P29" s="321"/>
      <c r="Q29" s="230">
        <v>43</v>
      </c>
      <c r="R29" s="230">
        <v>31</v>
      </c>
      <c r="S29" s="230">
        <v>12</v>
      </c>
    </row>
    <row r="30" spans="1:19" ht="16.5" thickTop="1" thickBot="1">
      <c r="A30" s="229" t="s">
        <v>9</v>
      </c>
      <c r="B30" s="230">
        <f>Invånare!B35</f>
        <v>5</v>
      </c>
      <c r="C30" s="321">
        <f>Invånare!C35</f>
        <v>139</v>
      </c>
      <c r="D30" s="230">
        <f>Invånare!D35</f>
        <v>34</v>
      </c>
      <c r="E30" s="230">
        <f>Invånare!E35</f>
        <v>34</v>
      </c>
      <c r="F30" s="230">
        <f>Invånare!F35</f>
        <v>12</v>
      </c>
      <c r="H30" s="218"/>
      <c r="L30" s="128">
        <f>SUM(B30:F30)-Invånare!B14</f>
        <v>0</v>
      </c>
      <c r="N30" s="233" t="s">
        <v>10</v>
      </c>
      <c r="O30" s="119"/>
      <c r="P30" s="322"/>
      <c r="Q30" s="119">
        <v>232</v>
      </c>
      <c r="R30" s="119">
        <v>120</v>
      </c>
      <c r="S30" s="119">
        <v>33</v>
      </c>
    </row>
    <row r="31" spans="1:19" ht="16.5" thickTop="1" thickBot="1">
      <c r="A31" s="233" t="s">
        <v>10</v>
      </c>
      <c r="B31" s="119">
        <f>Invånare!B36</f>
        <v>215</v>
      </c>
      <c r="C31" s="322">
        <f>Invånare!C36</f>
        <v>1515</v>
      </c>
      <c r="D31" s="119">
        <f>Invånare!D36</f>
        <v>234</v>
      </c>
      <c r="E31" s="119">
        <f>Invånare!E36</f>
        <v>132</v>
      </c>
      <c r="F31" s="119">
        <f>Invånare!F36</f>
        <v>39</v>
      </c>
      <c r="H31" s="100"/>
      <c r="L31" s="128">
        <f>SUM(B31:F31)-Invånare!B15</f>
        <v>0</v>
      </c>
      <c r="N31" s="233" t="s">
        <v>11</v>
      </c>
      <c r="O31" s="119"/>
      <c r="P31" s="322"/>
      <c r="Q31" s="119">
        <v>51</v>
      </c>
      <c r="R31" s="119">
        <v>39</v>
      </c>
      <c r="S31" s="119">
        <v>12</v>
      </c>
    </row>
    <row r="32" spans="1:19" ht="16.5" thickTop="1" thickBot="1">
      <c r="A32" s="233" t="s">
        <v>11</v>
      </c>
      <c r="B32" s="119">
        <f>Invånare!B37</f>
        <v>16</v>
      </c>
      <c r="C32" s="322">
        <f>Invånare!C37</f>
        <v>253</v>
      </c>
      <c r="D32" s="119">
        <f>Invånare!D37</f>
        <v>55</v>
      </c>
      <c r="E32" s="119">
        <f>Invånare!E37</f>
        <v>38</v>
      </c>
      <c r="F32" s="119">
        <f>Invånare!F37</f>
        <v>14</v>
      </c>
      <c r="H32" s="100"/>
      <c r="L32" s="128">
        <f>SUM(B32:F32)-Invånare!B16</f>
        <v>0</v>
      </c>
      <c r="N32" s="233" t="s">
        <v>12</v>
      </c>
      <c r="O32" s="119"/>
      <c r="P32" s="322"/>
      <c r="Q32" s="119">
        <v>258</v>
      </c>
      <c r="R32" s="119">
        <v>135</v>
      </c>
      <c r="S32" s="119">
        <v>71</v>
      </c>
    </row>
    <row r="33" spans="1:20" ht="16.5" thickTop="1" thickBot="1">
      <c r="A33" s="233" t="s">
        <v>12</v>
      </c>
      <c r="B33" s="119">
        <f>Invånare!B38</f>
        <v>138</v>
      </c>
      <c r="C33" s="322">
        <f>Invånare!C38</f>
        <v>1203</v>
      </c>
      <c r="D33" s="119">
        <f>Invånare!D38</f>
        <v>257</v>
      </c>
      <c r="E33" s="119">
        <f>Invånare!E38</f>
        <v>139</v>
      </c>
      <c r="F33" s="119">
        <f>Invånare!F38</f>
        <v>73</v>
      </c>
      <c r="H33" s="100"/>
      <c r="L33" s="128">
        <f>SUM(B33:F33)-Invånare!B17</f>
        <v>0</v>
      </c>
      <c r="N33" s="229" t="s">
        <v>13</v>
      </c>
      <c r="O33" s="230"/>
      <c r="P33" s="321"/>
      <c r="Q33" s="230">
        <v>17</v>
      </c>
      <c r="R33" s="230">
        <v>14</v>
      </c>
      <c r="S33" s="230">
        <v>6</v>
      </c>
    </row>
    <row r="34" spans="1:20" ht="16.5" thickTop="1" thickBot="1">
      <c r="A34" s="229" t="s">
        <v>13</v>
      </c>
      <c r="B34" s="230">
        <f>Invånare!B39</f>
        <v>9</v>
      </c>
      <c r="C34" s="321">
        <f>Invånare!C39</f>
        <v>59</v>
      </c>
      <c r="D34" s="230">
        <f>Invånare!D39</f>
        <v>17</v>
      </c>
      <c r="E34" s="230">
        <f>Invånare!E39</f>
        <v>15</v>
      </c>
      <c r="F34" s="230">
        <f>Invånare!F39</f>
        <v>5</v>
      </c>
      <c r="H34" s="100"/>
      <c r="L34" s="128">
        <f>SUM(B34:F34)-Invånare!B18</f>
        <v>0</v>
      </c>
      <c r="N34" s="233" t="s">
        <v>14</v>
      </c>
      <c r="O34" s="119"/>
      <c r="P34" s="322"/>
      <c r="Q34" s="119">
        <v>161</v>
      </c>
      <c r="R34" s="119">
        <v>75</v>
      </c>
      <c r="S34" s="119">
        <v>28</v>
      </c>
    </row>
    <row r="35" spans="1:20" ht="16.5" thickTop="1" thickBot="1">
      <c r="A35" s="233" t="s">
        <v>14</v>
      </c>
      <c r="B35" s="119">
        <f>Invånare!B40</f>
        <v>60</v>
      </c>
      <c r="C35" s="322">
        <f>Invånare!C40</f>
        <v>685</v>
      </c>
      <c r="D35" s="119">
        <f>Invånare!D40</f>
        <v>152</v>
      </c>
      <c r="E35" s="119">
        <f>Invånare!E40</f>
        <v>94</v>
      </c>
      <c r="F35" s="119">
        <f>Invånare!F40</f>
        <v>28</v>
      </c>
      <c r="H35" s="100"/>
      <c r="L35" s="128">
        <f>SUM(B35:F35)-Invånare!B19</f>
        <v>0</v>
      </c>
      <c r="N35" s="231" t="s">
        <v>15</v>
      </c>
      <c r="O35" s="232"/>
      <c r="P35" s="323"/>
      <c r="Q35" s="232">
        <v>67</v>
      </c>
      <c r="R35" s="232">
        <v>44</v>
      </c>
      <c r="S35" s="232">
        <v>27</v>
      </c>
    </row>
    <row r="36" spans="1:20" ht="16.5" thickTop="1" thickBot="1">
      <c r="A36" s="231" t="s">
        <v>15</v>
      </c>
      <c r="B36" s="232">
        <f>Invånare!B41</f>
        <v>39</v>
      </c>
      <c r="C36" s="323">
        <f>Invånare!C41</f>
        <v>292</v>
      </c>
      <c r="D36" s="232">
        <f>Invånare!D41</f>
        <v>63</v>
      </c>
      <c r="E36" s="232">
        <f>Invånare!E41</f>
        <v>41</v>
      </c>
      <c r="F36" s="232">
        <f>Invånare!F41</f>
        <v>28</v>
      </c>
      <c r="H36" s="100"/>
      <c r="L36" s="128">
        <f>SUM(B36:F36)-Invånare!B20</f>
        <v>0</v>
      </c>
      <c r="N36" s="211" t="s">
        <v>16</v>
      </c>
      <c r="O36" s="119"/>
      <c r="P36" s="322"/>
      <c r="Q36" s="119">
        <v>1586</v>
      </c>
      <c r="R36" s="119">
        <v>961</v>
      </c>
      <c r="S36" s="119">
        <v>363</v>
      </c>
    </row>
    <row r="37" spans="1:20" ht="16.5" thickTop="1" thickBot="1">
      <c r="A37" s="211" t="s">
        <v>16</v>
      </c>
      <c r="B37" s="119">
        <f>Invånare!B42</f>
        <v>662</v>
      </c>
      <c r="C37" s="322">
        <f>Invånare!C42</f>
        <v>8101</v>
      </c>
      <c r="D37" s="119">
        <f>Invånare!D42</f>
        <v>1564</v>
      </c>
      <c r="E37" s="119">
        <f>Invånare!E42</f>
        <v>1036</v>
      </c>
      <c r="F37" s="119">
        <f>Invånare!F42</f>
        <v>379</v>
      </c>
      <c r="H37" s="100"/>
      <c r="L37" s="128">
        <f>SUM(B37:F37)-Invånare!B21</f>
        <v>0</v>
      </c>
      <c r="N37" s="234" t="s">
        <v>18</v>
      </c>
      <c r="O37" s="235"/>
      <c r="P37" s="324"/>
      <c r="Q37" s="235">
        <v>3854</v>
      </c>
      <c r="R37" s="235">
        <v>2220</v>
      </c>
      <c r="S37" s="235">
        <v>857</v>
      </c>
    </row>
    <row r="38" spans="1:20" ht="16.5" thickTop="1" thickBot="1">
      <c r="A38" s="234" t="s">
        <v>18</v>
      </c>
      <c r="B38" s="235">
        <f t="shared" ref="B38:F38" si="0">SUM(B22:B37)</f>
        <v>2158</v>
      </c>
      <c r="C38" s="324">
        <f t="shared" si="0"/>
        <v>21086</v>
      </c>
      <c r="D38" s="235">
        <f t="shared" si="0"/>
        <v>3828</v>
      </c>
      <c r="E38" s="235">
        <f t="shared" si="0"/>
        <v>2391</v>
      </c>
      <c r="F38" s="235">
        <f t="shared" si="0"/>
        <v>881</v>
      </c>
      <c r="H38" s="100"/>
      <c r="L38" s="236">
        <f>SUM(L22:L37)</f>
        <v>0</v>
      </c>
    </row>
    <row r="39" spans="1:20" ht="16" thickTop="1">
      <c r="A39" s="67"/>
      <c r="B39" s="100"/>
      <c r="C39" s="100"/>
      <c r="D39" s="100"/>
      <c r="E39" s="100"/>
      <c r="F39" s="100"/>
      <c r="H39" s="100"/>
      <c r="L39" s="100"/>
    </row>
    <row r="40" spans="1:20">
      <c r="A40" s="100"/>
      <c r="B40" s="100"/>
      <c r="C40" s="100"/>
      <c r="D40" s="100"/>
      <c r="E40" s="100"/>
      <c r="F40" s="100"/>
      <c r="G40" s="100"/>
      <c r="H40" s="100"/>
    </row>
    <row r="41" spans="1:20">
      <c r="A41" s="180" t="s">
        <v>44</v>
      </c>
      <c r="B41" s="237"/>
      <c r="C41" s="237"/>
      <c r="D41" s="237"/>
      <c r="E41" s="237"/>
      <c r="F41" s="237"/>
      <c r="G41" s="237"/>
      <c r="H41" s="100"/>
      <c r="N41" s="180" t="s">
        <v>333</v>
      </c>
      <c r="O41" s="237"/>
      <c r="P41" s="237"/>
      <c r="Q41" s="237"/>
      <c r="R41" s="237"/>
      <c r="S41" s="237"/>
      <c r="T41" s="237"/>
    </row>
    <row r="42" spans="1:20">
      <c r="A42" s="135"/>
      <c r="B42" s="135" t="s">
        <v>24</v>
      </c>
      <c r="C42" s="319"/>
      <c r="D42" s="135" t="s">
        <v>26</v>
      </c>
      <c r="E42" s="135" t="s">
        <v>27</v>
      </c>
      <c r="F42" s="135" t="s">
        <v>28</v>
      </c>
      <c r="G42" s="238" t="s">
        <v>299</v>
      </c>
      <c r="H42" s="100"/>
      <c r="I42" s="238" t="s">
        <v>300</v>
      </c>
      <c r="N42" s="135"/>
      <c r="O42" s="135"/>
      <c r="P42" s="319"/>
      <c r="Q42" s="135" t="s">
        <v>26</v>
      </c>
      <c r="R42" s="135" t="s">
        <v>27</v>
      </c>
      <c r="S42" s="135" t="s">
        <v>28</v>
      </c>
      <c r="T42" s="238" t="s">
        <v>299</v>
      </c>
    </row>
    <row r="43" spans="1:20">
      <c r="A43" s="239" t="s">
        <v>1</v>
      </c>
      <c r="B43" s="240">
        <f>B9*$E$17*B22</f>
        <v>64069.727399999996</v>
      </c>
      <c r="C43" s="240"/>
      <c r="D43" s="240">
        <f>D9*$C$17*D22</f>
        <v>32850.22</v>
      </c>
      <c r="E43" s="240">
        <f>E9*$C$17*E22</f>
        <v>90320.197500000009</v>
      </c>
      <c r="F43" s="240">
        <f>F9*$C$17*F22</f>
        <v>119635.4835</v>
      </c>
      <c r="G43" s="523">
        <f>ROUND(SUM(D43:F43),2)</f>
        <v>242805.9</v>
      </c>
      <c r="H43" s="100"/>
      <c r="I43" s="364">
        <f>B43</f>
        <v>64069.727399999996</v>
      </c>
      <c r="N43" s="239" t="s">
        <v>1</v>
      </c>
      <c r="O43" s="240"/>
      <c r="P43" s="240"/>
      <c r="Q43" s="240">
        <v>32700.232500000002</v>
      </c>
      <c r="R43" s="240">
        <v>88643.567999999999</v>
      </c>
      <c r="S43" s="240">
        <v>143706.20550000001</v>
      </c>
      <c r="T43" s="523">
        <f>SUM(Q43:S43)</f>
        <v>265050.00599999999</v>
      </c>
    </row>
    <row r="44" spans="1:20">
      <c r="A44" s="183" t="s">
        <v>2</v>
      </c>
      <c r="B44" s="241">
        <f>B9*B23*$E$15</f>
        <v>120387.06780000002</v>
      </c>
      <c r="C44" s="241"/>
      <c r="D44" s="241">
        <f>D9*D23*$C$15</f>
        <v>22584.526249999999</v>
      </c>
      <c r="E44" s="241">
        <f>E9*E23*$C$15</f>
        <v>54681.03125</v>
      </c>
      <c r="F44" s="241">
        <f>F9*F23*$C$15</f>
        <v>84358.353749999995</v>
      </c>
      <c r="G44" s="523">
        <f t="shared" ref="G44:G58" si="1">ROUND(SUM(D44:F44),2)</f>
        <v>161623.91</v>
      </c>
      <c r="H44" s="100"/>
      <c r="I44" s="364">
        <f t="shared" ref="I44:I59" si="2">B44</f>
        <v>120387.06780000002</v>
      </c>
      <c r="N44" s="183" t="s">
        <v>2</v>
      </c>
      <c r="O44" s="241"/>
      <c r="P44" s="241"/>
      <c r="Q44" s="241">
        <v>21767.90625</v>
      </c>
      <c r="R44" s="241">
        <v>57533.084999999999</v>
      </c>
      <c r="S44" s="241">
        <v>92956.811249999999</v>
      </c>
      <c r="T44" s="523">
        <f t="shared" ref="T44:T58" si="3">SUM(Q44:S44)</f>
        <v>172257.80249999999</v>
      </c>
    </row>
    <row r="45" spans="1:20">
      <c r="A45" s="183" t="s">
        <v>3</v>
      </c>
      <c r="B45" s="241">
        <f>B9*B24*$E$15</f>
        <v>404749.62450000003</v>
      </c>
      <c r="C45" s="241"/>
      <c r="D45" s="241">
        <f>D9*D24*$C$15</f>
        <v>50854.667500000003</v>
      </c>
      <c r="E45" s="241">
        <f>E9*E24*$C$15</f>
        <v>133164.39374999999</v>
      </c>
      <c r="F45" s="241">
        <f>F9*F24*$C$15</f>
        <v>145709.88374999998</v>
      </c>
      <c r="G45" s="523">
        <f t="shared" si="1"/>
        <v>329728.95</v>
      </c>
      <c r="H45" s="100"/>
      <c r="I45" s="364">
        <f t="shared" si="2"/>
        <v>404749.62450000003</v>
      </c>
      <c r="N45" s="183" t="s">
        <v>3</v>
      </c>
      <c r="O45" s="241"/>
      <c r="P45" s="241"/>
      <c r="Q45" s="241">
        <v>51275.512500000004</v>
      </c>
      <c r="R45" s="241">
        <v>140636.43</v>
      </c>
      <c r="S45" s="241">
        <v>153253.12125</v>
      </c>
      <c r="T45" s="523">
        <f t="shared" si="3"/>
        <v>345165.06374999997</v>
      </c>
    </row>
    <row r="46" spans="1:20">
      <c r="A46" s="242" t="s">
        <v>4</v>
      </c>
      <c r="B46" s="243">
        <f>B9*B25*$E$16</f>
        <v>142243.79760000002</v>
      </c>
      <c r="C46" s="243"/>
      <c r="D46" s="243">
        <f>D9*D25*$C$16</f>
        <v>29533.611250000002</v>
      </c>
      <c r="E46" s="243">
        <f>E9*E25*$C$16</f>
        <v>67933.14</v>
      </c>
      <c r="F46" s="243">
        <f>F9*F25*$C$16</f>
        <v>163092.81724999999</v>
      </c>
      <c r="G46" s="523">
        <f t="shared" si="1"/>
        <v>260559.57</v>
      </c>
      <c r="H46" s="100"/>
      <c r="I46" s="364">
        <f t="shared" si="2"/>
        <v>142243.79760000002</v>
      </c>
      <c r="N46" s="242" t="s">
        <v>4</v>
      </c>
      <c r="O46" s="243"/>
      <c r="P46" s="243"/>
      <c r="Q46" s="243">
        <v>32280.998750000002</v>
      </c>
      <c r="R46" s="243">
        <v>68755.588000000003</v>
      </c>
      <c r="S46" s="243">
        <v>171342.01425000001</v>
      </c>
      <c r="T46" s="523">
        <f t="shared" si="3"/>
        <v>272378.60100000002</v>
      </c>
    </row>
    <row r="47" spans="1:20">
      <c r="A47" s="183" t="s">
        <v>5</v>
      </c>
      <c r="B47" s="241">
        <f>B9*B26*$E$15</f>
        <v>70571.729400000011</v>
      </c>
      <c r="C47" s="241"/>
      <c r="D47" s="241">
        <f>D9*D26*$C$15</f>
        <v>8370.4887500000004</v>
      </c>
      <c r="E47" s="241">
        <f>E9*E26*$C$15</f>
        <v>28305.474999999999</v>
      </c>
      <c r="F47" s="241">
        <f>F9*F26*$C$15</f>
        <v>53682.588749999995</v>
      </c>
      <c r="G47" s="523">
        <f t="shared" si="1"/>
        <v>90358.55</v>
      </c>
      <c r="H47" s="100"/>
      <c r="I47" s="364">
        <f t="shared" si="2"/>
        <v>70571.729400000011</v>
      </c>
      <c r="N47" s="183" t="s">
        <v>5</v>
      </c>
      <c r="O47" s="241"/>
      <c r="P47" s="241"/>
      <c r="Q47" s="241">
        <v>8707.1625000000004</v>
      </c>
      <c r="R47" s="241">
        <v>28411.399999999998</v>
      </c>
      <c r="S47" s="241">
        <v>50246.925000000003</v>
      </c>
      <c r="T47" s="523">
        <f t="shared" si="3"/>
        <v>87365.487500000003</v>
      </c>
    </row>
    <row r="48" spans="1:20">
      <c r="A48" s="183" t="s">
        <v>6</v>
      </c>
      <c r="B48" s="241">
        <f>B9*B27*$E$15</f>
        <v>247001.05290000004</v>
      </c>
      <c r="C48" s="241"/>
      <c r="D48" s="241">
        <f>D9*D27*$C$15</f>
        <v>30797.081249999999</v>
      </c>
      <c r="E48" s="241">
        <f>E9*E27*$C$15</f>
        <v>79126.668749999997</v>
      </c>
      <c r="F48" s="241">
        <f>F9*F27*$C$15</f>
        <v>117590.4325</v>
      </c>
      <c r="G48" s="523">
        <f t="shared" si="1"/>
        <v>227514.18</v>
      </c>
      <c r="H48" s="100"/>
      <c r="I48" s="364">
        <f t="shared" si="2"/>
        <v>247001.05290000004</v>
      </c>
      <c r="N48" s="183" t="s">
        <v>6</v>
      </c>
      <c r="O48" s="241"/>
      <c r="P48" s="241"/>
      <c r="Q48" s="241">
        <v>32571.237500000003</v>
      </c>
      <c r="R48" s="241">
        <v>75290.209999999992</v>
      </c>
      <c r="S48" s="241">
        <v>115567.92750000001</v>
      </c>
      <c r="T48" s="523">
        <f t="shared" si="3"/>
        <v>223429.375</v>
      </c>
    </row>
    <row r="49" spans="1:20">
      <c r="A49" s="183" t="s">
        <v>7</v>
      </c>
      <c r="B49" s="241">
        <f>B9*B28*$E$15</f>
        <v>1120845.1140000001</v>
      </c>
      <c r="C49" s="241"/>
      <c r="D49" s="241">
        <f>D9*D28*$C$15</f>
        <v>80230.345000000001</v>
      </c>
      <c r="E49" s="241">
        <f>E9*E28*$C$15</f>
        <v>172406.07499999998</v>
      </c>
      <c r="F49" s="241">
        <f>F9*F28*$C$15</f>
        <v>194279.84499999997</v>
      </c>
      <c r="G49" s="523">
        <f t="shared" si="1"/>
        <v>446916.27</v>
      </c>
      <c r="H49" s="100"/>
      <c r="I49" s="364">
        <f t="shared" si="2"/>
        <v>1120845.1140000001</v>
      </c>
      <c r="N49" s="183" t="s">
        <v>7</v>
      </c>
      <c r="O49" s="241"/>
      <c r="P49" s="241"/>
      <c r="Q49" s="241">
        <v>81105.606249999997</v>
      </c>
      <c r="R49" s="241">
        <v>175440.39499999999</v>
      </c>
      <c r="S49" s="241">
        <v>165814.85250000001</v>
      </c>
      <c r="T49" s="523">
        <f t="shared" si="3"/>
        <v>422360.85375000001</v>
      </c>
    </row>
    <row r="50" spans="1:20">
      <c r="A50" s="239" t="s">
        <v>8</v>
      </c>
      <c r="B50" s="240">
        <f>B9*$E$17*B29</f>
        <v>82375.363799999992</v>
      </c>
      <c r="C50" s="240"/>
      <c r="D50" s="240">
        <f>D9*$C$17*D29</f>
        <v>27101.431500000002</v>
      </c>
      <c r="E50" s="240">
        <f>E9*$C$17*E29</f>
        <v>55195.676250000004</v>
      </c>
      <c r="F50" s="240">
        <f>F9*$C$17*F29</f>
        <v>152867.56225000002</v>
      </c>
      <c r="G50" s="523">
        <f t="shared" si="1"/>
        <v>235164.67</v>
      </c>
      <c r="H50" s="100"/>
      <c r="I50" s="364">
        <f t="shared" si="2"/>
        <v>82375.363799999992</v>
      </c>
      <c r="N50" s="239" t="s">
        <v>8</v>
      </c>
      <c r="O50" s="240"/>
      <c r="P50" s="240"/>
      <c r="Q50" s="240">
        <v>24315.557500000003</v>
      </c>
      <c r="R50" s="240">
        <v>68329.417000000001</v>
      </c>
      <c r="S50" s="240">
        <v>143706.20550000001</v>
      </c>
      <c r="T50" s="523">
        <f t="shared" si="3"/>
        <v>236351.18000000002</v>
      </c>
    </row>
    <row r="51" spans="1:20">
      <c r="A51" s="239" t="s">
        <v>9</v>
      </c>
      <c r="B51" s="240">
        <f>B9*$E$17*B30</f>
        <v>22882.0455</v>
      </c>
      <c r="C51" s="240"/>
      <c r="D51" s="240">
        <f>D9*$C$17*D30</f>
        <v>13961.343500000001</v>
      </c>
      <c r="E51" s="240">
        <f>E9*$C$17*E30</f>
        <v>56868.272499999999</v>
      </c>
      <c r="F51" s="240">
        <f>F9*$C$17*F30</f>
        <v>79756.989000000001</v>
      </c>
      <c r="G51" s="523">
        <f t="shared" si="1"/>
        <v>150586.60999999999</v>
      </c>
      <c r="H51" s="100"/>
      <c r="I51" s="364">
        <f t="shared" si="2"/>
        <v>22882.0455</v>
      </c>
      <c r="N51" s="239" t="s">
        <v>9</v>
      </c>
      <c r="O51" s="240"/>
      <c r="P51" s="240"/>
      <c r="Q51" s="240">
        <v>18027.05125</v>
      </c>
      <c r="R51" s="240">
        <v>57248.970999999998</v>
      </c>
      <c r="S51" s="240">
        <v>78385.203000000009</v>
      </c>
      <c r="T51" s="523">
        <f t="shared" si="3"/>
        <v>153661.22525000002</v>
      </c>
    </row>
    <row r="52" spans="1:20">
      <c r="A52" s="183" t="s">
        <v>10</v>
      </c>
      <c r="B52" s="241">
        <f>B9*B31*$E$15</f>
        <v>446262.40650000004</v>
      </c>
      <c r="C52" s="241"/>
      <c r="D52" s="241">
        <f>D9*D31*$C$15</f>
        <v>36956.497499999998</v>
      </c>
      <c r="E52" s="241">
        <f>E9*E31*$C$15</f>
        <v>84916.425000000003</v>
      </c>
      <c r="F52" s="241">
        <f>F9*F31*$C$15</f>
        <v>99696.236249999987</v>
      </c>
      <c r="G52" s="523">
        <f t="shared" si="1"/>
        <v>221569.16</v>
      </c>
      <c r="H52" s="100"/>
      <c r="I52" s="364">
        <f t="shared" si="2"/>
        <v>446262.40650000004</v>
      </c>
      <c r="N52" s="183" t="s">
        <v>10</v>
      </c>
      <c r="O52" s="241"/>
      <c r="P52" s="241"/>
      <c r="Q52" s="241">
        <v>37408.550000000003</v>
      </c>
      <c r="R52" s="241">
        <v>85234.2</v>
      </c>
      <c r="S52" s="241">
        <v>82907.426250000004</v>
      </c>
      <c r="T52" s="523">
        <f t="shared" si="3"/>
        <v>205550.17625000002</v>
      </c>
    </row>
    <row r="53" spans="1:20">
      <c r="A53" s="183" t="s">
        <v>11</v>
      </c>
      <c r="B53" s="241">
        <f>B9*B32*$E$15</f>
        <v>33210.225600000005</v>
      </c>
      <c r="C53" s="241"/>
      <c r="D53" s="241">
        <f>D9*D32*$C$15</f>
        <v>8686.3562500000007</v>
      </c>
      <c r="E53" s="241">
        <f>E9*E32*$C$15</f>
        <v>24445.637500000001</v>
      </c>
      <c r="F53" s="241">
        <f>F9*F32*$C$15</f>
        <v>35788.392499999994</v>
      </c>
      <c r="G53" s="523">
        <f t="shared" si="1"/>
        <v>68920.39</v>
      </c>
      <c r="H53" s="100"/>
      <c r="I53" s="364">
        <f t="shared" si="2"/>
        <v>33210.225600000005</v>
      </c>
      <c r="N53" s="183" t="s">
        <v>11</v>
      </c>
      <c r="O53" s="241"/>
      <c r="P53" s="241"/>
      <c r="Q53" s="241">
        <v>8223.4312499999996</v>
      </c>
      <c r="R53" s="241">
        <v>27701.114999999998</v>
      </c>
      <c r="S53" s="241">
        <v>30148.154999999999</v>
      </c>
      <c r="T53" s="523">
        <f t="shared" si="3"/>
        <v>66072.701249999998</v>
      </c>
    </row>
    <row r="54" spans="1:20">
      <c r="A54" s="183" t="s">
        <v>12</v>
      </c>
      <c r="B54" s="241">
        <f>B9*B33*$E$15</f>
        <v>286438.19580000004</v>
      </c>
      <c r="C54" s="241"/>
      <c r="D54" s="241">
        <f>D9*D33*$C$15</f>
        <v>40588.973749999997</v>
      </c>
      <c r="E54" s="241">
        <f>E9*E33*$C$15</f>
        <v>89419.568749999991</v>
      </c>
      <c r="F54" s="241">
        <f>F9*F33*$C$15</f>
        <v>186610.90375</v>
      </c>
      <c r="G54" s="523">
        <f t="shared" si="1"/>
        <v>316619.45</v>
      </c>
      <c r="H54" s="100"/>
      <c r="I54" s="364">
        <f t="shared" si="2"/>
        <v>286438.19580000004</v>
      </c>
      <c r="N54" s="183" t="s">
        <v>12</v>
      </c>
      <c r="O54" s="241"/>
      <c r="P54" s="241"/>
      <c r="Q54" s="241">
        <v>41600.887500000004</v>
      </c>
      <c r="R54" s="241">
        <v>95888.474999999991</v>
      </c>
      <c r="S54" s="241">
        <v>178376.58374999999</v>
      </c>
      <c r="T54" s="523">
        <f t="shared" si="3"/>
        <v>315865.94624999998</v>
      </c>
    </row>
    <row r="55" spans="1:20">
      <c r="A55" s="239" t="s">
        <v>13</v>
      </c>
      <c r="B55" s="240">
        <f>B9*$E$17*B34</f>
        <v>41187.681899999996</v>
      </c>
      <c r="C55" s="240"/>
      <c r="D55" s="240">
        <f>D9*$C$17*D34</f>
        <v>6980.6717500000004</v>
      </c>
      <c r="E55" s="240">
        <f>E9*$C$17*E34</f>
        <v>25088.943750000002</v>
      </c>
      <c r="F55" s="240">
        <f>F9*$C$17*F34</f>
        <v>33232.078750000001</v>
      </c>
      <c r="G55" s="523">
        <f t="shared" si="1"/>
        <v>65301.69</v>
      </c>
      <c r="H55" s="100"/>
      <c r="I55" s="364">
        <f t="shared" si="2"/>
        <v>41187.681899999996</v>
      </c>
      <c r="N55" s="239" t="s">
        <v>13</v>
      </c>
      <c r="O55" s="240"/>
      <c r="P55" s="240"/>
      <c r="Q55" s="240">
        <v>7126.973750000001</v>
      </c>
      <c r="R55" s="240">
        <v>25854.374</v>
      </c>
      <c r="S55" s="240">
        <v>39192.601500000004</v>
      </c>
      <c r="T55" s="523">
        <f t="shared" si="3"/>
        <v>72173.949250000005</v>
      </c>
    </row>
    <row r="56" spans="1:20">
      <c r="A56" s="183" t="s">
        <v>14</v>
      </c>
      <c r="B56" s="241">
        <f>B9*B35*$E$15</f>
        <v>124538.34600000001</v>
      </c>
      <c r="C56" s="241"/>
      <c r="D56" s="241">
        <f>D9*D35*$C$15</f>
        <v>24005.93</v>
      </c>
      <c r="E56" s="241">
        <f>E9*E35*$C$15</f>
        <v>60470.787499999999</v>
      </c>
      <c r="F56" s="241">
        <f>F9*F35*$C$15</f>
        <v>71576.784999999989</v>
      </c>
      <c r="G56" s="523">
        <f t="shared" si="1"/>
        <v>156053.5</v>
      </c>
      <c r="H56" s="100"/>
      <c r="I56" s="364">
        <f t="shared" si="2"/>
        <v>124538.34600000001</v>
      </c>
      <c r="N56" s="183" t="s">
        <v>14</v>
      </c>
      <c r="O56" s="241"/>
      <c r="P56" s="241"/>
      <c r="Q56" s="241">
        <v>25960.243750000001</v>
      </c>
      <c r="R56" s="241">
        <v>53271.375</v>
      </c>
      <c r="S56" s="241">
        <v>70345.695000000007</v>
      </c>
      <c r="T56" s="523">
        <f t="shared" si="3"/>
        <v>149577.31375</v>
      </c>
    </row>
    <row r="57" spans="1:20">
      <c r="A57" s="244" t="s">
        <v>15</v>
      </c>
      <c r="B57" s="243">
        <f>B9*B36*$E$16</f>
        <v>154097.4474</v>
      </c>
      <c r="C57" s="243"/>
      <c r="D57" s="243">
        <f>D9*D36*$C$16</f>
        <v>21889.617750000001</v>
      </c>
      <c r="E57" s="243">
        <f>E9*E36*$C$16</f>
        <v>58026.223749999997</v>
      </c>
      <c r="F57" s="243">
        <f>F9*F36*$C$16</f>
        <v>157468.927</v>
      </c>
      <c r="G57" s="523">
        <f t="shared" si="1"/>
        <v>237384.77</v>
      </c>
      <c r="H57" s="100"/>
      <c r="I57" s="364">
        <f t="shared" si="2"/>
        <v>154097.4474</v>
      </c>
      <c r="N57" s="244" t="s">
        <v>15</v>
      </c>
      <c r="O57" s="243"/>
      <c r="P57" s="243"/>
      <c r="Q57" s="243">
        <v>23767.328750000004</v>
      </c>
      <c r="R57" s="243">
        <v>68755.588000000003</v>
      </c>
      <c r="S57" s="243">
        <v>149233.36725000001</v>
      </c>
      <c r="T57" s="523">
        <f t="shared" si="3"/>
        <v>241756.28400000001</v>
      </c>
    </row>
    <row r="58" spans="1:20" ht="16" thickBot="1">
      <c r="A58" s="183" t="s">
        <v>16</v>
      </c>
      <c r="B58" s="241">
        <f>B9*B37*$E$15</f>
        <v>1374073.0842000002</v>
      </c>
      <c r="C58" s="241"/>
      <c r="D58" s="241">
        <f>D9*D37*$C$15</f>
        <v>247008.38500000001</v>
      </c>
      <c r="E58" s="241">
        <f>E9*E37*$C$15</f>
        <v>666465.27500000002</v>
      </c>
      <c r="F58" s="241">
        <f>F9*F37*$C$15</f>
        <v>968842.91124999989</v>
      </c>
      <c r="G58" s="523">
        <f t="shared" si="1"/>
        <v>1882316.57</v>
      </c>
      <c r="H58" s="100"/>
      <c r="I58" s="364">
        <f t="shared" si="2"/>
        <v>1374073.0842000002</v>
      </c>
      <c r="N58" s="183" t="s">
        <v>16</v>
      </c>
      <c r="O58" s="241"/>
      <c r="P58" s="241"/>
      <c r="Q58" s="241">
        <v>255732.58750000002</v>
      </c>
      <c r="R58" s="241">
        <v>682583.88500000001</v>
      </c>
      <c r="S58" s="241">
        <v>911981.68874999997</v>
      </c>
      <c r="T58" s="523">
        <f t="shared" si="3"/>
        <v>1850298.1612499999</v>
      </c>
    </row>
    <row r="59" spans="1:20" ht="16.5" thickTop="1" thickBot="1">
      <c r="A59" s="245" t="s">
        <v>18</v>
      </c>
      <c r="B59" s="246">
        <f>SUM(B43:B58)</f>
        <v>4734932.9103000006</v>
      </c>
      <c r="C59" s="192"/>
      <c r="D59" s="246">
        <f t="shared" ref="D59:E59" si="4">SUM(D43:D58)</f>
        <v>682400.147</v>
      </c>
      <c r="E59" s="246">
        <f t="shared" si="4"/>
        <v>1746833.7912499998</v>
      </c>
      <c r="F59" s="246">
        <f>SUM(F43:F58)</f>
        <v>2664190.19025</v>
      </c>
      <c r="G59" s="524">
        <f>SUM(G43:G58)</f>
        <v>5093424.1400000006</v>
      </c>
      <c r="I59" s="365">
        <f t="shared" si="2"/>
        <v>4734932.9103000006</v>
      </c>
      <c r="L59" s="128">
        <f>G59-Sociala!B22</f>
        <v>0</v>
      </c>
      <c r="N59" s="245" t="s">
        <v>18</v>
      </c>
      <c r="O59" s="246"/>
      <c r="P59" s="192"/>
      <c r="Q59" s="246">
        <f>SUM(Q43:Q58)</f>
        <v>702571.26750000007</v>
      </c>
      <c r="R59" s="246">
        <f t="shared" ref="R59:S59" si="5">SUM(R43:R58)</f>
        <v>1799578.0759999999</v>
      </c>
      <c r="S59" s="246">
        <f t="shared" si="5"/>
        <v>2577164.7832500003</v>
      </c>
      <c r="T59" s="524">
        <f>SUM(T43:T58)</f>
        <v>5079314.1267499998</v>
      </c>
    </row>
    <row r="60" spans="1:20" ht="16" thickTop="1">
      <c r="A60" s="100"/>
      <c r="B60" s="100"/>
      <c r="C60" s="100"/>
      <c r="D60" s="100"/>
      <c r="E60" s="100"/>
      <c r="F60" s="100"/>
      <c r="G60" s="100"/>
      <c r="H60" s="100"/>
    </row>
    <row r="61" spans="1:20">
      <c r="A61" s="100"/>
      <c r="B61" s="100"/>
      <c r="C61" s="100"/>
      <c r="D61" s="100"/>
      <c r="E61" s="100"/>
      <c r="F61" s="100"/>
      <c r="G61" s="100"/>
      <c r="H61" s="100"/>
    </row>
    <row r="62" spans="1:20">
      <c r="A62" s="180" t="s">
        <v>176</v>
      </c>
      <c r="B62" s="237"/>
      <c r="C62" s="237"/>
      <c r="D62" s="237"/>
      <c r="E62" s="237"/>
      <c r="F62" s="237"/>
      <c r="G62" s="237"/>
      <c r="H62" s="100"/>
      <c r="J62" s="450"/>
      <c r="N62" s="180" t="s">
        <v>334</v>
      </c>
      <c r="O62" s="237"/>
      <c r="P62" s="237"/>
      <c r="Q62" s="237"/>
      <c r="R62" s="237"/>
      <c r="S62" s="237"/>
      <c r="T62" s="237"/>
    </row>
    <row r="63" spans="1:20">
      <c r="A63" s="135"/>
      <c r="B63" s="135" t="s">
        <v>24</v>
      </c>
      <c r="C63" s="135"/>
      <c r="D63" s="135" t="s">
        <v>26</v>
      </c>
      <c r="E63" s="135" t="s">
        <v>27</v>
      </c>
      <c r="F63" s="135" t="s">
        <v>28</v>
      </c>
      <c r="G63" s="247" t="s">
        <v>17</v>
      </c>
      <c r="H63" s="100"/>
      <c r="N63" s="135"/>
      <c r="O63" s="135"/>
      <c r="P63" s="135"/>
      <c r="Q63" s="135" t="s">
        <v>26</v>
      </c>
      <c r="R63" s="135" t="s">
        <v>27</v>
      </c>
      <c r="S63" s="135" t="s">
        <v>28</v>
      </c>
      <c r="T63" s="247" t="s">
        <v>17</v>
      </c>
    </row>
    <row r="64" spans="1:20">
      <c r="A64" s="239" t="s">
        <v>1</v>
      </c>
      <c r="B64" s="240">
        <f>$B$9*B22</f>
        <v>175053.9</v>
      </c>
      <c r="C64" s="240"/>
      <c r="D64" s="240">
        <f>$D$9*D22</f>
        <v>101077.6</v>
      </c>
      <c r="E64" s="240">
        <f>$E$9*E22</f>
        <v>277908.3</v>
      </c>
      <c r="F64" s="240">
        <f>$F$9*F22</f>
        <v>368109.18</v>
      </c>
      <c r="G64" s="366">
        <f>ROUND(SUM(B64:F64),2)</f>
        <v>922148.98</v>
      </c>
      <c r="H64" s="100"/>
      <c r="N64" s="239" t="s">
        <v>1</v>
      </c>
      <c r="O64" s="240"/>
      <c r="P64" s="240"/>
      <c r="Q64" s="240">
        <v>101077.6</v>
      </c>
      <c r="R64" s="240">
        <v>277908.3</v>
      </c>
      <c r="S64" s="240">
        <v>368109.18</v>
      </c>
      <c r="T64" s="607">
        <f>SUM(Q64:S64)</f>
        <v>747095.08000000007</v>
      </c>
    </row>
    <row r="65" spans="1:20">
      <c r="A65" s="183" t="s">
        <v>2</v>
      </c>
      <c r="B65" s="248">
        <f t="shared" ref="B65:B79" si="6">$B$9*B23</f>
        <v>725223.3</v>
      </c>
      <c r="C65" s="248"/>
      <c r="D65" s="248">
        <f t="shared" ref="D65:D79" si="7">$D$9*D23</f>
        <v>180676.21</v>
      </c>
      <c r="E65" s="248">
        <f t="shared" ref="E65:E79" si="8">$E$9*E23</f>
        <v>437448.25</v>
      </c>
      <c r="F65" s="248">
        <f t="shared" ref="F65:F79" si="9">$F$9*F23</f>
        <v>674866.83</v>
      </c>
      <c r="G65" s="366">
        <f t="shared" ref="G65:G79" si="10">ROUND(SUM(B65:F65),2)</f>
        <v>2018214.59</v>
      </c>
      <c r="H65" s="100"/>
      <c r="N65" s="183" t="s">
        <v>2</v>
      </c>
      <c r="O65" s="248"/>
      <c r="P65" s="248"/>
      <c r="Q65" s="248">
        <v>180676.21</v>
      </c>
      <c r="R65" s="248">
        <v>437448.25</v>
      </c>
      <c r="S65" s="248">
        <v>674866.83</v>
      </c>
      <c r="T65" s="607">
        <f t="shared" ref="T65:T79" si="11">SUM(Q65:S65)</f>
        <v>1292991.29</v>
      </c>
    </row>
    <row r="66" spans="1:20">
      <c r="A66" s="183" t="s">
        <v>3</v>
      </c>
      <c r="B66" s="248">
        <f t="shared" si="6"/>
        <v>2438250.75</v>
      </c>
      <c r="C66" s="248"/>
      <c r="D66" s="248">
        <f t="shared" si="7"/>
        <v>406837.34</v>
      </c>
      <c r="E66" s="248">
        <f t="shared" si="8"/>
        <v>1065315.1499999999</v>
      </c>
      <c r="F66" s="248">
        <f t="shared" si="9"/>
        <v>1165679.0699999998</v>
      </c>
      <c r="G66" s="366">
        <f t="shared" si="10"/>
        <v>5076082.3099999996</v>
      </c>
      <c r="H66" s="100"/>
      <c r="N66" s="183" t="s">
        <v>3</v>
      </c>
      <c r="O66" s="248"/>
      <c r="P66" s="248"/>
      <c r="Q66" s="248">
        <v>406837.34</v>
      </c>
      <c r="R66" s="248">
        <v>1065315.1499999999</v>
      </c>
      <c r="S66" s="248">
        <v>1165679.0699999998</v>
      </c>
      <c r="T66" s="607">
        <f t="shared" si="11"/>
        <v>2637831.5599999996</v>
      </c>
    </row>
    <row r="67" spans="1:20">
      <c r="A67" s="242" t="s">
        <v>4</v>
      </c>
      <c r="B67" s="249">
        <f t="shared" si="6"/>
        <v>450138.60000000003</v>
      </c>
      <c r="C67" s="249"/>
      <c r="D67" s="249">
        <f t="shared" si="7"/>
        <v>107394.95</v>
      </c>
      <c r="E67" s="249">
        <f t="shared" si="8"/>
        <v>247029.59999999998</v>
      </c>
      <c r="F67" s="249">
        <f t="shared" si="9"/>
        <v>593064.78999999992</v>
      </c>
      <c r="G67" s="366">
        <f t="shared" si="10"/>
        <v>1397627.94</v>
      </c>
      <c r="H67" s="100"/>
      <c r="N67" s="242" t="s">
        <v>4</v>
      </c>
      <c r="O67" s="249"/>
      <c r="P67" s="249"/>
      <c r="Q67" s="249">
        <v>107394.95</v>
      </c>
      <c r="R67" s="249">
        <v>247029.59999999998</v>
      </c>
      <c r="S67" s="249">
        <v>593064.78999999992</v>
      </c>
      <c r="T67" s="607">
        <f t="shared" si="11"/>
        <v>947489.33999999985</v>
      </c>
    </row>
    <row r="68" spans="1:20">
      <c r="A68" s="183" t="s">
        <v>5</v>
      </c>
      <c r="B68" s="248">
        <f t="shared" si="6"/>
        <v>425130.9</v>
      </c>
      <c r="C68" s="248"/>
      <c r="D68" s="248">
        <f t="shared" si="7"/>
        <v>66963.91</v>
      </c>
      <c r="E68" s="248">
        <f t="shared" si="8"/>
        <v>226443.8</v>
      </c>
      <c r="F68" s="248">
        <f t="shared" si="9"/>
        <v>429460.70999999996</v>
      </c>
      <c r="G68" s="366">
        <f t="shared" si="10"/>
        <v>1147999.32</v>
      </c>
      <c r="H68" s="100"/>
      <c r="N68" s="183" t="s">
        <v>5</v>
      </c>
      <c r="O68" s="248"/>
      <c r="P68" s="248"/>
      <c r="Q68" s="248">
        <v>66963.91</v>
      </c>
      <c r="R68" s="248">
        <v>226443.8</v>
      </c>
      <c r="S68" s="248">
        <v>429460.70999999996</v>
      </c>
      <c r="T68" s="607">
        <f t="shared" si="11"/>
        <v>722868.41999999993</v>
      </c>
    </row>
    <row r="69" spans="1:20">
      <c r="A69" s="183" t="s">
        <v>6</v>
      </c>
      <c r="B69" s="248">
        <f t="shared" si="6"/>
        <v>1487958.1500000001</v>
      </c>
      <c r="C69" s="248"/>
      <c r="D69" s="248">
        <f t="shared" si="7"/>
        <v>246376.65</v>
      </c>
      <c r="E69" s="248">
        <f>$E$9*E27</f>
        <v>633013.35</v>
      </c>
      <c r="F69" s="248">
        <f t="shared" si="9"/>
        <v>940723.46</v>
      </c>
      <c r="G69" s="366">
        <f t="shared" si="10"/>
        <v>3308071.61</v>
      </c>
      <c r="H69" s="100"/>
      <c r="N69" s="183" t="s">
        <v>6</v>
      </c>
      <c r="O69" s="248"/>
      <c r="P69" s="248"/>
      <c r="Q69" s="248">
        <v>246376.65</v>
      </c>
      <c r="R69" s="248">
        <v>633013.35</v>
      </c>
      <c r="S69" s="248">
        <v>940723.46</v>
      </c>
      <c r="T69" s="607">
        <f t="shared" si="11"/>
        <v>1820113.46</v>
      </c>
    </row>
    <row r="70" spans="1:20">
      <c r="A70" s="183" t="s">
        <v>7</v>
      </c>
      <c r="B70" s="248">
        <f t="shared" si="6"/>
        <v>6752079</v>
      </c>
      <c r="C70" s="248"/>
      <c r="D70" s="248">
        <f t="shared" si="7"/>
        <v>641842.76</v>
      </c>
      <c r="E70" s="248">
        <f t="shared" si="8"/>
        <v>1379248.5999999999</v>
      </c>
      <c r="F70" s="248">
        <f t="shared" si="9"/>
        <v>1554238.7599999998</v>
      </c>
      <c r="G70" s="366">
        <f t="shared" si="10"/>
        <v>10327409.119999999</v>
      </c>
      <c r="H70" s="100"/>
      <c r="N70" s="183" t="s">
        <v>7</v>
      </c>
      <c r="O70" s="248"/>
      <c r="P70" s="248"/>
      <c r="Q70" s="248">
        <v>641842.76</v>
      </c>
      <c r="R70" s="248">
        <v>1379248.5999999999</v>
      </c>
      <c r="S70" s="248">
        <v>1554238.7599999998</v>
      </c>
      <c r="T70" s="607">
        <f t="shared" si="11"/>
        <v>3575330.1199999996</v>
      </c>
    </row>
    <row r="71" spans="1:20">
      <c r="A71" s="239" t="s">
        <v>8</v>
      </c>
      <c r="B71" s="240">
        <f t="shared" si="6"/>
        <v>225069.30000000002</v>
      </c>
      <c r="C71" s="240"/>
      <c r="D71" s="240">
        <f t="shared" si="7"/>
        <v>83389.02</v>
      </c>
      <c r="E71" s="240">
        <f t="shared" si="8"/>
        <v>169832.85</v>
      </c>
      <c r="F71" s="240">
        <f t="shared" si="9"/>
        <v>470361.73</v>
      </c>
      <c r="G71" s="366">
        <f t="shared" si="10"/>
        <v>948652.9</v>
      </c>
      <c r="H71" s="100"/>
      <c r="N71" s="239" t="s">
        <v>8</v>
      </c>
      <c r="O71" s="240"/>
      <c r="P71" s="240"/>
      <c r="Q71" s="240">
        <v>83389.02</v>
      </c>
      <c r="R71" s="240">
        <v>169832.85</v>
      </c>
      <c r="S71" s="240">
        <v>470361.73</v>
      </c>
      <c r="T71" s="607">
        <f t="shared" si="11"/>
        <v>723583.6</v>
      </c>
    </row>
    <row r="72" spans="1:20">
      <c r="A72" s="239" t="s">
        <v>9</v>
      </c>
      <c r="B72" s="240">
        <f t="shared" si="6"/>
        <v>62519.25</v>
      </c>
      <c r="C72" s="240"/>
      <c r="D72" s="240">
        <f t="shared" si="7"/>
        <v>42957.98</v>
      </c>
      <c r="E72" s="240">
        <f t="shared" si="8"/>
        <v>174979.3</v>
      </c>
      <c r="F72" s="240">
        <f t="shared" si="9"/>
        <v>245406.12</v>
      </c>
      <c r="G72" s="366">
        <f t="shared" si="10"/>
        <v>525862.65</v>
      </c>
      <c r="H72" s="100"/>
      <c r="N72" s="239" t="s">
        <v>9</v>
      </c>
      <c r="O72" s="240"/>
      <c r="P72" s="240"/>
      <c r="Q72" s="240">
        <v>42957.98</v>
      </c>
      <c r="R72" s="240">
        <v>174979.3</v>
      </c>
      <c r="S72" s="240">
        <v>245406.12</v>
      </c>
      <c r="T72" s="607">
        <f t="shared" si="11"/>
        <v>463343.4</v>
      </c>
    </row>
    <row r="73" spans="1:20">
      <c r="A73" s="183" t="s">
        <v>10</v>
      </c>
      <c r="B73" s="248">
        <f t="shared" si="6"/>
        <v>2688327.75</v>
      </c>
      <c r="C73" s="248"/>
      <c r="D73" s="248">
        <f t="shared" si="7"/>
        <v>295651.98</v>
      </c>
      <c r="E73" s="248">
        <f t="shared" si="8"/>
        <v>679331.4</v>
      </c>
      <c r="F73" s="248">
        <f t="shared" si="9"/>
        <v>797569.8899999999</v>
      </c>
      <c r="G73" s="366">
        <f t="shared" si="10"/>
        <v>4460881.0199999996</v>
      </c>
      <c r="H73" s="100"/>
      <c r="N73" s="183" t="s">
        <v>10</v>
      </c>
      <c r="O73" s="248"/>
      <c r="P73" s="248"/>
      <c r="Q73" s="248">
        <v>295651.98</v>
      </c>
      <c r="R73" s="248">
        <v>679331.4</v>
      </c>
      <c r="S73" s="248">
        <v>797569.8899999999</v>
      </c>
      <c r="T73" s="607">
        <f t="shared" si="11"/>
        <v>1772553.27</v>
      </c>
    </row>
    <row r="74" spans="1:20">
      <c r="A74" s="183" t="s">
        <v>11</v>
      </c>
      <c r="B74" s="248">
        <f t="shared" si="6"/>
        <v>200061.6</v>
      </c>
      <c r="C74" s="248"/>
      <c r="D74" s="248">
        <f t="shared" si="7"/>
        <v>69490.850000000006</v>
      </c>
      <c r="E74" s="248">
        <f t="shared" si="8"/>
        <v>195565.1</v>
      </c>
      <c r="F74" s="248">
        <f t="shared" si="9"/>
        <v>286307.13999999996</v>
      </c>
      <c r="G74" s="366">
        <f t="shared" si="10"/>
        <v>751424.69</v>
      </c>
      <c r="H74" s="100"/>
      <c r="N74" s="183" t="s">
        <v>11</v>
      </c>
      <c r="O74" s="248"/>
      <c r="P74" s="248"/>
      <c r="Q74" s="248">
        <v>69490.850000000006</v>
      </c>
      <c r="R74" s="248">
        <v>195565.1</v>
      </c>
      <c r="S74" s="248">
        <v>286307.13999999996</v>
      </c>
      <c r="T74" s="607">
        <f t="shared" si="11"/>
        <v>551363.09</v>
      </c>
    </row>
    <row r="75" spans="1:20">
      <c r="A75" s="183" t="s">
        <v>12</v>
      </c>
      <c r="B75" s="248">
        <f t="shared" si="6"/>
        <v>1725531.3</v>
      </c>
      <c r="C75" s="248"/>
      <c r="D75" s="248">
        <f t="shared" si="7"/>
        <v>324711.78999999998</v>
      </c>
      <c r="E75" s="248">
        <f t="shared" si="8"/>
        <v>715356.54999999993</v>
      </c>
      <c r="F75" s="248">
        <f t="shared" si="9"/>
        <v>1492887.23</v>
      </c>
      <c r="G75" s="366">
        <f t="shared" si="10"/>
        <v>4258486.87</v>
      </c>
      <c r="H75" s="100"/>
      <c r="N75" s="183" t="s">
        <v>12</v>
      </c>
      <c r="O75" s="248"/>
      <c r="P75" s="248"/>
      <c r="Q75" s="248">
        <v>324711.78999999998</v>
      </c>
      <c r="R75" s="248">
        <v>715356.54999999993</v>
      </c>
      <c r="S75" s="248">
        <v>1492887.23</v>
      </c>
      <c r="T75" s="607">
        <f t="shared" si="11"/>
        <v>2532955.5699999998</v>
      </c>
    </row>
    <row r="76" spans="1:20">
      <c r="A76" s="239" t="s">
        <v>13</v>
      </c>
      <c r="B76" s="240">
        <f t="shared" si="6"/>
        <v>112534.65000000001</v>
      </c>
      <c r="C76" s="240"/>
      <c r="D76" s="240">
        <f t="shared" si="7"/>
        <v>21478.99</v>
      </c>
      <c r="E76" s="240">
        <f t="shared" si="8"/>
        <v>77196.75</v>
      </c>
      <c r="F76" s="240">
        <f t="shared" si="9"/>
        <v>102252.54999999999</v>
      </c>
      <c r="G76" s="366">
        <f t="shared" si="10"/>
        <v>313462.94</v>
      </c>
      <c r="H76" s="100"/>
      <c r="N76" s="239" t="s">
        <v>13</v>
      </c>
      <c r="O76" s="240"/>
      <c r="P76" s="240"/>
      <c r="Q76" s="240">
        <v>21478.99</v>
      </c>
      <c r="R76" s="240">
        <v>77196.75</v>
      </c>
      <c r="S76" s="240">
        <v>102252.54999999999</v>
      </c>
      <c r="T76" s="607">
        <f t="shared" si="11"/>
        <v>200928.28999999998</v>
      </c>
    </row>
    <row r="77" spans="1:20">
      <c r="A77" s="183" t="s">
        <v>14</v>
      </c>
      <c r="B77" s="248">
        <f t="shared" si="6"/>
        <v>750231</v>
      </c>
      <c r="C77" s="248"/>
      <c r="D77" s="248">
        <f t="shared" si="7"/>
        <v>192047.44</v>
      </c>
      <c r="E77" s="248">
        <f t="shared" si="8"/>
        <v>483766.3</v>
      </c>
      <c r="F77" s="248">
        <f t="shared" si="9"/>
        <v>572614.27999999991</v>
      </c>
      <c r="G77" s="366">
        <f t="shared" si="10"/>
        <v>1998659.02</v>
      </c>
      <c r="H77" s="100"/>
      <c r="N77" s="183" t="s">
        <v>14</v>
      </c>
      <c r="O77" s="248"/>
      <c r="P77" s="248"/>
      <c r="Q77" s="248">
        <v>192047.44</v>
      </c>
      <c r="R77" s="248">
        <v>483766.3</v>
      </c>
      <c r="S77" s="248">
        <v>572614.27999999991</v>
      </c>
      <c r="T77" s="607">
        <f t="shared" si="11"/>
        <v>1248428.02</v>
      </c>
    </row>
    <row r="78" spans="1:20">
      <c r="A78" s="244" t="s">
        <v>15</v>
      </c>
      <c r="B78" s="249">
        <f t="shared" si="6"/>
        <v>487650.15</v>
      </c>
      <c r="C78" s="249"/>
      <c r="D78" s="249">
        <f t="shared" si="7"/>
        <v>79598.61</v>
      </c>
      <c r="E78" s="249">
        <f t="shared" si="8"/>
        <v>211004.44999999998</v>
      </c>
      <c r="F78" s="249">
        <f t="shared" si="9"/>
        <v>572614.27999999991</v>
      </c>
      <c r="G78" s="366">
        <f t="shared" si="10"/>
        <v>1350867.49</v>
      </c>
      <c r="H78" s="100"/>
      <c r="N78" s="244" t="s">
        <v>15</v>
      </c>
      <c r="O78" s="249"/>
      <c r="P78" s="249"/>
      <c r="Q78" s="249">
        <v>79598.61</v>
      </c>
      <c r="R78" s="249">
        <v>211004.44999999998</v>
      </c>
      <c r="S78" s="249">
        <v>572614.27999999991</v>
      </c>
      <c r="T78" s="607">
        <f t="shared" si="11"/>
        <v>863217.33999999985</v>
      </c>
    </row>
    <row r="79" spans="1:20">
      <c r="A79" s="183" t="s">
        <v>16</v>
      </c>
      <c r="B79" s="248">
        <f t="shared" si="6"/>
        <v>8277548.7000000002</v>
      </c>
      <c r="C79" s="248"/>
      <c r="D79" s="248">
        <f t="shared" si="7"/>
        <v>1976067.08</v>
      </c>
      <c r="E79" s="248">
        <f t="shared" si="8"/>
        <v>5331722.2</v>
      </c>
      <c r="F79" s="248">
        <f t="shared" si="9"/>
        <v>7750743.2899999991</v>
      </c>
      <c r="G79" s="366">
        <f t="shared" si="10"/>
        <v>23336081.27</v>
      </c>
      <c r="H79" s="100"/>
      <c r="N79" s="183" t="s">
        <v>16</v>
      </c>
      <c r="O79" s="248"/>
      <c r="P79" s="248"/>
      <c r="Q79" s="248">
        <v>1976067.08</v>
      </c>
      <c r="R79" s="248">
        <v>5331722.2</v>
      </c>
      <c r="S79" s="520">
        <v>7750743.2899999991</v>
      </c>
      <c r="T79" s="608">
        <f t="shared" si="11"/>
        <v>15058532.57</v>
      </c>
    </row>
    <row r="80" spans="1:20" ht="16" thickBot="1">
      <c r="A80" s="245" t="s">
        <v>18</v>
      </c>
      <c r="B80" s="246"/>
      <c r="C80" s="192"/>
      <c r="D80" s="192"/>
      <c r="E80" s="192"/>
      <c r="F80" s="192"/>
      <c r="G80" s="250">
        <f>SUM(G64:G79)</f>
        <v>62141932.719999999</v>
      </c>
      <c r="H80" s="100"/>
      <c r="I80" s="3"/>
      <c r="N80" s="245" t="s">
        <v>18</v>
      </c>
      <c r="O80" s="293"/>
      <c r="P80" s="234"/>
      <c r="Q80" s="293">
        <f>SUM(Q64:Q79)</f>
        <v>4836563.16</v>
      </c>
      <c r="R80" s="293">
        <f t="shared" ref="R80:S80" si="12">SUM(R64:R79)</f>
        <v>12305161.949999999</v>
      </c>
      <c r="S80" s="521">
        <f t="shared" si="12"/>
        <v>18016899.309999995</v>
      </c>
      <c r="T80" s="609">
        <f>SUM(Q80:S80)</f>
        <v>35158624.419999994</v>
      </c>
    </row>
    <row r="81" spans="1:6" ht="16" thickTop="1"/>
    <row r="91" spans="1:6">
      <c r="A91" s="180" t="s">
        <v>460</v>
      </c>
      <c r="B91" s="251"/>
      <c r="C91" s="251"/>
      <c r="D91" s="251"/>
      <c r="E91" s="251"/>
      <c r="F91" s="251"/>
    </row>
    <row r="92" spans="1:6">
      <c r="A92" s="251"/>
      <c r="B92" s="525"/>
      <c r="C92" s="525"/>
      <c r="D92" s="525"/>
      <c r="E92" s="525"/>
      <c r="F92" s="251"/>
    </row>
    <row r="93" spans="1:6" ht="39.5">
      <c r="A93" s="678"/>
      <c r="B93" s="679" t="s">
        <v>336</v>
      </c>
      <c r="C93" s="679" t="s">
        <v>337</v>
      </c>
      <c r="D93" s="679" t="s">
        <v>338</v>
      </c>
      <c r="E93" s="679" t="s">
        <v>339</v>
      </c>
      <c r="F93" s="680" t="s">
        <v>340</v>
      </c>
    </row>
    <row r="94" spans="1:6">
      <c r="A94" s="681" t="s">
        <v>1</v>
      </c>
      <c r="B94" s="682">
        <v>283</v>
      </c>
      <c r="C94" s="682">
        <v>629</v>
      </c>
      <c r="D94" s="682">
        <v>29</v>
      </c>
      <c r="E94" s="682">
        <v>205</v>
      </c>
      <c r="F94" s="683">
        <f>SUM(B94:E94)</f>
        <v>1146</v>
      </c>
    </row>
    <row r="95" spans="1:6">
      <c r="A95" s="681" t="s">
        <v>2</v>
      </c>
      <c r="B95" s="682">
        <v>153</v>
      </c>
      <c r="C95" s="682">
        <v>769</v>
      </c>
      <c r="D95" s="682">
        <v>143</v>
      </c>
      <c r="E95" s="682">
        <v>79</v>
      </c>
      <c r="F95" s="683">
        <f t="shared" ref="F95:F110" si="13">SUM(B95:E95)</f>
        <v>1144</v>
      </c>
    </row>
    <row r="96" spans="1:6">
      <c r="A96" s="681" t="s">
        <v>3</v>
      </c>
      <c r="B96" s="682">
        <v>743</v>
      </c>
      <c r="C96" s="682">
        <v>1337</v>
      </c>
      <c r="D96" s="682">
        <v>78</v>
      </c>
      <c r="E96" s="682">
        <v>450</v>
      </c>
      <c r="F96" s="683">
        <f t="shared" si="13"/>
        <v>2608</v>
      </c>
    </row>
    <row r="97" spans="1:6">
      <c r="A97" s="681" t="s">
        <v>4</v>
      </c>
      <c r="B97" s="682">
        <v>81</v>
      </c>
      <c r="C97" s="682">
        <v>907</v>
      </c>
      <c r="D97" s="682">
        <v>2</v>
      </c>
      <c r="E97" s="682">
        <v>209</v>
      </c>
      <c r="F97" s="683">
        <f t="shared" si="13"/>
        <v>1199</v>
      </c>
    </row>
    <row r="98" spans="1:6">
      <c r="A98" s="681" t="s">
        <v>5</v>
      </c>
      <c r="B98" s="682">
        <v>82</v>
      </c>
      <c r="C98" s="682">
        <v>688</v>
      </c>
      <c r="D98" s="682">
        <v>2</v>
      </c>
      <c r="E98" s="682">
        <v>12</v>
      </c>
      <c r="F98" s="683">
        <f t="shared" si="13"/>
        <v>784</v>
      </c>
    </row>
    <row r="99" spans="1:6">
      <c r="A99" s="681" t="s">
        <v>6</v>
      </c>
      <c r="B99" s="682">
        <v>457</v>
      </c>
      <c r="C99" s="682">
        <v>764</v>
      </c>
      <c r="D99" s="682">
        <v>257</v>
      </c>
      <c r="E99" s="682">
        <v>73</v>
      </c>
      <c r="F99" s="683">
        <f t="shared" si="13"/>
        <v>1551</v>
      </c>
    </row>
    <row r="100" spans="1:6">
      <c r="A100" s="681" t="s">
        <v>7</v>
      </c>
      <c r="B100" s="682">
        <v>596</v>
      </c>
      <c r="C100" s="682">
        <v>1084</v>
      </c>
      <c r="D100" s="682">
        <v>221</v>
      </c>
      <c r="E100" s="682">
        <v>787</v>
      </c>
      <c r="F100" s="683">
        <f t="shared" si="13"/>
        <v>2688</v>
      </c>
    </row>
    <row r="101" spans="1:6">
      <c r="A101" s="681" t="s">
        <v>8</v>
      </c>
      <c r="B101" s="682">
        <v>46</v>
      </c>
      <c r="C101" s="682">
        <v>694</v>
      </c>
      <c r="D101" s="682">
        <v>11</v>
      </c>
      <c r="E101" s="682">
        <v>9</v>
      </c>
      <c r="F101" s="683">
        <f t="shared" si="13"/>
        <v>760</v>
      </c>
    </row>
    <row r="102" spans="1:6">
      <c r="A102" s="681" t="s">
        <v>9</v>
      </c>
      <c r="B102" s="682">
        <v>-24</v>
      </c>
      <c r="C102" s="682">
        <v>586</v>
      </c>
      <c r="D102" s="682">
        <v>1</v>
      </c>
      <c r="E102" s="682">
        <v>6</v>
      </c>
      <c r="F102" s="683">
        <f t="shared" si="13"/>
        <v>569</v>
      </c>
    </row>
    <row r="103" spans="1:6">
      <c r="A103" s="681" t="s">
        <v>10</v>
      </c>
      <c r="B103" s="682">
        <v>266</v>
      </c>
      <c r="C103" s="682">
        <v>1251</v>
      </c>
      <c r="D103" s="682">
        <v>79</v>
      </c>
      <c r="E103" s="682">
        <v>134</v>
      </c>
      <c r="F103" s="683">
        <f t="shared" si="13"/>
        <v>1730</v>
      </c>
    </row>
    <row r="104" spans="1:6">
      <c r="A104" s="681" t="s">
        <v>11</v>
      </c>
      <c r="B104" s="682">
        <v>102</v>
      </c>
      <c r="C104" s="682">
        <v>439</v>
      </c>
      <c r="D104" s="682">
        <v>76</v>
      </c>
      <c r="E104" s="682">
        <v>29</v>
      </c>
      <c r="F104" s="683">
        <f t="shared" si="13"/>
        <v>646</v>
      </c>
    </row>
    <row r="105" spans="1:6">
      <c r="A105" s="681" t="s">
        <v>12</v>
      </c>
      <c r="B105" s="682">
        <v>1041</v>
      </c>
      <c r="C105" s="682">
        <v>174</v>
      </c>
      <c r="D105" s="682">
        <v>36</v>
      </c>
      <c r="E105" s="682">
        <v>347</v>
      </c>
      <c r="F105" s="683">
        <f t="shared" si="13"/>
        <v>1598</v>
      </c>
    </row>
    <row r="106" spans="1:6">
      <c r="A106" s="681" t="s">
        <v>13</v>
      </c>
      <c r="B106" s="682">
        <v>312</v>
      </c>
      <c r="C106" s="682">
        <v>0</v>
      </c>
      <c r="D106" s="682">
        <v>2</v>
      </c>
      <c r="E106" s="682">
        <v>3</v>
      </c>
      <c r="F106" s="683">
        <f t="shared" si="13"/>
        <v>317</v>
      </c>
    </row>
    <row r="107" spans="1:6">
      <c r="A107" s="681" t="s">
        <v>14</v>
      </c>
      <c r="B107" s="682">
        <v>142</v>
      </c>
      <c r="C107" s="682">
        <v>966</v>
      </c>
      <c r="D107" s="682">
        <v>63</v>
      </c>
      <c r="E107" s="682">
        <v>38</v>
      </c>
      <c r="F107" s="683">
        <f t="shared" si="13"/>
        <v>1209</v>
      </c>
    </row>
    <row r="108" spans="1:6">
      <c r="A108" s="681" t="s">
        <v>15</v>
      </c>
      <c r="B108" s="682">
        <v>173</v>
      </c>
      <c r="C108" s="682">
        <v>916</v>
      </c>
      <c r="D108" s="682">
        <v>20</v>
      </c>
      <c r="E108" s="682">
        <v>11</v>
      </c>
      <c r="F108" s="683">
        <f t="shared" si="13"/>
        <v>1120</v>
      </c>
    </row>
    <row r="109" spans="1:6">
      <c r="A109" s="684" t="s">
        <v>16</v>
      </c>
      <c r="B109" s="685">
        <v>4608</v>
      </c>
      <c r="C109" s="685">
        <v>6140</v>
      </c>
      <c r="D109" s="685">
        <v>57</v>
      </c>
      <c r="E109" s="685">
        <v>3021</v>
      </c>
      <c r="F109" s="686">
        <f t="shared" si="13"/>
        <v>13826</v>
      </c>
    </row>
    <row r="110" spans="1:6">
      <c r="A110" s="681" t="s">
        <v>18</v>
      </c>
      <c r="B110" s="687">
        <v>9061</v>
      </c>
      <c r="C110" s="687">
        <v>17344</v>
      </c>
      <c r="D110" s="687">
        <v>1077</v>
      </c>
      <c r="E110" s="687">
        <v>5413</v>
      </c>
      <c r="F110" s="683">
        <f t="shared" si="13"/>
        <v>32895</v>
      </c>
    </row>
    <row r="115" spans="1:6">
      <c r="A115" s="180" t="s">
        <v>341</v>
      </c>
      <c r="B115" s="251"/>
      <c r="C115" s="251"/>
      <c r="D115" s="251"/>
      <c r="E115" s="251"/>
      <c r="F115" s="251"/>
    </row>
    <row r="116" spans="1:6">
      <c r="A116" s="251"/>
      <c r="B116" s="525"/>
      <c r="C116" s="525"/>
      <c r="D116" s="525"/>
      <c r="E116" s="525"/>
      <c r="F116" s="251"/>
    </row>
    <row r="117" spans="1:6" ht="36.5">
      <c r="A117" s="227"/>
      <c r="B117" s="526" t="s">
        <v>336</v>
      </c>
      <c r="C117" s="526" t="s">
        <v>337</v>
      </c>
      <c r="D117" s="526" t="s">
        <v>338</v>
      </c>
      <c r="E117" s="526" t="s">
        <v>339</v>
      </c>
      <c r="F117" s="258" t="s">
        <v>340</v>
      </c>
    </row>
    <row r="118" spans="1:6">
      <c r="A118" s="183" t="s">
        <v>1</v>
      </c>
      <c r="B118" s="186">
        <v>122</v>
      </c>
      <c r="C118" s="186">
        <v>412</v>
      </c>
      <c r="D118" s="186">
        <v>78</v>
      </c>
      <c r="E118" s="186">
        <v>125</v>
      </c>
      <c r="F118" s="146">
        <v>737</v>
      </c>
    </row>
    <row r="119" spans="1:6">
      <c r="A119" s="183" t="s">
        <v>2</v>
      </c>
      <c r="B119" s="186">
        <v>20</v>
      </c>
      <c r="C119" s="186">
        <v>803</v>
      </c>
      <c r="D119" s="186">
        <v>153</v>
      </c>
      <c r="E119" s="186">
        <v>56</v>
      </c>
      <c r="F119" s="146">
        <v>1032</v>
      </c>
    </row>
    <row r="120" spans="1:6">
      <c r="A120" s="183" t="s">
        <v>3</v>
      </c>
      <c r="B120" s="186">
        <v>1056</v>
      </c>
      <c r="C120" s="186">
        <v>1101</v>
      </c>
      <c r="D120" s="186">
        <v>0</v>
      </c>
      <c r="E120" s="186">
        <v>292</v>
      </c>
      <c r="F120" s="146">
        <v>2449</v>
      </c>
    </row>
    <row r="121" spans="1:6">
      <c r="A121" s="183" t="s">
        <v>4</v>
      </c>
      <c r="B121" s="186">
        <v>0</v>
      </c>
      <c r="C121" s="186">
        <v>878</v>
      </c>
      <c r="D121" s="186">
        <v>33</v>
      </c>
      <c r="E121" s="186">
        <v>194</v>
      </c>
      <c r="F121" s="146">
        <v>1105</v>
      </c>
    </row>
    <row r="122" spans="1:6">
      <c r="A122" s="183" t="s">
        <v>5</v>
      </c>
      <c r="B122" s="186">
        <v>216</v>
      </c>
      <c r="C122" s="186">
        <v>695</v>
      </c>
      <c r="D122" s="186">
        <v>0</v>
      </c>
      <c r="E122" s="186">
        <v>0</v>
      </c>
      <c r="F122" s="146">
        <v>911</v>
      </c>
    </row>
    <row r="123" spans="1:6">
      <c r="A123" s="183" t="s">
        <v>6</v>
      </c>
      <c r="B123" s="186">
        <v>446</v>
      </c>
      <c r="C123" s="186">
        <v>775</v>
      </c>
      <c r="D123" s="186">
        <v>217</v>
      </c>
      <c r="E123" s="186">
        <v>32</v>
      </c>
      <c r="F123" s="146">
        <v>1470</v>
      </c>
    </row>
    <row r="124" spans="1:6">
      <c r="A124" s="183" t="s">
        <v>7</v>
      </c>
      <c r="B124" s="186">
        <v>1143</v>
      </c>
      <c r="C124" s="186">
        <v>426</v>
      </c>
      <c r="D124" s="186">
        <v>623</v>
      </c>
      <c r="E124" s="186">
        <v>532</v>
      </c>
      <c r="F124" s="146">
        <v>2724</v>
      </c>
    </row>
    <row r="125" spans="1:6">
      <c r="A125" s="183" t="s">
        <v>8</v>
      </c>
      <c r="B125" s="186">
        <v>7</v>
      </c>
      <c r="C125" s="186">
        <v>130</v>
      </c>
      <c r="D125" s="186">
        <v>11</v>
      </c>
      <c r="E125" s="186">
        <v>328</v>
      </c>
      <c r="F125" s="146">
        <v>476</v>
      </c>
    </row>
    <row r="126" spans="1:6">
      <c r="A126" s="183" t="s">
        <v>9</v>
      </c>
      <c r="B126" s="186">
        <v>62</v>
      </c>
      <c r="C126" s="186">
        <v>524</v>
      </c>
      <c r="D126" s="186">
        <v>12</v>
      </c>
      <c r="E126" s="186">
        <v>0</v>
      </c>
      <c r="F126" s="146">
        <v>598</v>
      </c>
    </row>
    <row r="127" spans="1:6">
      <c r="A127" s="183" t="s">
        <v>10</v>
      </c>
      <c r="B127" s="186">
        <v>284</v>
      </c>
      <c r="C127" s="186">
        <v>0</v>
      </c>
      <c r="D127" s="186">
        <v>0</v>
      </c>
      <c r="E127" s="186">
        <v>957</v>
      </c>
      <c r="F127" s="146">
        <v>1241</v>
      </c>
    </row>
    <row r="128" spans="1:6">
      <c r="A128" s="183" t="s">
        <v>11</v>
      </c>
      <c r="B128" s="186">
        <v>41</v>
      </c>
      <c r="C128" s="186">
        <v>560</v>
      </c>
      <c r="D128" s="186">
        <v>0</v>
      </c>
      <c r="E128" s="186">
        <v>30</v>
      </c>
      <c r="F128" s="146">
        <v>631</v>
      </c>
    </row>
    <row r="129" spans="1:6">
      <c r="A129" s="183" t="s">
        <v>12</v>
      </c>
      <c r="B129" s="186">
        <v>1960</v>
      </c>
      <c r="C129" s="186">
        <v>0</v>
      </c>
      <c r="D129" s="186">
        <v>109</v>
      </c>
      <c r="E129" s="186">
        <v>308</v>
      </c>
      <c r="F129" s="146">
        <v>2377</v>
      </c>
    </row>
    <row r="130" spans="1:6">
      <c r="A130" s="183" t="s">
        <v>13</v>
      </c>
      <c r="B130" s="186">
        <v>0</v>
      </c>
      <c r="C130" s="186">
        <v>335</v>
      </c>
      <c r="D130" s="186">
        <v>1</v>
      </c>
      <c r="E130" s="186">
        <v>46</v>
      </c>
      <c r="F130" s="146">
        <v>382</v>
      </c>
    </row>
    <row r="131" spans="1:6">
      <c r="A131" s="183" t="s">
        <v>14</v>
      </c>
      <c r="B131" s="186">
        <v>169</v>
      </c>
      <c r="C131" s="186">
        <v>1160</v>
      </c>
      <c r="D131" s="186">
        <v>85</v>
      </c>
      <c r="E131" s="186">
        <v>96</v>
      </c>
      <c r="F131" s="146">
        <v>1510</v>
      </c>
    </row>
    <row r="132" spans="1:6">
      <c r="A132" s="183" t="s">
        <v>15</v>
      </c>
      <c r="B132" s="186">
        <v>165</v>
      </c>
      <c r="C132" s="186">
        <v>768</v>
      </c>
      <c r="D132" s="186">
        <v>14</v>
      </c>
      <c r="E132" s="186">
        <v>92</v>
      </c>
      <c r="F132" s="146">
        <v>1039</v>
      </c>
    </row>
    <row r="133" spans="1:6">
      <c r="A133" s="189" t="s">
        <v>16</v>
      </c>
      <c r="B133" s="190">
        <v>3959</v>
      </c>
      <c r="C133" s="190">
        <v>5086</v>
      </c>
      <c r="D133" s="190">
        <v>658</v>
      </c>
      <c r="E133" s="190">
        <v>2175</v>
      </c>
      <c r="F133" s="147">
        <v>11878</v>
      </c>
    </row>
    <row r="134" spans="1:6">
      <c r="A134" s="183" t="s">
        <v>18</v>
      </c>
      <c r="B134" s="191">
        <v>9650</v>
      </c>
      <c r="C134" s="191">
        <v>13653</v>
      </c>
      <c r="D134" s="191">
        <v>1994</v>
      </c>
      <c r="E134" s="191">
        <v>5263</v>
      </c>
      <c r="F134" s="262">
        <v>30560</v>
      </c>
    </row>
  </sheetData>
  <pageMargins left="0.7" right="0.7" top="0.75" bottom="0.75" header="0.3" footer="0.3"/>
  <pageSetup paperSize="9" scale="76" orientation="portrait" r:id="rId1"/>
  <rowBreaks count="1" manualBreakCount="1">
    <brk id="4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I193"/>
  <sheetViews>
    <sheetView topLeftCell="A14" zoomScale="90" zoomScaleNormal="90" zoomScalePageLayoutView="91" workbookViewId="0">
      <selection activeCell="H10" sqref="H10:K28"/>
    </sheetView>
  </sheetViews>
  <sheetFormatPr defaultRowHeight="15.5"/>
  <cols>
    <col min="1" max="1" width="16" customWidth="1"/>
    <col min="2" max="2" width="9.765625" customWidth="1"/>
    <col min="3" max="3" width="10.4609375" customWidth="1"/>
    <col min="4" max="4" width="9.765625" customWidth="1"/>
    <col min="5" max="5" width="11.69140625" customWidth="1"/>
    <col min="6" max="6" width="13" customWidth="1"/>
    <col min="7" max="7" width="10.69140625" customWidth="1"/>
    <col min="8" max="8" width="10.53515625" customWidth="1"/>
    <col min="9" max="9" width="9.765625" customWidth="1"/>
    <col min="10" max="11" width="12.53515625" customWidth="1"/>
    <col min="12" max="12" width="10.765625" customWidth="1"/>
    <col min="13" max="13" width="9.84375" bestFit="1" customWidth="1"/>
    <col min="14" max="14" width="13.07421875" customWidth="1"/>
    <col min="15" max="15" width="10" customWidth="1"/>
    <col min="17" max="17" width="12.07421875" customWidth="1"/>
    <col min="19" max="19" width="10" customWidth="1"/>
    <col min="21" max="21" width="10.53515625" customWidth="1"/>
    <col min="23" max="23" width="10.53515625" customWidth="1"/>
    <col min="24" max="24" width="11.84375" customWidth="1"/>
  </cols>
  <sheetData>
    <row r="1" spans="1:269">
      <c r="A1" s="17" t="s">
        <v>66</v>
      </c>
    </row>
    <row r="2" spans="1:269">
      <c r="A2" s="5" t="s">
        <v>155</v>
      </c>
    </row>
    <row r="3" spans="1:269">
      <c r="A3" s="5"/>
      <c r="B3" s="93"/>
    </row>
    <row r="4" spans="1:269">
      <c r="A4" s="67" t="s">
        <v>164</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c r="HB4" s="251"/>
      <c r="HC4" s="251"/>
      <c r="HD4" s="251"/>
      <c r="HE4" s="251"/>
      <c r="HF4" s="251"/>
      <c r="HG4" s="251"/>
      <c r="HH4" s="251"/>
      <c r="HI4" s="251"/>
      <c r="HJ4" s="251"/>
      <c r="HK4" s="251"/>
      <c r="HL4" s="251"/>
      <c r="HM4" s="251"/>
      <c r="HN4" s="251"/>
      <c r="HO4" s="251"/>
      <c r="HP4" s="251"/>
      <c r="HQ4" s="251"/>
      <c r="HR4" s="251"/>
      <c r="HS4" s="251"/>
      <c r="HT4" s="251"/>
      <c r="HU4" s="251"/>
      <c r="HV4" s="251"/>
      <c r="HW4" s="251"/>
      <c r="HX4" s="251"/>
      <c r="HY4" s="251"/>
      <c r="HZ4" s="251"/>
      <c r="IA4" s="251"/>
      <c r="IB4" s="251"/>
      <c r="IC4" s="251"/>
      <c r="ID4" s="251"/>
      <c r="IE4" s="251"/>
      <c r="IF4" s="251"/>
      <c r="IG4" s="251"/>
      <c r="IH4" s="251"/>
      <c r="II4" s="251"/>
      <c r="IJ4" s="251"/>
      <c r="IK4" s="251"/>
      <c r="IL4" s="251"/>
      <c r="IM4" s="251"/>
      <c r="IN4" s="251"/>
      <c r="IO4" s="251"/>
      <c r="IP4" s="251"/>
      <c r="IQ4" s="251"/>
      <c r="IR4" s="251"/>
      <c r="IS4" s="251"/>
      <c r="IT4" s="251"/>
      <c r="IU4" s="251"/>
      <c r="IV4" s="251"/>
      <c r="IW4" s="251"/>
      <c r="IX4" s="251"/>
      <c r="IY4" s="251"/>
      <c r="IZ4" s="251"/>
      <c r="JA4" s="251"/>
      <c r="JB4" s="251"/>
      <c r="JC4" s="251"/>
      <c r="JD4" s="251"/>
      <c r="JE4" s="251"/>
      <c r="JF4" s="251"/>
      <c r="JG4" s="251"/>
      <c r="JH4" s="251"/>
      <c r="JI4" s="251"/>
    </row>
    <row r="5" spans="1:269">
      <c r="A5" s="251"/>
      <c r="B5" s="251"/>
      <c r="C5" s="218"/>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c r="IN5" s="251"/>
      <c r="IO5" s="251"/>
      <c r="IP5" s="251"/>
      <c r="IQ5" s="251"/>
      <c r="IR5" s="251"/>
      <c r="IS5" s="251"/>
      <c r="IT5" s="251"/>
      <c r="IU5" s="251"/>
      <c r="IV5" s="251"/>
      <c r="IW5" s="251"/>
      <c r="IX5" s="251"/>
      <c r="IY5" s="251"/>
      <c r="IZ5" s="251"/>
      <c r="JA5" s="251"/>
      <c r="JB5" s="251"/>
      <c r="JC5" s="251"/>
      <c r="JD5" s="251"/>
      <c r="JE5" s="251"/>
      <c r="JF5" s="251"/>
      <c r="JG5" s="251"/>
      <c r="JH5" s="251"/>
      <c r="JI5" s="251"/>
    </row>
    <row r="6" spans="1:269">
      <c r="A6" s="252"/>
      <c r="B6" s="135">
        <v>2023</v>
      </c>
      <c r="C6" s="218"/>
      <c r="D6" s="218"/>
      <c r="E6" s="180"/>
      <c r="F6" s="180"/>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c r="GH6" s="251"/>
      <c r="GI6" s="251"/>
      <c r="GJ6" s="251"/>
      <c r="GK6" s="251"/>
      <c r="GL6" s="251"/>
      <c r="GM6" s="251"/>
      <c r="GN6" s="251"/>
      <c r="GO6" s="251"/>
      <c r="GP6" s="251"/>
      <c r="GQ6" s="251"/>
      <c r="GR6" s="251"/>
      <c r="GS6" s="251"/>
      <c r="GT6" s="251"/>
      <c r="GU6" s="251"/>
      <c r="GV6" s="251"/>
      <c r="GW6" s="251"/>
      <c r="GX6" s="251"/>
      <c r="GY6" s="251"/>
      <c r="GZ6" s="251"/>
      <c r="HA6" s="251"/>
      <c r="HB6" s="251"/>
      <c r="HC6" s="251"/>
      <c r="HD6" s="251"/>
      <c r="HE6" s="251"/>
      <c r="HF6" s="251"/>
      <c r="HG6" s="251"/>
      <c r="HH6" s="251"/>
      <c r="HI6" s="251"/>
      <c r="HJ6" s="251"/>
      <c r="HK6" s="251"/>
      <c r="HL6" s="251"/>
      <c r="HM6" s="251"/>
      <c r="HN6" s="251"/>
      <c r="HO6" s="251"/>
      <c r="HP6" s="251"/>
      <c r="HQ6" s="251"/>
      <c r="HR6" s="251"/>
      <c r="HS6" s="251"/>
      <c r="HT6" s="251"/>
      <c r="HU6" s="251"/>
      <c r="HV6" s="251"/>
      <c r="HW6" s="251"/>
      <c r="HX6" s="251"/>
      <c r="HY6" s="251"/>
      <c r="HZ6" s="251"/>
      <c r="IA6" s="251"/>
      <c r="IB6" s="251"/>
      <c r="IC6" s="251"/>
      <c r="ID6" s="251"/>
      <c r="IE6" s="251"/>
      <c r="IF6" s="251"/>
      <c r="IG6" s="251"/>
      <c r="IH6" s="251"/>
      <c r="II6" s="251"/>
      <c r="IJ6" s="251"/>
      <c r="IK6" s="251"/>
      <c r="IL6" s="251"/>
      <c r="IM6" s="251"/>
      <c r="IN6" s="251"/>
      <c r="IO6" s="251"/>
      <c r="IP6" s="251"/>
      <c r="IQ6" s="251"/>
      <c r="IR6" s="251"/>
      <c r="IS6" s="251"/>
      <c r="IT6" s="251"/>
      <c r="IU6" s="251"/>
      <c r="IV6" s="251"/>
      <c r="IW6" s="251"/>
      <c r="IX6" s="251"/>
      <c r="IY6" s="251"/>
      <c r="IZ6" s="251"/>
      <c r="JA6" s="251"/>
      <c r="JB6" s="251"/>
      <c r="JC6" s="251"/>
      <c r="JD6" s="251"/>
      <c r="JE6" s="251"/>
      <c r="JF6" s="251"/>
      <c r="JG6" s="251"/>
      <c r="JH6" s="251"/>
      <c r="JI6" s="251"/>
    </row>
    <row r="7" spans="1:269">
      <c r="A7" s="183" t="s">
        <v>22</v>
      </c>
      <c r="B7" s="253">
        <f>Basbelopp!AK77</f>
        <v>1021.73</v>
      </c>
      <c r="C7" s="218"/>
      <c r="D7" s="218"/>
      <c r="E7" s="218"/>
      <c r="F7" s="254"/>
      <c r="G7" s="251"/>
      <c r="H7" s="543" t="s">
        <v>379</v>
      </c>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51"/>
      <c r="HK7" s="251"/>
      <c r="HL7" s="251"/>
      <c r="HM7" s="251"/>
      <c r="HN7" s="251"/>
      <c r="HO7" s="251"/>
      <c r="HP7" s="251"/>
      <c r="HQ7" s="251"/>
      <c r="HR7" s="251"/>
      <c r="HS7" s="251"/>
      <c r="HT7" s="251"/>
      <c r="HU7" s="251"/>
      <c r="HV7" s="251"/>
      <c r="HW7" s="251"/>
      <c r="HX7" s="251"/>
      <c r="HY7" s="251"/>
      <c r="HZ7" s="251"/>
      <c r="IA7" s="251"/>
      <c r="IB7" s="251"/>
      <c r="IC7" s="251"/>
      <c r="ID7" s="251"/>
      <c r="IE7" s="251"/>
      <c r="IF7" s="251"/>
      <c r="IG7" s="251"/>
      <c r="IH7" s="251"/>
      <c r="II7" s="251"/>
      <c r="IJ7" s="251"/>
      <c r="IK7" s="251"/>
      <c r="IL7" s="251"/>
      <c r="IM7" s="251"/>
      <c r="IN7" s="251"/>
      <c r="IO7" s="251"/>
      <c r="IP7" s="251"/>
      <c r="IQ7" s="251"/>
      <c r="IR7" s="251"/>
      <c r="IS7" s="251"/>
      <c r="IT7" s="251"/>
      <c r="IU7" s="251"/>
      <c r="IV7" s="251"/>
      <c r="IW7" s="251"/>
      <c r="IX7" s="251"/>
      <c r="IY7" s="251"/>
      <c r="IZ7" s="251"/>
      <c r="JA7" s="251"/>
      <c r="JB7" s="251"/>
      <c r="JC7" s="251"/>
      <c r="JD7" s="251"/>
      <c r="JE7" s="251"/>
      <c r="JF7" s="251"/>
      <c r="JG7" s="251"/>
      <c r="JH7" s="251"/>
      <c r="JI7" s="251"/>
    </row>
    <row r="8" spans="1:269">
      <c r="A8" s="183" t="s">
        <v>20</v>
      </c>
      <c r="B8" s="255">
        <v>0.13200000000000001</v>
      </c>
      <c r="C8" s="255"/>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c r="IL8" s="251"/>
      <c r="IM8" s="251"/>
      <c r="IN8" s="251"/>
      <c r="IO8" s="251"/>
      <c r="IP8" s="251"/>
      <c r="IQ8" s="251"/>
      <c r="IR8" s="251"/>
      <c r="IS8" s="251"/>
      <c r="IT8" s="251"/>
      <c r="IU8" s="251"/>
      <c r="IV8" s="251"/>
      <c r="IW8" s="251"/>
      <c r="IX8" s="251"/>
      <c r="IY8" s="251"/>
      <c r="IZ8" s="251"/>
      <c r="JA8" s="251"/>
      <c r="JB8" s="251"/>
      <c r="JC8" s="251"/>
      <c r="JD8" s="251"/>
      <c r="JE8" s="251"/>
      <c r="JF8" s="251"/>
      <c r="JG8" s="251"/>
      <c r="JH8" s="251"/>
      <c r="JI8" s="251"/>
    </row>
    <row r="9" spans="1:269">
      <c r="A9" s="251"/>
      <c r="B9" s="256"/>
      <c r="C9" s="251"/>
      <c r="D9" s="251"/>
      <c r="E9" s="251"/>
      <c r="F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c r="IO9" s="251"/>
      <c r="IP9" s="251"/>
      <c r="IQ9" s="251"/>
      <c r="IR9" s="251"/>
      <c r="IS9" s="251"/>
      <c r="IT9" s="251"/>
      <c r="IU9" s="251"/>
      <c r="IV9" s="251"/>
      <c r="IW9" s="251"/>
      <c r="IX9" s="251"/>
      <c r="IY9" s="251"/>
      <c r="IZ9" s="251"/>
      <c r="JA9" s="251"/>
      <c r="JB9" s="251"/>
      <c r="JC9" s="251"/>
      <c r="JD9" s="251"/>
      <c r="JE9" s="251"/>
      <c r="JF9" s="251"/>
      <c r="JG9" s="251"/>
      <c r="JH9" s="251"/>
      <c r="JI9" s="251"/>
    </row>
    <row r="10" spans="1:269">
      <c r="A10" s="180" t="s">
        <v>88</v>
      </c>
      <c r="B10" s="180"/>
      <c r="C10" s="254"/>
      <c r="D10" s="180"/>
      <c r="E10" s="251"/>
      <c r="F10" s="251"/>
      <c r="H10" s="180" t="s">
        <v>88</v>
      </c>
      <c r="I10" s="180"/>
      <c r="J10" s="254"/>
      <c r="K10" s="180"/>
      <c r="L10" s="251"/>
      <c r="M10" s="251"/>
      <c r="N10" s="350"/>
      <c r="O10" s="350"/>
      <c r="P10" s="350"/>
      <c r="Q10" s="350"/>
      <c r="R10" s="350"/>
      <c r="S10" s="350"/>
      <c r="T10" s="350"/>
      <c r="U10" s="350"/>
      <c r="V10" s="350"/>
      <c r="W10" s="350"/>
      <c r="X10" s="350"/>
      <c r="Y10" s="350"/>
      <c r="Z10" s="350"/>
      <c r="AA10" s="350"/>
      <c r="AB10" s="350"/>
      <c r="AC10" s="350"/>
      <c r="AD10" s="350"/>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c r="IN10" s="251"/>
      <c r="IO10" s="251"/>
      <c r="IP10" s="251"/>
      <c r="IQ10" s="251"/>
      <c r="IR10" s="251"/>
      <c r="IS10" s="251"/>
      <c r="IT10" s="251"/>
      <c r="IU10" s="251"/>
      <c r="IV10" s="251"/>
      <c r="IW10" s="251"/>
      <c r="IX10" s="251"/>
      <c r="IY10" s="251"/>
      <c r="IZ10" s="251"/>
      <c r="JA10" s="251"/>
      <c r="JB10" s="251"/>
      <c r="JC10" s="251"/>
      <c r="JD10" s="251"/>
      <c r="JE10" s="251"/>
      <c r="JF10" s="251"/>
      <c r="JG10" s="251"/>
      <c r="JH10" s="251"/>
      <c r="JI10" s="251"/>
    </row>
    <row r="11" spans="1:269" ht="30" customHeight="1">
      <c r="A11" s="227" t="str">
        <f>Invånare!A26</f>
        <v>2022-01-01</v>
      </c>
      <c r="B11" s="257" t="s">
        <v>335</v>
      </c>
      <c r="C11" s="526" t="s">
        <v>398</v>
      </c>
      <c r="D11" s="257" t="s">
        <v>50</v>
      </c>
      <c r="E11" s="258" t="s">
        <v>43</v>
      </c>
      <c r="F11" s="251"/>
      <c r="H11" s="227" t="s">
        <v>400</v>
      </c>
      <c r="I11" s="257" t="s">
        <v>335</v>
      </c>
      <c r="J11" s="526" t="s">
        <v>398</v>
      </c>
      <c r="K11" s="258" t="s">
        <v>43</v>
      </c>
      <c r="M11" s="251"/>
      <c r="N11" s="350"/>
      <c r="O11" s="350"/>
      <c r="P11" s="350"/>
      <c r="Q11" s="350"/>
      <c r="R11" s="350"/>
      <c r="S11" s="350"/>
      <c r="T11" s="350"/>
      <c r="U11" s="350"/>
      <c r="V11" s="350"/>
      <c r="W11" s="350"/>
      <c r="X11" s="350"/>
      <c r="Y11" s="350"/>
      <c r="Z11" s="350"/>
      <c r="AA11" s="350"/>
      <c r="AB11" s="350"/>
      <c r="AC11" s="350"/>
      <c r="AD11" s="350"/>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c r="IL11" s="251"/>
      <c r="IM11" s="251"/>
      <c r="IN11" s="251"/>
      <c r="IO11" s="251"/>
      <c r="IP11" s="251"/>
      <c r="IQ11" s="251"/>
      <c r="IR11" s="251"/>
      <c r="IS11" s="251"/>
      <c r="IT11" s="251"/>
      <c r="IU11" s="251"/>
      <c r="IV11" s="251"/>
      <c r="IW11" s="251"/>
      <c r="IX11" s="251"/>
      <c r="IY11" s="251"/>
      <c r="IZ11" s="251"/>
      <c r="JA11" s="251"/>
      <c r="JB11" s="251"/>
      <c r="JC11" s="251"/>
      <c r="JD11" s="251"/>
      <c r="JE11" s="251"/>
      <c r="JF11" s="251"/>
      <c r="JG11" s="251"/>
      <c r="JH11" s="251"/>
      <c r="JI11" s="251"/>
    </row>
    <row r="12" spans="1:269">
      <c r="A12" s="183" t="s">
        <v>1</v>
      </c>
      <c r="B12" s="186">
        <f>Invånare!B6</f>
        <v>449</v>
      </c>
      <c r="C12" s="186">
        <f>B12*$B$7</f>
        <v>458756.77</v>
      </c>
      <c r="D12" s="259">
        <f t="shared" ref="D12:D27" si="0">B12/$B$28</f>
        <v>1.4796994463485367E-2</v>
      </c>
      <c r="E12" s="146">
        <f t="shared" ref="E12:E27" si="1">$B$7*$B$8*B12</f>
        <v>60555.893639999995</v>
      </c>
      <c r="F12" s="251"/>
      <c r="H12" s="183" t="s">
        <v>1</v>
      </c>
      <c r="I12" s="186">
        <v>449</v>
      </c>
      <c r="J12" s="186"/>
      <c r="K12" s="146">
        <v>60555.893639999995</v>
      </c>
      <c r="M12" s="251"/>
      <c r="N12" s="350"/>
      <c r="O12" s="350"/>
      <c r="P12" s="350"/>
      <c r="Q12" s="350"/>
      <c r="R12" s="350"/>
      <c r="S12" s="350"/>
      <c r="T12" s="350"/>
      <c r="U12" s="350"/>
      <c r="V12" s="350"/>
      <c r="W12" s="350"/>
      <c r="X12" s="350"/>
      <c r="Y12" s="350"/>
      <c r="Z12" s="350"/>
      <c r="AA12" s="350"/>
      <c r="AB12" s="350"/>
      <c r="AC12" s="350"/>
      <c r="AD12" s="350"/>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c r="IN12" s="251"/>
      <c r="IO12" s="251"/>
      <c r="IP12" s="251"/>
      <c r="IQ12" s="251"/>
      <c r="IR12" s="251"/>
      <c r="IS12" s="251"/>
      <c r="IT12" s="251"/>
      <c r="IU12" s="251"/>
      <c r="IV12" s="251"/>
      <c r="IW12" s="251"/>
      <c r="IX12" s="251"/>
      <c r="IY12" s="251"/>
      <c r="IZ12" s="251"/>
      <c r="JA12" s="251"/>
      <c r="JB12" s="251"/>
      <c r="JC12" s="251"/>
      <c r="JD12" s="251"/>
      <c r="JE12" s="251"/>
      <c r="JF12" s="251"/>
      <c r="JG12" s="251"/>
      <c r="JH12" s="251"/>
      <c r="JI12" s="251"/>
    </row>
    <row r="13" spans="1:269">
      <c r="A13" s="183" t="s">
        <v>2</v>
      </c>
      <c r="B13" s="186">
        <f>Invånare!B7</f>
        <v>933</v>
      </c>
      <c r="C13" s="186">
        <f t="shared" ref="C13:C27" si="2">B13*$B$7</f>
        <v>953274.09</v>
      </c>
      <c r="D13" s="259">
        <f t="shared" si="0"/>
        <v>3.0747429475349329E-2</v>
      </c>
      <c r="E13" s="146">
        <f t="shared" si="1"/>
        <v>125832.17988</v>
      </c>
      <c r="F13" s="251"/>
      <c r="H13" s="183" t="s">
        <v>2</v>
      </c>
      <c r="I13" s="186">
        <v>933</v>
      </c>
      <c r="J13" s="186"/>
      <c r="K13" s="146">
        <v>125832.17988</v>
      </c>
      <c r="M13" s="251"/>
      <c r="N13" s="350"/>
      <c r="O13" s="350"/>
      <c r="P13" s="350"/>
      <c r="Q13" s="350"/>
      <c r="R13" s="350"/>
      <c r="S13" s="350"/>
      <c r="T13" s="350"/>
      <c r="U13" s="350"/>
      <c r="V13" s="350"/>
      <c r="W13" s="350"/>
      <c r="X13" s="350"/>
      <c r="Y13" s="350"/>
      <c r="Z13" s="350"/>
      <c r="AA13" s="350"/>
      <c r="AB13" s="350"/>
      <c r="AC13" s="350"/>
      <c r="AD13" s="350"/>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c r="IN13" s="251"/>
      <c r="IO13" s="251"/>
      <c r="IP13" s="251"/>
      <c r="IQ13" s="251"/>
      <c r="IR13" s="251"/>
      <c r="IS13" s="251"/>
      <c r="IT13" s="251"/>
      <c r="IU13" s="251"/>
      <c r="IV13" s="251"/>
      <c r="IW13" s="251"/>
      <c r="IX13" s="251"/>
      <c r="IY13" s="251"/>
      <c r="IZ13" s="251"/>
      <c r="JA13" s="251"/>
      <c r="JB13" s="251"/>
      <c r="JC13" s="251"/>
      <c r="JD13" s="251"/>
      <c r="JE13" s="251"/>
      <c r="JF13" s="251"/>
      <c r="JG13" s="251"/>
      <c r="JH13" s="251"/>
      <c r="JI13" s="251"/>
    </row>
    <row r="14" spans="1:269">
      <c r="A14" s="183" t="s">
        <v>3</v>
      </c>
      <c r="B14" s="186">
        <f>Invånare!B8</f>
        <v>2638</v>
      </c>
      <c r="C14" s="186">
        <f t="shared" si="2"/>
        <v>2695323.74</v>
      </c>
      <c r="D14" s="259">
        <f t="shared" si="0"/>
        <v>8.6936461903506457E-2</v>
      </c>
      <c r="E14" s="146">
        <f t="shared" si="1"/>
        <v>355782.73368</v>
      </c>
      <c r="F14" s="251"/>
      <c r="H14" s="183" t="s">
        <v>3</v>
      </c>
      <c r="I14" s="186">
        <v>2638</v>
      </c>
      <c r="J14" s="186"/>
      <c r="K14" s="146">
        <v>355782.73368</v>
      </c>
      <c r="M14" s="251"/>
      <c r="N14" s="350"/>
      <c r="O14" s="350"/>
      <c r="P14" s="350"/>
      <c r="Q14" s="350"/>
      <c r="R14" s="350"/>
      <c r="S14" s="350"/>
      <c r="T14" s="350"/>
      <c r="U14" s="350"/>
      <c r="V14" s="350"/>
      <c r="W14" s="350"/>
      <c r="X14" s="350"/>
      <c r="Y14" s="350"/>
      <c r="Z14" s="350"/>
      <c r="AA14" s="350"/>
      <c r="AB14" s="350"/>
      <c r="AC14" s="350"/>
      <c r="AD14" s="350"/>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c r="IL14" s="251"/>
      <c r="IM14" s="251"/>
      <c r="IN14" s="251"/>
      <c r="IO14" s="251"/>
      <c r="IP14" s="251"/>
      <c r="IQ14" s="251"/>
      <c r="IR14" s="251"/>
      <c r="IS14" s="251"/>
      <c r="IT14" s="251"/>
      <c r="IU14" s="251"/>
      <c r="IV14" s="251"/>
      <c r="IW14" s="251"/>
      <c r="IX14" s="251"/>
      <c r="IY14" s="251"/>
      <c r="IZ14" s="251"/>
      <c r="JA14" s="251"/>
      <c r="JB14" s="251"/>
      <c r="JC14" s="251"/>
      <c r="JD14" s="251"/>
      <c r="JE14" s="251"/>
      <c r="JF14" s="251"/>
      <c r="JG14" s="251"/>
      <c r="JH14" s="251"/>
      <c r="JI14" s="251"/>
    </row>
    <row r="15" spans="1:269">
      <c r="A15" s="183" t="s">
        <v>4</v>
      </c>
      <c r="B15" s="186">
        <f>Invånare!B9</f>
        <v>501</v>
      </c>
      <c r="C15" s="186">
        <f t="shared" si="2"/>
        <v>511886.73</v>
      </c>
      <c r="D15" s="259">
        <f t="shared" si="0"/>
        <v>1.6510677563933561E-2</v>
      </c>
      <c r="E15" s="146">
        <f t="shared" si="1"/>
        <v>67569.048360000001</v>
      </c>
      <c r="F15" s="251"/>
      <c r="H15" s="183" t="s">
        <v>4</v>
      </c>
      <c r="I15" s="186">
        <v>501</v>
      </c>
      <c r="J15" s="186"/>
      <c r="K15" s="146">
        <v>67569.048360000001</v>
      </c>
      <c r="M15" s="251"/>
      <c r="N15" s="350"/>
      <c r="O15" s="350"/>
      <c r="P15" s="350"/>
      <c r="Q15" s="350"/>
      <c r="R15" s="350"/>
      <c r="S15" s="350"/>
      <c r="T15" s="350"/>
      <c r="U15" s="350"/>
      <c r="V15" s="350"/>
      <c r="W15" s="350"/>
      <c r="X15" s="350"/>
      <c r="Y15" s="350"/>
      <c r="Z15" s="350"/>
      <c r="AA15" s="350"/>
      <c r="AB15" s="350"/>
      <c r="AC15" s="350"/>
      <c r="AD15" s="350"/>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c r="IO15" s="251"/>
      <c r="IP15" s="251"/>
      <c r="IQ15" s="251"/>
      <c r="IR15" s="251"/>
      <c r="IS15" s="251"/>
      <c r="IT15" s="251"/>
      <c r="IU15" s="251"/>
      <c r="IV15" s="251"/>
      <c r="IW15" s="251"/>
      <c r="IX15" s="251"/>
      <c r="IY15" s="251"/>
      <c r="IZ15" s="251"/>
      <c r="JA15" s="251"/>
      <c r="JB15" s="251"/>
      <c r="JC15" s="251"/>
      <c r="JD15" s="251"/>
      <c r="JE15" s="251"/>
      <c r="JF15" s="251"/>
      <c r="JG15" s="251"/>
      <c r="JH15" s="251"/>
      <c r="JI15" s="251"/>
    </row>
    <row r="16" spans="1:269">
      <c r="A16" s="183" t="s">
        <v>5</v>
      </c>
      <c r="B16" s="186">
        <f>Invånare!B10</f>
        <v>505</v>
      </c>
      <c r="C16" s="186">
        <f t="shared" si="2"/>
        <v>515973.65</v>
      </c>
      <c r="D16" s="259">
        <f t="shared" si="0"/>
        <v>1.6642499340891116E-2</v>
      </c>
      <c r="E16" s="146">
        <f t="shared" si="1"/>
        <v>68108.521800000002</v>
      </c>
      <c r="F16" s="251"/>
      <c r="H16" s="183" t="s">
        <v>5</v>
      </c>
      <c r="I16" s="186">
        <v>505</v>
      </c>
      <c r="J16" s="186"/>
      <c r="K16" s="146">
        <v>68108.521800000002</v>
      </c>
      <c r="M16" s="251"/>
      <c r="N16" s="350"/>
      <c r="O16" s="350"/>
      <c r="P16" s="350"/>
      <c r="Q16" s="350"/>
      <c r="R16" s="350"/>
      <c r="S16" s="350"/>
      <c r="T16" s="350"/>
      <c r="U16" s="350"/>
      <c r="V16" s="350"/>
      <c r="W16" s="350"/>
      <c r="X16" s="350"/>
      <c r="Y16" s="350"/>
      <c r="Z16" s="350"/>
      <c r="AA16" s="350"/>
      <c r="AB16" s="350"/>
      <c r="AC16" s="350"/>
      <c r="AD16" s="350"/>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c r="IL16" s="251"/>
      <c r="IM16" s="251"/>
      <c r="IN16" s="251"/>
      <c r="IO16" s="251"/>
      <c r="IP16" s="251"/>
      <c r="IQ16" s="251"/>
      <c r="IR16" s="251"/>
      <c r="IS16" s="251"/>
      <c r="IT16" s="251"/>
      <c r="IU16" s="251"/>
      <c r="IV16" s="251"/>
      <c r="IW16" s="251"/>
      <c r="IX16" s="251"/>
      <c r="IY16" s="251"/>
      <c r="IZ16" s="251"/>
      <c r="JA16" s="251"/>
      <c r="JB16" s="251"/>
      <c r="JC16" s="251"/>
      <c r="JD16" s="251"/>
      <c r="JE16" s="251"/>
      <c r="JF16" s="251"/>
      <c r="JG16" s="251"/>
      <c r="JH16" s="251"/>
      <c r="JI16" s="251"/>
    </row>
    <row r="17" spans="1:269">
      <c r="A17" s="183" t="s">
        <v>6</v>
      </c>
      <c r="B17" s="186">
        <f>Invånare!B11</f>
        <v>1619</v>
      </c>
      <c r="C17" s="186">
        <f t="shared" si="2"/>
        <v>1654180.87</v>
      </c>
      <c r="D17" s="259">
        <f t="shared" si="0"/>
        <v>5.3354864223569734E-2</v>
      </c>
      <c r="E17" s="146">
        <f t="shared" si="1"/>
        <v>218351.87484</v>
      </c>
      <c r="F17" s="251"/>
      <c r="H17" s="183" t="s">
        <v>6</v>
      </c>
      <c r="I17" s="186">
        <v>1619</v>
      </c>
      <c r="J17" s="186"/>
      <c r="K17" s="146">
        <v>218351.87484</v>
      </c>
      <c r="M17" s="251"/>
      <c r="N17" s="350"/>
      <c r="O17" s="350"/>
      <c r="P17" s="350"/>
      <c r="Q17" s="350"/>
      <c r="R17" s="350"/>
      <c r="S17" s="350"/>
      <c r="T17" s="350"/>
      <c r="U17" s="350"/>
      <c r="V17" s="350"/>
      <c r="W17" s="350"/>
      <c r="X17" s="350"/>
      <c r="Y17" s="350"/>
      <c r="Z17" s="350"/>
      <c r="AA17" s="350"/>
      <c r="AB17" s="350"/>
      <c r="AC17" s="350"/>
      <c r="AD17" s="350"/>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1"/>
      <c r="DU17" s="251"/>
      <c r="DV17" s="251"/>
      <c r="DW17" s="251"/>
      <c r="DX17" s="251"/>
      <c r="DY17" s="251"/>
      <c r="DZ17" s="251"/>
      <c r="EA17" s="251"/>
      <c r="EB17" s="251"/>
      <c r="EC17" s="251"/>
      <c r="ED17" s="251"/>
      <c r="EE17" s="251"/>
      <c r="EF17" s="251"/>
      <c r="EG17" s="251"/>
      <c r="EH17" s="251"/>
      <c r="EI17" s="251"/>
      <c r="EJ17" s="251"/>
      <c r="EK17" s="251"/>
      <c r="EL17" s="251"/>
      <c r="EM17" s="251"/>
      <c r="EN17" s="251"/>
      <c r="EO17" s="251"/>
      <c r="EP17" s="251"/>
      <c r="EQ17" s="251"/>
      <c r="ER17" s="251"/>
      <c r="ES17" s="251"/>
      <c r="ET17" s="251"/>
      <c r="EU17" s="251"/>
      <c r="EV17" s="251"/>
      <c r="EW17" s="251"/>
      <c r="EX17" s="251"/>
      <c r="EY17" s="251"/>
      <c r="EZ17" s="251"/>
      <c r="FA17" s="251"/>
      <c r="FB17" s="251"/>
      <c r="FC17" s="251"/>
      <c r="FD17" s="251"/>
      <c r="FE17" s="251"/>
      <c r="FF17" s="251"/>
      <c r="FG17" s="251"/>
      <c r="FH17" s="251"/>
      <c r="FI17" s="251"/>
      <c r="FJ17" s="251"/>
      <c r="FK17" s="251"/>
      <c r="FL17" s="251"/>
      <c r="FM17" s="251"/>
      <c r="FN17" s="251"/>
      <c r="FO17" s="251"/>
      <c r="FP17" s="251"/>
      <c r="FQ17" s="251"/>
      <c r="FR17" s="251"/>
      <c r="FS17" s="251"/>
      <c r="FT17" s="251"/>
      <c r="FU17" s="251"/>
      <c r="FV17" s="251"/>
      <c r="FW17" s="251"/>
      <c r="FX17" s="251"/>
      <c r="FY17" s="251"/>
      <c r="FZ17" s="251"/>
      <c r="GA17" s="251"/>
      <c r="GB17" s="251"/>
      <c r="GC17" s="251"/>
      <c r="GD17" s="251"/>
      <c r="GE17" s="251"/>
      <c r="GF17" s="251"/>
      <c r="GG17" s="251"/>
      <c r="GH17" s="251"/>
      <c r="GI17" s="251"/>
      <c r="GJ17" s="251"/>
      <c r="GK17" s="251"/>
      <c r="GL17" s="251"/>
      <c r="GM17" s="251"/>
      <c r="GN17" s="251"/>
      <c r="GO17" s="251"/>
      <c r="GP17" s="251"/>
      <c r="GQ17" s="251"/>
      <c r="GR17" s="251"/>
      <c r="GS17" s="251"/>
      <c r="GT17" s="251"/>
      <c r="GU17" s="251"/>
      <c r="GV17" s="251"/>
      <c r="GW17" s="251"/>
      <c r="GX17" s="251"/>
      <c r="GY17" s="251"/>
      <c r="GZ17" s="251"/>
      <c r="HA17" s="251"/>
      <c r="HB17" s="251"/>
      <c r="HC17" s="251"/>
      <c r="HD17" s="251"/>
      <c r="HE17" s="251"/>
      <c r="HF17" s="251"/>
      <c r="HG17" s="251"/>
      <c r="HH17" s="251"/>
      <c r="HI17" s="251"/>
      <c r="HJ17" s="251"/>
      <c r="HK17" s="251"/>
      <c r="HL17" s="251"/>
      <c r="HM17" s="251"/>
      <c r="HN17" s="251"/>
      <c r="HO17" s="251"/>
      <c r="HP17" s="251"/>
      <c r="HQ17" s="251"/>
      <c r="HR17" s="251"/>
      <c r="HS17" s="251"/>
      <c r="HT17" s="251"/>
      <c r="HU17" s="251"/>
      <c r="HV17" s="251"/>
      <c r="HW17" s="251"/>
      <c r="HX17" s="251"/>
      <c r="HY17" s="251"/>
      <c r="HZ17" s="251"/>
      <c r="IA17" s="251"/>
      <c r="IB17" s="251"/>
      <c r="IC17" s="251"/>
      <c r="ID17" s="251"/>
      <c r="IE17" s="251"/>
      <c r="IF17" s="251"/>
      <c r="IG17" s="251"/>
      <c r="IH17" s="251"/>
      <c r="II17" s="251"/>
      <c r="IJ17" s="251"/>
      <c r="IK17" s="251"/>
      <c r="IL17" s="251"/>
      <c r="IM17" s="251"/>
      <c r="IN17" s="251"/>
      <c r="IO17" s="251"/>
      <c r="IP17" s="251"/>
      <c r="IQ17" s="251"/>
      <c r="IR17" s="251"/>
      <c r="IS17" s="251"/>
      <c r="IT17" s="251"/>
      <c r="IU17" s="251"/>
      <c r="IV17" s="251"/>
      <c r="IW17" s="251"/>
      <c r="IX17" s="251"/>
      <c r="IY17" s="251"/>
      <c r="IZ17" s="251"/>
      <c r="JA17" s="251"/>
      <c r="JB17" s="251"/>
      <c r="JC17" s="251"/>
      <c r="JD17" s="251"/>
      <c r="JE17" s="251"/>
      <c r="JF17" s="251"/>
      <c r="JG17" s="251"/>
      <c r="JH17" s="251"/>
      <c r="JI17" s="251"/>
    </row>
    <row r="18" spans="1:269">
      <c r="A18" s="183" t="s">
        <v>7</v>
      </c>
      <c r="B18" s="186">
        <f>Invånare!B12</f>
        <v>5512</v>
      </c>
      <c r="C18" s="186">
        <f t="shared" si="2"/>
        <v>5631775.7599999998</v>
      </c>
      <c r="D18" s="259">
        <f t="shared" si="0"/>
        <v>0.18165040864750856</v>
      </c>
      <c r="E18" s="146">
        <f t="shared" si="1"/>
        <v>743394.40032000002</v>
      </c>
      <c r="F18" s="251"/>
      <c r="H18" s="183" t="s">
        <v>7</v>
      </c>
      <c r="I18" s="186">
        <v>5512</v>
      </c>
      <c r="J18" s="186"/>
      <c r="K18" s="146">
        <v>743394.40032000002</v>
      </c>
      <c r="M18" s="251"/>
      <c r="N18" s="350"/>
      <c r="O18" s="350"/>
      <c r="P18" s="350"/>
      <c r="Q18" s="350"/>
      <c r="R18" s="350"/>
      <c r="S18" s="350"/>
      <c r="T18" s="350"/>
      <c r="U18" s="350"/>
      <c r="V18" s="350"/>
      <c r="W18" s="350"/>
      <c r="X18" s="350"/>
      <c r="Y18" s="350"/>
      <c r="Z18" s="350"/>
      <c r="AA18" s="350"/>
      <c r="AB18" s="350"/>
      <c r="AC18" s="350"/>
      <c r="AD18" s="350"/>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51"/>
      <c r="GQ18" s="251"/>
      <c r="GR18" s="251"/>
      <c r="GS18" s="251"/>
      <c r="GT18" s="251"/>
      <c r="GU18" s="251"/>
      <c r="GV18" s="251"/>
      <c r="GW18" s="251"/>
      <c r="GX18" s="251"/>
      <c r="GY18" s="251"/>
      <c r="GZ18" s="251"/>
      <c r="HA18" s="251"/>
      <c r="HB18" s="251"/>
      <c r="HC18" s="251"/>
      <c r="HD18" s="251"/>
      <c r="HE18" s="251"/>
      <c r="HF18" s="251"/>
      <c r="HG18" s="251"/>
      <c r="HH18" s="251"/>
      <c r="HI18" s="251"/>
      <c r="HJ18" s="251"/>
      <c r="HK18" s="251"/>
      <c r="HL18" s="251"/>
      <c r="HM18" s="251"/>
      <c r="HN18" s="251"/>
      <c r="HO18" s="251"/>
      <c r="HP18" s="251"/>
      <c r="HQ18" s="251"/>
      <c r="HR18" s="251"/>
      <c r="HS18" s="251"/>
      <c r="HT18" s="251"/>
      <c r="HU18" s="251"/>
      <c r="HV18" s="251"/>
      <c r="HW18" s="251"/>
      <c r="HX18" s="251"/>
      <c r="HY18" s="251"/>
      <c r="HZ18" s="251"/>
      <c r="IA18" s="251"/>
      <c r="IB18" s="251"/>
      <c r="IC18" s="251"/>
      <c r="ID18" s="251"/>
      <c r="IE18" s="251"/>
      <c r="IF18" s="251"/>
      <c r="IG18" s="251"/>
      <c r="IH18" s="251"/>
      <c r="II18" s="251"/>
      <c r="IJ18" s="251"/>
      <c r="IK18" s="251"/>
      <c r="IL18" s="251"/>
      <c r="IM18" s="251"/>
      <c r="IN18" s="251"/>
      <c r="IO18" s="251"/>
      <c r="IP18" s="251"/>
      <c r="IQ18" s="251"/>
      <c r="IR18" s="251"/>
      <c r="IS18" s="251"/>
      <c r="IT18" s="251"/>
      <c r="IU18" s="251"/>
      <c r="IV18" s="251"/>
      <c r="IW18" s="251"/>
      <c r="IX18" s="251"/>
      <c r="IY18" s="251"/>
      <c r="IZ18" s="251"/>
      <c r="JA18" s="251"/>
      <c r="JB18" s="251"/>
      <c r="JC18" s="251"/>
      <c r="JD18" s="251"/>
      <c r="JE18" s="251"/>
      <c r="JF18" s="251"/>
      <c r="JG18" s="251"/>
      <c r="JH18" s="251"/>
      <c r="JI18" s="251"/>
    </row>
    <row r="19" spans="1:269">
      <c r="A19" s="183" t="s">
        <v>8</v>
      </c>
      <c r="B19" s="186">
        <f>Invånare!B13</f>
        <v>313</v>
      </c>
      <c r="C19" s="186">
        <f t="shared" si="2"/>
        <v>319801.49</v>
      </c>
      <c r="D19" s="259">
        <f t="shared" si="0"/>
        <v>1.0315054046928552E-2</v>
      </c>
      <c r="E19" s="146">
        <f t="shared" si="1"/>
        <v>42213.796679999999</v>
      </c>
      <c r="F19" s="251"/>
      <c r="H19" s="183" t="s">
        <v>8</v>
      </c>
      <c r="I19" s="186">
        <v>313</v>
      </c>
      <c r="J19" s="186"/>
      <c r="K19" s="146">
        <v>42213.796679999999</v>
      </c>
      <c r="M19" s="251"/>
      <c r="N19" s="350"/>
      <c r="O19" s="350"/>
      <c r="P19" s="350"/>
      <c r="Q19" s="350"/>
      <c r="R19" s="350"/>
      <c r="S19" s="350"/>
      <c r="T19" s="350"/>
      <c r="U19" s="350"/>
      <c r="V19" s="350"/>
      <c r="W19" s="350"/>
      <c r="X19" s="350"/>
      <c r="Y19" s="350"/>
      <c r="Z19" s="350"/>
      <c r="AA19" s="350"/>
      <c r="AB19" s="350"/>
      <c r="AC19" s="350"/>
      <c r="AD19" s="350"/>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c r="EP19" s="251"/>
      <c r="EQ19" s="251"/>
      <c r="ER19" s="251"/>
      <c r="ES19" s="251"/>
      <c r="ET19" s="251"/>
      <c r="EU19" s="251"/>
      <c r="EV19" s="251"/>
      <c r="EW19" s="251"/>
      <c r="EX19" s="251"/>
      <c r="EY19" s="251"/>
      <c r="EZ19" s="251"/>
      <c r="FA19" s="251"/>
      <c r="FB19" s="251"/>
      <c r="FC19" s="251"/>
      <c r="FD19" s="251"/>
      <c r="FE19" s="251"/>
      <c r="FF19" s="251"/>
      <c r="FG19" s="251"/>
      <c r="FH19" s="251"/>
      <c r="FI19" s="251"/>
      <c r="FJ19" s="251"/>
      <c r="FK19" s="251"/>
      <c r="FL19" s="251"/>
      <c r="FM19" s="251"/>
      <c r="FN19" s="251"/>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c r="GL19" s="251"/>
      <c r="GM19" s="251"/>
      <c r="GN19" s="251"/>
      <c r="GO19" s="251"/>
      <c r="GP19" s="251"/>
      <c r="GQ19" s="251"/>
      <c r="GR19" s="251"/>
      <c r="GS19" s="251"/>
      <c r="GT19" s="251"/>
      <c r="GU19" s="251"/>
      <c r="GV19" s="251"/>
      <c r="GW19" s="251"/>
      <c r="GX19" s="251"/>
      <c r="GY19" s="251"/>
      <c r="GZ19" s="251"/>
      <c r="HA19" s="251"/>
      <c r="HB19" s="251"/>
      <c r="HC19" s="251"/>
      <c r="HD19" s="251"/>
      <c r="HE19" s="251"/>
      <c r="HF19" s="251"/>
      <c r="HG19" s="251"/>
      <c r="HH19" s="251"/>
      <c r="HI19" s="251"/>
      <c r="HJ19" s="251"/>
      <c r="HK19" s="251"/>
      <c r="HL19" s="251"/>
      <c r="HM19" s="251"/>
      <c r="HN19" s="251"/>
      <c r="HO19" s="251"/>
      <c r="HP19" s="251"/>
      <c r="HQ19" s="251"/>
      <c r="HR19" s="251"/>
      <c r="HS19" s="251"/>
      <c r="HT19" s="251"/>
      <c r="HU19" s="251"/>
      <c r="HV19" s="251"/>
      <c r="HW19" s="251"/>
      <c r="HX19" s="251"/>
      <c r="HY19" s="251"/>
      <c r="HZ19" s="251"/>
      <c r="IA19" s="251"/>
      <c r="IB19" s="251"/>
      <c r="IC19" s="251"/>
      <c r="ID19" s="251"/>
      <c r="IE19" s="251"/>
      <c r="IF19" s="251"/>
      <c r="IG19" s="251"/>
      <c r="IH19" s="251"/>
      <c r="II19" s="251"/>
      <c r="IJ19" s="251"/>
      <c r="IK19" s="251"/>
      <c r="IL19" s="251"/>
      <c r="IM19" s="251"/>
      <c r="IN19" s="251"/>
      <c r="IO19" s="251"/>
      <c r="IP19" s="251"/>
      <c r="IQ19" s="251"/>
      <c r="IR19" s="251"/>
      <c r="IS19" s="251"/>
      <c r="IT19" s="251"/>
      <c r="IU19" s="251"/>
      <c r="IV19" s="251"/>
      <c r="IW19" s="251"/>
      <c r="IX19" s="251"/>
      <c r="IY19" s="251"/>
      <c r="IZ19" s="251"/>
      <c r="JA19" s="251"/>
      <c r="JB19" s="251"/>
      <c r="JC19" s="251"/>
      <c r="JD19" s="251"/>
      <c r="JE19" s="251"/>
      <c r="JF19" s="251"/>
      <c r="JG19" s="251"/>
      <c r="JH19" s="251"/>
      <c r="JI19" s="251"/>
    </row>
    <row r="20" spans="1:269">
      <c r="A20" s="183" t="s">
        <v>9</v>
      </c>
      <c r="B20" s="186">
        <f>Invånare!B14</f>
        <v>224</v>
      </c>
      <c r="C20" s="186">
        <f t="shared" si="2"/>
        <v>228867.52000000002</v>
      </c>
      <c r="D20" s="259">
        <f t="shared" si="0"/>
        <v>7.3820195096229897E-3</v>
      </c>
      <c r="E20" s="146">
        <f t="shared" si="1"/>
        <v>30210.512640000001</v>
      </c>
      <c r="F20" s="251"/>
      <c r="H20" s="183" t="s">
        <v>9</v>
      </c>
      <c r="I20" s="186">
        <v>224</v>
      </c>
      <c r="J20" s="186"/>
      <c r="K20" s="146">
        <v>30210.512640000001</v>
      </c>
      <c r="M20" s="251"/>
      <c r="N20" s="350"/>
      <c r="O20" s="350"/>
      <c r="P20" s="350"/>
      <c r="Q20" s="350"/>
      <c r="R20" s="350"/>
      <c r="S20" s="350"/>
      <c r="T20" s="350"/>
      <c r="U20" s="350"/>
      <c r="V20" s="350"/>
      <c r="W20" s="350"/>
      <c r="X20" s="350"/>
      <c r="Y20" s="350"/>
      <c r="Z20" s="350"/>
      <c r="AA20" s="350"/>
      <c r="AB20" s="350"/>
      <c r="AC20" s="350"/>
      <c r="AD20" s="350"/>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1"/>
      <c r="EX20" s="251"/>
      <c r="EY20" s="251"/>
      <c r="EZ20" s="251"/>
      <c r="FA20" s="251"/>
      <c r="FB20" s="251"/>
      <c r="FC20" s="251"/>
      <c r="FD20" s="251"/>
      <c r="FE20" s="251"/>
      <c r="FF20" s="251"/>
      <c r="FG20" s="251"/>
      <c r="FH20" s="251"/>
      <c r="FI20" s="251"/>
      <c r="FJ20" s="251"/>
      <c r="FK20" s="251"/>
      <c r="FL20" s="251"/>
      <c r="FM20" s="251"/>
      <c r="FN20" s="251"/>
      <c r="FO20" s="251"/>
      <c r="FP20" s="251"/>
      <c r="FQ20" s="251"/>
      <c r="FR20" s="251"/>
      <c r="FS20" s="251"/>
      <c r="FT20" s="251"/>
      <c r="FU20" s="251"/>
      <c r="FV20" s="251"/>
      <c r="FW20" s="251"/>
      <c r="FX20" s="251"/>
      <c r="FY20" s="251"/>
      <c r="FZ20" s="251"/>
      <c r="GA20" s="251"/>
      <c r="GB20" s="251"/>
      <c r="GC20" s="251"/>
      <c r="GD20" s="251"/>
      <c r="GE20" s="251"/>
      <c r="GF20" s="251"/>
      <c r="GG20" s="251"/>
      <c r="GH20" s="251"/>
      <c r="GI20" s="251"/>
      <c r="GJ20" s="251"/>
      <c r="GK20" s="251"/>
      <c r="GL20" s="251"/>
      <c r="GM20" s="251"/>
      <c r="GN20" s="251"/>
      <c r="GO20" s="251"/>
      <c r="GP20" s="251"/>
      <c r="GQ20" s="251"/>
      <c r="GR20" s="251"/>
      <c r="GS20" s="251"/>
      <c r="GT20" s="251"/>
      <c r="GU20" s="251"/>
      <c r="GV20" s="251"/>
      <c r="GW20" s="251"/>
      <c r="GX20" s="251"/>
      <c r="GY20" s="251"/>
      <c r="GZ20" s="251"/>
      <c r="HA20" s="251"/>
      <c r="HB20" s="251"/>
      <c r="HC20" s="251"/>
      <c r="HD20" s="251"/>
      <c r="HE20" s="251"/>
      <c r="HF20" s="251"/>
      <c r="HG20" s="251"/>
      <c r="HH20" s="251"/>
      <c r="HI20" s="251"/>
      <c r="HJ20" s="251"/>
      <c r="HK20" s="251"/>
      <c r="HL20" s="251"/>
      <c r="HM20" s="251"/>
      <c r="HN20" s="251"/>
      <c r="HO20" s="251"/>
      <c r="HP20" s="251"/>
      <c r="HQ20" s="251"/>
      <c r="HR20" s="251"/>
      <c r="HS20" s="251"/>
      <c r="HT20" s="251"/>
      <c r="HU20" s="251"/>
      <c r="HV20" s="251"/>
      <c r="HW20" s="251"/>
      <c r="HX20" s="251"/>
      <c r="HY20" s="251"/>
      <c r="HZ20" s="251"/>
      <c r="IA20" s="251"/>
      <c r="IB20" s="251"/>
      <c r="IC20" s="251"/>
      <c r="ID20" s="251"/>
      <c r="IE20" s="251"/>
      <c r="IF20" s="251"/>
      <c r="IG20" s="251"/>
      <c r="IH20" s="251"/>
      <c r="II20" s="251"/>
      <c r="IJ20" s="251"/>
      <c r="IK20" s="251"/>
      <c r="IL20" s="251"/>
      <c r="IM20" s="251"/>
      <c r="IN20" s="251"/>
      <c r="IO20" s="251"/>
      <c r="IP20" s="251"/>
      <c r="IQ20" s="251"/>
      <c r="IR20" s="251"/>
      <c r="IS20" s="251"/>
      <c r="IT20" s="251"/>
      <c r="IU20" s="251"/>
      <c r="IV20" s="251"/>
      <c r="IW20" s="251"/>
      <c r="IX20" s="251"/>
      <c r="IY20" s="251"/>
      <c r="IZ20" s="251"/>
      <c r="JA20" s="251"/>
      <c r="JB20" s="251"/>
      <c r="JC20" s="251"/>
      <c r="JD20" s="251"/>
      <c r="JE20" s="251"/>
      <c r="JF20" s="251"/>
      <c r="JG20" s="251"/>
      <c r="JH20" s="251"/>
      <c r="JI20" s="251"/>
    </row>
    <row r="21" spans="1:269">
      <c r="A21" s="183" t="s">
        <v>10</v>
      </c>
      <c r="B21" s="186">
        <f>Invånare!B15</f>
        <v>2135</v>
      </c>
      <c r="C21" s="186">
        <f t="shared" si="2"/>
        <v>2181393.5499999998</v>
      </c>
      <c r="D21" s="259">
        <f t="shared" si="0"/>
        <v>7.0359873451094124E-2</v>
      </c>
      <c r="E21" s="146">
        <f t="shared" si="1"/>
        <v>287943.9486</v>
      </c>
      <c r="F21" s="251"/>
      <c r="H21" s="183" t="s">
        <v>10</v>
      </c>
      <c r="I21" s="186">
        <v>2135</v>
      </c>
      <c r="J21" s="186"/>
      <c r="K21" s="146">
        <v>287943.9486</v>
      </c>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c r="IO21" s="251"/>
      <c r="IP21" s="251"/>
      <c r="IQ21" s="251"/>
      <c r="IR21" s="251"/>
      <c r="IS21" s="251"/>
      <c r="IT21" s="251"/>
      <c r="IU21" s="251"/>
      <c r="IV21" s="251"/>
      <c r="IW21" s="251"/>
      <c r="IX21" s="251"/>
      <c r="IY21" s="251"/>
      <c r="IZ21" s="251"/>
      <c r="JA21" s="251"/>
      <c r="JB21" s="251"/>
      <c r="JC21" s="251"/>
      <c r="JD21" s="251"/>
      <c r="JE21" s="251"/>
      <c r="JF21" s="251"/>
      <c r="JG21" s="251"/>
      <c r="JH21" s="251"/>
      <c r="JI21" s="251"/>
    </row>
    <row r="22" spans="1:269">
      <c r="A22" s="183" t="s">
        <v>11</v>
      </c>
      <c r="B22" s="186">
        <f>Invånare!B16</f>
        <v>376</v>
      </c>
      <c r="C22" s="186">
        <f t="shared" si="2"/>
        <v>384170.48</v>
      </c>
      <c r="D22" s="259">
        <f t="shared" si="0"/>
        <v>1.2391247034010018E-2</v>
      </c>
      <c r="E22" s="146">
        <f t="shared" si="1"/>
        <v>50710.503359999995</v>
      </c>
      <c r="F22" s="251"/>
      <c r="H22" s="183" t="s">
        <v>11</v>
      </c>
      <c r="I22" s="186">
        <v>376</v>
      </c>
      <c r="J22" s="186"/>
      <c r="K22" s="146">
        <v>50710.503359999995</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51"/>
      <c r="GC22" s="251"/>
      <c r="GD22" s="251"/>
      <c r="GE22" s="251"/>
      <c r="GF22" s="251"/>
      <c r="GG22" s="251"/>
      <c r="GH22" s="251"/>
      <c r="GI22" s="251"/>
      <c r="GJ22" s="251"/>
      <c r="GK22" s="251"/>
      <c r="GL22" s="251"/>
      <c r="GM22" s="251"/>
      <c r="GN22" s="251"/>
      <c r="GO22" s="251"/>
      <c r="GP22" s="251"/>
      <c r="GQ22" s="251"/>
      <c r="GR22" s="251"/>
      <c r="GS22" s="251"/>
      <c r="GT22" s="251"/>
      <c r="GU22" s="251"/>
      <c r="GV22" s="251"/>
      <c r="GW22" s="251"/>
      <c r="GX22" s="251"/>
      <c r="GY22" s="251"/>
      <c r="GZ22" s="251"/>
      <c r="HA22" s="251"/>
      <c r="HB22" s="251"/>
      <c r="HC22" s="251"/>
      <c r="HD22" s="251"/>
      <c r="HE22" s="251"/>
      <c r="HF22" s="251"/>
      <c r="HG22" s="251"/>
      <c r="HH22" s="251"/>
      <c r="HI22" s="251"/>
      <c r="HJ22" s="251"/>
      <c r="HK22" s="251"/>
      <c r="HL22" s="251"/>
      <c r="HM22" s="251"/>
      <c r="HN22" s="251"/>
      <c r="HO22" s="251"/>
      <c r="HP22" s="251"/>
      <c r="HQ22" s="251"/>
      <c r="HR22" s="251"/>
      <c r="HS22" s="251"/>
      <c r="HT22" s="251"/>
      <c r="HU22" s="251"/>
      <c r="HV22" s="251"/>
      <c r="HW22" s="251"/>
      <c r="HX22" s="251"/>
      <c r="HY22" s="251"/>
      <c r="HZ22" s="251"/>
      <c r="IA22" s="251"/>
      <c r="IB22" s="251"/>
      <c r="IC22" s="251"/>
      <c r="ID22" s="251"/>
      <c r="IE22" s="251"/>
      <c r="IF22" s="251"/>
      <c r="IG22" s="251"/>
      <c r="IH22" s="251"/>
      <c r="II22" s="251"/>
      <c r="IJ22" s="251"/>
      <c r="IK22" s="251"/>
      <c r="IL22" s="251"/>
      <c r="IM22" s="251"/>
      <c r="IN22" s="251"/>
      <c r="IO22" s="251"/>
      <c r="IP22" s="251"/>
      <c r="IQ22" s="251"/>
      <c r="IR22" s="251"/>
      <c r="IS22" s="251"/>
      <c r="IT22" s="251"/>
      <c r="IU22" s="251"/>
      <c r="IV22" s="251"/>
      <c r="IW22" s="251"/>
      <c r="IX22" s="251"/>
      <c r="IY22" s="251"/>
      <c r="IZ22" s="251"/>
      <c r="JA22" s="251"/>
      <c r="JB22" s="251"/>
      <c r="JC22" s="251"/>
      <c r="JD22" s="251"/>
      <c r="JE22" s="251"/>
      <c r="JF22" s="251"/>
      <c r="JG22" s="251"/>
      <c r="JH22" s="251"/>
      <c r="JI22" s="251"/>
    </row>
    <row r="23" spans="1:269">
      <c r="A23" s="183" t="s">
        <v>12</v>
      </c>
      <c r="B23" s="186">
        <f>Invånare!B17</f>
        <v>1810</v>
      </c>
      <c r="C23" s="186">
        <f t="shared" si="2"/>
        <v>1849331.3</v>
      </c>
      <c r="D23" s="259">
        <f t="shared" si="0"/>
        <v>5.9649354073292908E-2</v>
      </c>
      <c r="E23" s="146">
        <f t="shared" si="1"/>
        <v>244111.7316</v>
      </c>
      <c r="F23" s="251"/>
      <c r="H23" s="183" t="s">
        <v>12</v>
      </c>
      <c r="I23" s="186">
        <v>1810</v>
      </c>
      <c r="J23" s="186"/>
      <c r="K23" s="146">
        <v>244111.7316</v>
      </c>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1"/>
      <c r="FC23" s="251"/>
      <c r="FD23" s="251"/>
      <c r="FE23" s="251"/>
      <c r="FF23" s="251"/>
      <c r="FG23" s="251"/>
      <c r="FH23" s="251"/>
      <c r="FI23" s="251"/>
      <c r="FJ23" s="251"/>
      <c r="FK23" s="251"/>
      <c r="FL23" s="251"/>
      <c r="FM23" s="251"/>
      <c r="FN23" s="251"/>
      <c r="FO23" s="251"/>
      <c r="FP23" s="251"/>
      <c r="FQ23" s="251"/>
      <c r="FR23" s="251"/>
      <c r="FS23" s="251"/>
      <c r="FT23" s="251"/>
      <c r="FU23" s="251"/>
      <c r="FV23" s="251"/>
      <c r="FW23" s="251"/>
      <c r="FX23" s="251"/>
      <c r="FY23" s="251"/>
      <c r="FZ23" s="251"/>
      <c r="GA23" s="251"/>
      <c r="GB23" s="251"/>
      <c r="GC23" s="251"/>
      <c r="GD23" s="251"/>
      <c r="GE23" s="251"/>
      <c r="GF23" s="251"/>
      <c r="GG23" s="251"/>
      <c r="GH23" s="251"/>
      <c r="GI23" s="251"/>
      <c r="GJ23" s="251"/>
      <c r="GK23" s="251"/>
      <c r="GL23" s="251"/>
      <c r="GM23" s="251"/>
      <c r="GN23" s="251"/>
      <c r="GO23" s="251"/>
      <c r="GP23" s="251"/>
      <c r="GQ23" s="251"/>
      <c r="GR23" s="251"/>
      <c r="GS23" s="251"/>
      <c r="GT23" s="251"/>
      <c r="GU23" s="251"/>
      <c r="GV23" s="251"/>
      <c r="GW23" s="251"/>
      <c r="GX23" s="251"/>
      <c r="GY23" s="251"/>
      <c r="GZ23" s="251"/>
      <c r="HA23" s="251"/>
      <c r="HB23" s="251"/>
      <c r="HC23" s="251"/>
      <c r="HD23" s="251"/>
      <c r="HE23" s="251"/>
      <c r="HF23" s="251"/>
      <c r="HG23" s="251"/>
      <c r="HH23" s="251"/>
      <c r="HI23" s="251"/>
      <c r="HJ23" s="251"/>
      <c r="HK23" s="251"/>
      <c r="HL23" s="251"/>
      <c r="HM23" s="251"/>
      <c r="HN23" s="251"/>
      <c r="HO23" s="251"/>
      <c r="HP23" s="251"/>
      <c r="HQ23" s="251"/>
      <c r="HR23" s="251"/>
      <c r="HS23" s="251"/>
      <c r="HT23" s="251"/>
      <c r="HU23" s="251"/>
      <c r="HV23" s="251"/>
      <c r="HW23" s="251"/>
      <c r="HX23" s="251"/>
      <c r="HY23" s="251"/>
      <c r="HZ23" s="251"/>
      <c r="IA23" s="251"/>
      <c r="IB23" s="251"/>
      <c r="IC23" s="251"/>
      <c r="ID23" s="251"/>
      <c r="IE23" s="251"/>
      <c r="IF23" s="251"/>
      <c r="IG23" s="251"/>
      <c r="IH23" s="251"/>
      <c r="II23" s="251"/>
      <c r="IJ23" s="251"/>
      <c r="IK23" s="251"/>
      <c r="IL23" s="251"/>
      <c r="IM23" s="251"/>
      <c r="IN23" s="251"/>
      <c r="IO23" s="251"/>
      <c r="IP23" s="251"/>
      <c r="IQ23" s="251"/>
      <c r="IR23" s="251"/>
      <c r="IS23" s="251"/>
      <c r="IT23" s="251"/>
      <c r="IU23" s="251"/>
      <c r="IV23" s="251"/>
      <c r="IW23" s="251"/>
      <c r="IX23" s="251"/>
      <c r="IY23" s="251"/>
      <c r="IZ23" s="251"/>
      <c r="JA23" s="251"/>
      <c r="JB23" s="251"/>
      <c r="JC23" s="251"/>
      <c r="JD23" s="251"/>
      <c r="JE23" s="251"/>
      <c r="JF23" s="251"/>
      <c r="JG23" s="251"/>
      <c r="JH23" s="251"/>
      <c r="JI23" s="251"/>
    </row>
    <row r="24" spans="1:269">
      <c r="A24" s="183" t="s">
        <v>13</v>
      </c>
      <c r="B24" s="186">
        <f>Invånare!B18</f>
        <v>105</v>
      </c>
      <c r="C24" s="186">
        <f t="shared" si="2"/>
        <v>107281.65000000001</v>
      </c>
      <c r="D24" s="259">
        <f t="shared" si="0"/>
        <v>3.4603216451357765E-3</v>
      </c>
      <c r="E24" s="146">
        <f t="shared" si="1"/>
        <v>14161.177799999999</v>
      </c>
      <c r="F24" s="251"/>
      <c r="H24" s="183" t="s">
        <v>13</v>
      </c>
      <c r="I24" s="186">
        <v>105</v>
      </c>
      <c r="J24" s="186"/>
      <c r="K24" s="146">
        <v>14161.177799999999</v>
      </c>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51"/>
      <c r="EV24" s="251"/>
      <c r="EW24" s="251"/>
      <c r="EX24" s="251"/>
      <c r="EY24" s="251"/>
      <c r="EZ24" s="251"/>
      <c r="FA24" s="251"/>
      <c r="FB24" s="251"/>
      <c r="FC24" s="251"/>
      <c r="FD24" s="251"/>
      <c r="FE24" s="251"/>
      <c r="FF24" s="251"/>
      <c r="FG24" s="251"/>
      <c r="FH24" s="251"/>
      <c r="FI24" s="251"/>
      <c r="FJ24" s="251"/>
      <c r="FK24" s="251"/>
      <c r="FL24" s="251"/>
      <c r="FM24" s="251"/>
      <c r="FN24" s="251"/>
      <c r="FO24" s="251"/>
      <c r="FP24" s="251"/>
      <c r="FQ24" s="251"/>
      <c r="FR24" s="251"/>
      <c r="FS24" s="251"/>
      <c r="FT24" s="251"/>
      <c r="FU24" s="251"/>
      <c r="FV24" s="251"/>
      <c r="FW24" s="251"/>
      <c r="FX24" s="251"/>
      <c r="FY24" s="251"/>
      <c r="FZ24" s="251"/>
      <c r="GA24" s="251"/>
      <c r="GB24" s="251"/>
      <c r="GC24" s="251"/>
      <c r="GD24" s="251"/>
      <c r="GE24" s="251"/>
      <c r="GF24" s="251"/>
      <c r="GG24" s="251"/>
      <c r="GH24" s="251"/>
      <c r="GI24" s="251"/>
      <c r="GJ24" s="251"/>
      <c r="GK24" s="251"/>
      <c r="GL24" s="251"/>
      <c r="GM24" s="251"/>
      <c r="GN24" s="251"/>
      <c r="GO24" s="251"/>
      <c r="GP24" s="251"/>
      <c r="GQ24" s="251"/>
      <c r="GR24" s="251"/>
      <c r="GS24" s="251"/>
      <c r="GT24" s="251"/>
      <c r="GU24" s="251"/>
      <c r="GV24" s="251"/>
      <c r="GW24" s="251"/>
      <c r="GX24" s="251"/>
      <c r="GY24" s="251"/>
      <c r="GZ24" s="251"/>
      <c r="HA24" s="251"/>
      <c r="HB24" s="251"/>
      <c r="HC24" s="251"/>
      <c r="HD24" s="251"/>
      <c r="HE24" s="251"/>
      <c r="HF24" s="251"/>
      <c r="HG24" s="251"/>
      <c r="HH24" s="251"/>
      <c r="HI24" s="251"/>
      <c r="HJ24" s="251"/>
      <c r="HK24" s="251"/>
      <c r="HL24" s="251"/>
      <c r="HM24" s="251"/>
      <c r="HN24" s="251"/>
      <c r="HO24" s="251"/>
      <c r="HP24" s="251"/>
      <c r="HQ24" s="251"/>
      <c r="HR24" s="251"/>
      <c r="HS24" s="251"/>
      <c r="HT24" s="251"/>
      <c r="HU24" s="251"/>
      <c r="HV24" s="251"/>
      <c r="HW24" s="251"/>
      <c r="HX24" s="251"/>
      <c r="HY24" s="251"/>
      <c r="HZ24" s="251"/>
      <c r="IA24" s="251"/>
      <c r="IB24" s="251"/>
      <c r="IC24" s="251"/>
      <c r="ID24" s="251"/>
      <c r="IE24" s="251"/>
      <c r="IF24" s="251"/>
      <c r="IG24" s="251"/>
      <c r="IH24" s="251"/>
      <c r="II24" s="251"/>
      <c r="IJ24" s="251"/>
      <c r="IK24" s="251"/>
      <c r="IL24" s="251"/>
      <c r="IM24" s="251"/>
      <c r="IN24" s="251"/>
      <c r="IO24" s="251"/>
      <c r="IP24" s="251"/>
      <c r="IQ24" s="251"/>
      <c r="IR24" s="251"/>
      <c r="IS24" s="251"/>
      <c r="IT24" s="251"/>
      <c r="IU24" s="251"/>
      <c r="IV24" s="251"/>
      <c r="IW24" s="251"/>
      <c r="IX24" s="251"/>
      <c r="IY24" s="251"/>
      <c r="IZ24" s="251"/>
      <c r="JA24" s="251"/>
      <c r="JB24" s="251"/>
      <c r="JC24" s="251"/>
      <c r="JD24" s="251"/>
      <c r="JE24" s="251"/>
      <c r="JF24" s="251"/>
      <c r="JG24" s="251"/>
      <c r="JH24" s="251"/>
      <c r="JI24" s="251"/>
    </row>
    <row r="25" spans="1:269">
      <c r="A25" s="183" t="s">
        <v>14</v>
      </c>
      <c r="B25" s="186">
        <f>Invånare!B19</f>
        <v>1019</v>
      </c>
      <c r="C25" s="186">
        <f t="shared" si="2"/>
        <v>1041142.87</v>
      </c>
      <c r="D25" s="259">
        <f t="shared" si="0"/>
        <v>3.3581597679936723E-2</v>
      </c>
      <c r="E25" s="146">
        <f t="shared" si="1"/>
        <v>137430.85884</v>
      </c>
      <c r="F25" s="251"/>
      <c r="H25" s="183" t="s">
        <v>14</v>
      </c>
      <c r="I25" s="186">
        <v>1019</v>
      </c>
      <c r="J25" s="186"/>
      <c r="K25" s="146">
        <v>137430.85884</v>
      </c>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c r="DP25" s="251"/>
      <c r="DQ25" s="251"/>
      <c r="DR25" s="251"/>
      <c r="DS25" s="251"/>
      <c r="DT25" s="251"/>
      <c r="DU25" s="251"/>
      <c r="DV25" s="251"/>
      <c r="DW25" s="251"/>
      <c r="DX25" s="251"/>
      <c r="DY25" s="251"/>
      <c r="DZ25" s="251"/>
      <c r="EA25" s="251"/>
      <c r="EB25" s="251"/>
      <c r="EC25" s="251"/>
      <c r="ED25" s="251"/>
      <c r="EE25" s="251"/>
      <c r="EF25" s="251"/>
      <c r="EG25" s="251"/>
      <c r="EH25" s="251"/>
      <c r="EI25" s="251"/>
      <c r="EJ25" s="251"/>
      <c r="EK25" s="251"/>
      <c r="EL25" s="251"/>
      <c r="EM25" s="251"/>
      <c r="EN25" s="251"/>
      <c r="EO25" s="251"/>
      <c r="EP25" s="251"/>
      <c r="EQ25" s="251"/>
      <c r="ER25" s="251"/>
      <c r="ES25" s="251"/>
      <c r="ET25" s="251"/>
      <c r="EU25" s="251"/>
      <c r="EV25" s="251"/>
      <c r="EW25" s="251"/>
      <c r="EX25" s="251"/>
      <c r="EY25" s="251"/>
      <c r="EZ25" s="251"/>
      <c r="FA25" s="251"/>
      <c r="FB25" s="251"/>
      <c r="FC25" s="251"/>
      <c r="FD25" s="251"/>
      <c r="FE25" s="251"/>
      <c r="FF25" s="251"/>
      <c r="FG25" s="251"/>
      <c r="FH25" s="251"/>
      <c r="FI25" s="251"/>
      <c r="FJ25" s="251"/>
      <c r="FK25" s="251"/>
      <c r="FL25" s="251"/>
      <c r="FM25" s="251"/>
      <c r="FN25" s="251"/>
      <c r="FO25" s="251"/>
      <c r="FP25" s="251"/>
      <c r="FQ25" s="251"/>
      <c r="FR25" s="251"/>
      <c r="FS25" s="251"/>
      <c r="FT25" s="251"/>
      <c r="FU25" s="251"/>
      <c r="FV25" s="251"/>
      <c r="FW25" s="251"/>
      <c r="FX25" s="251"/>
      <c r="FY25" s="251"/>
      <c r="FZ25" s="251"/>
      <c r="GA25" s="251"/>
      <c r="GB25" s="251"/>
      <c r="GC25" s="251"/>
      <c r="GD25" s="251"/>
      <c r="GE25" s="251"/>
      <c r="GF25" s="251"/>
      <c r="GG25" s="251"/>
      <c r="GH25" s="251"/>
      <c r="GI25" s="251"/>
      <c r="GJ25" s="251"/>
      <c r="GK25" s="251"/>
      <c r="GL25" s="251"/>
      <c r="GM25" s="251"/>
      <c r="GN25" s="251"/>
      <c r="GO25" s="251"/>
      <c r="GP25" s="251"/>
      <c r="GQ25" s="251"/>
      <c r="GR25" s="251"/>
      <c r="GS25" s="251"/>
      <c r="GT25" s="251"/>
      <c r="GU25" s="251"/>
      <c r="GV25" s="251"/>
      <c r="GW25" s="251"/>
      <c r="GX25" s="251"/>
      <c r="GY25" s="251"/>
      <c r="GZ25" s="251"/>
      <c r="HA25" s="251"/>
      <c r="HB25" s="251"/>
      <c r="HC25" s="251"/>
      <c r="HD25" s="251"/>
      <c r="HE25" s="251"/>
      <c r="HF25" s="251"/>
      <c r="HG25" s="251"/>
      <c r="HH25" s="251"/>
      <c r="HI25" s="251"/>
      <c r="HJ25" s="251"/>
      <c r="HK25" s="251"/>
      <c r="HL25" s="251"/>
      <c r="HM25" s="251"/>
      <c r="HN25" s="251"/>
      <c r="HO25" s="251"/>
      <c r="HP25" s="251"/>
      <c r="HQ25" s="251"/>
      <c r="HR25" s="251"/>
      <c r="HS25" s="251"/>
      <c r="HT25" s="251"/>
      <c r="HU25" s="251"/>
      <c r="HV25" s="251"/>
      <c r="HW25" s="251"/>
      <c r="HX25" s="251"/>
      <c r="HY25" s="251"/>
      <c r="HZ25" s="251"/>
      <c r="IA25" s="251"/>
      <c r="IB25" s="251"/>
      <c r="IC25" s="251"/>
      <c r="ID25" s="251"/>
      <c r="IE25" s="251"/>
      <c r="IF25" s="251"/>
      <c r="IG25" s="251"/>
      <c r="IH25" s="251"/>
      <c r="II25" s="251"/>
      <c r="IJ25" s="251"/>
      <c r="IK25" s="251"/>
      <c r="IL25" s="251"/>
      <c r="IM25" s="251"/>
      <c r="IN25" s="251"/>
      <c r="IO25" s="251"/>
      <c r="IP25" s="251"/>
      <c r="IQ25" s="251"/>
      <c r="IR25" s="251"/>
      <c r="IS25" s="251"/>
      <c r="IT25" s="251"/>
      <c r="IU25" s="251"/>
      <c r="IV25" s="251"/>
      <c r="IW25" s="251"/>
      <c r="IX25" s="251"/>
      <c r="IY25" s="251"/>
      <c r="IZ25" s="251"/>
      <c r="JA25" s="251"/>
      <c r="JB25" s="251"/>
      <c r="JC25" s="251"/>
      <c r="JD25" s="251"/>
      <c r="JE25" s="251"/>
      <c r="JF25" s="251"/>
      <c r="JG25" s="251"/>
      <c r="JH25" s="251"/>
      <c r="JI25" s="251"/>
    </row>
    <row r="26" spans="1:269">
      <c r="A26" s="183" t="s">
        <v>15</v>
      </c>
      <c r="B26" s="186">
        <f>Invånare!B20</f>
        <v>463</v>
      </c>
      <c r="C26" s="186">
        <f t="shared" si="2"/>
        <v>473060.99</v>
      </c>
      <c r="D26" s="259">
        <f t="shared" si="0"/>
        <v>1.5258370682836805E-2</v>
      </c>
      <c r="E26" s="146">
        <f t="shared" si="1"/>
        <v>62444.05068</v>
      </c>
      <c r="F26" s="251"/>
      <c r="H26" s="183" t="s">
        <v>15</v>
      </c>
      <c r="I26" s="186">
        <v>463</v>
      </c>
      <c r="J26" s="186"/>
      <c r="K26" s="146">
        <v>62444.05068</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1"/>
      <c r="CT26" s="251"/>
      <c r="CU26" s="251"/>
      <c r="CV26" s="251"/>
      <c r="CW26" s="251"/>
      <c r="CX26" s="251"/>
      <c r="CY26" s="251"/>
      <c r="CZ26" s="251"/>
      <c r="DA26" s="251"/>
      <c r="DB26" s="251"/>
      <c r="DC26" s="251"/>
      <c r="DD26" s="251"/>
      <c r="DE26" s="251"/>
      <c r="DF26" s="251"/>
      <c r="DG26" s="251"/>
      <c r="DH26" s="251"/>
      <c r="DI26" s="251"/>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c r="EJ26" s="251"/>
      <c r="EK26" s="251"/>
      <c r="EL26" s="251"/>
      <c r="EM26" s="251"/>
      <c r="EN26" s="251"/>
      <c r="EO26" s="251"/>
      <c r="EP26" s="251"/>
      <c r="EQ26" s="251"/>
      <c r="ER26" s="251"/>
      <c r="ES26" s="251"/>
      <c r="ET26" s="251"/>
      <c r="EU26" s="251"/>
      <c r="EV26" s="251"/>
      <c r="EW26" s="251"/>
      <c r="EX26" s="251"/>
      <c r="EY26" s="251"/>
      <c r="EZ26" s="251"/>
      <c r="FA26" s="251"/>
      <c r="FB26" s="251"/>
      <c r="FC26" s="251"/>
      <c r="FD26" s="251"/>
      <c r="FE26" s="251"/>
      <c r="FF26" s="251"/>
      <c r="FG26" s="251"/>
      <c r="FH26" s="251"/>
      <c r="FI26" s="251"/>
      <c r="FJ26" s="251"/>
      <c r="FK26" s="251"/>
      <c r="FL26" s="251"/>
      <c r="FM26" s="251"/>
      <c r="FN26" s="251"/>
      <c r="FO26" s="251"/>
      <c r="FP26" s="251"/>
      <c r="FQ26" s="251"/>
      <c r="FR26" s="251"/>
      <c r="FS26" s="251"/>
      <c r="FT26" s="251"/>
      <c r="FU26" s="251"/>
      <c r="FV26" s="251"/>
      <c r="FW26" s="251"/>
      <c r="FX26" s="251"/>
      <c r="FY26" s="251"/>
      <c r="FZ26" s="251"/>
      <c r="GA26" s="251"/>
      <c r="GB26" s="251"/>
      <c r="GC26" s="251"/>
      <c r="GD26" s="251"/>
      <c r="GE26" s="251"/>
      <c r="GF26" s="251"/>
      <c r="GG26" s="251"/>
      <c r="GH26" s="251"/>
      <c r="GI26" s="251"/>
      <c r="GJ26" s="251"/>
      <c r="GK26" s="251"/>
      <c r="GL26" s="251"/>
      <c r="GM26" s="251"/>
      <c r="GN26" s="251"/>
      <c r="GO26" s="251"/>
      <c r="GP26" s="251"/>
      <c r="GQ26" s="251"/>
      <c r="GR26" s="251"/>
      <c r="GS26" s="251"/>
      <c r="GT26" s="251"/>
      <c r="GU26" s="251"/>
      <c r="GV26" s="251"/>
      <c r="GW26" s="251"/>
      <c r="GX26" s="251"/>
      <c r="GY26" s="251"/>
      <c r="GZ26" s="251"/>
      <c r="HA26" s="251"/>
      <c r="HB26" s="251"/>
      <c r="HC26" s="251"/>
      <c r="HD26" s="251"/>
      <c r="HE26" s="251"/>
      <c r="HF26" s="251"/>
      <c r="HG26" s="251"/>
      <c r="HH26" s="251"/>
      <c r="HI26" s="251"/>
      <c r="HJ26" s="251"/>
      <c r="HK26" s="251"/>
      <c r="HL26" s="251"/>
      <c r="HM26" s="251"/>
      <c r="HN26" s="251"/>
      <c r="HO26" s="251"/>
      <c r="HP26" s="251"/>
      <c r="HQ26" s="251"/>
      <c r="HR26" s="251"/>
      <c r="HS26" s="251"/>
      <c r="HT26" s="251"/>
      <c r="HU26" s="251"/>
      <c r="HV26" s="251"/>
      <c r="HW26" s="251"/>
      <c r="HX26" s="251"/>
      <c r="HY26" s="251"/>
      <c r="HZ26" s="251"/>
      <c r="IA26" s="251"/>
      <c r="IB26" s="251"/>
      <c r="IC26" s="251"/>
      <c r="ID26" s="251"/>
      <c r="IE26" s="251"/>
      <c r="IF26" s="251"/>
      <c r="IG26" s="251"/>
      <c r="IH26" s="251"/>
      <c r="II26" s="251"/>
      <c r="IJ26" s="251"/>
      <c r="IK26" s="251"/>
      <c r="IL26" s="251"/>
      <c r="IM26" s="251"/>
      <c r="IN26" s="251"/>
      <c r="IO26" s="251"/>
      <c r="IP26" s="251"/>
      <c r="IQ26" s="251"/>
      <c r="IR26" s="251"/>
      <c r="IS26" s="251"/>
      <c r="IT26" s="251"/>
      <c r="IU26" s="251"/>
      <c r="IV26" s="251"/>
      <c r="IW26" s="251"/>
      <c r="IX26" s="251"/>
      <c r="IY26" s="251"/>
      <c r="IZ26" s="251"/>
      <c r="JA26" s="251"/>
      <c r="JB26" s="251"/>
      <c r="JC26" s="251"/>
      <c r="JD26" s="251"/>
      <c r="JE26" s="251"/>
      <c r="JF26" s="251"/>
      <c r="JG26" s="251"/>
      <c r="JH26" s="251"/>
      <c r="JI26" s="251"/>
    </row>
    <row r="27" spans="1:269">
      <c r="A27" s="189" t="s">
        <v>16</v>
      </c>
      <c r="B27" s="190">
        <f>Invånare!B21</f>
        <v>11742</v>
      </c>
      <c r="C27" s="190">
        <f t="shared" si="2"/>
        <v>11997153.66</v>
      </c>
      <c r="D27" s="260">
        <f t="shared" si="0"/>
        <v>0.386962826258898</v>
      </c>
      <c r="E27" s="147">
        <f t="shared" si="1"/>
        <v>1583624.28312</v>
      </c>
      <c r="F27" s="251"/>
      <c r="H27" s="189" t="s">
        <v>16</v>
      </c>
      <c r="I27" s="190">
        <v>11742</v>
      </c>
      <c r="J27" s="190"/>
      <c r="K27" s="147">
        <v>1583624.28312</v>
      </c>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1"/>
      <c r="CC27" s="251"/>
      <c r="CD27" s="251"/>
      <c r="CE27" s="251"/>
      <c r="CF27" s="251"/>
      <c r="CG27" s="251"/>
      <c r="CH27" s="251"/>
      <c r="CI27" s="251"/>
      <c r="CJ27" s="251"/>
      <c r="CK27" s="251"/>
      <c r="CL27" s="251"/>
      <c r="CM27" s="251"/>
      <c r="CN27" s="251"/>
      <c r="CO27" s="251"/>
      <c r="CP27" s="251"/>
      <c r="CQ27" s="251"/>
      <c r="CR27" s="251"/>
      <c r="CS27" s="251"/>
      <c r="CT27" s="251"/>
      <c r="CU27" s="251"/>
      <c r="CV27" s="251"/>
      <c r="CW27" s="251"/>
      <c r="CX27" s="251"/>
      <c r="CY27" s="251"/>
      <c r="CZ27" s="251"/>
      <c r="DA27" s="251"/>
      <c r="DB27" s="251"/>
      <c r="DC27" s="251"/>
      <c r="DD27" s="251"/>
      <c r="DE27" s="251"/>
      <c r="DF27" s="251"/>
      <c r="DG27" s="251"/>
      <c r="DH27" s="251"/>
      <c r="DI27" s="251"/>
      <c r="DJ27" s="251"/>
      <c r="DK27" s="251"/>
      <c r="DL27" s="251"/>
      <c r="DM27" s="251"/>
      <c r="DN27" s="251"/>
      <c r="DO27" s="251"/>
      <c r="DP27" s="251"/>
      <c r="DQ27" s="251"/>
      <c r="DR27" s="251"/>
      <c r="DS27" s="251"/>
      <c r="DT27" s="251"/>
      <c r="DU27" s="251"/>
      <c r="DV27" s="251"/>
      <c r="DW27" s="251"/>
      <c r="DX27" s="251"/>
      <c r="DY27" s="251"/>
      <c r="DZ27" s="251"/>
      <c r="EA27" s="251"/>
      <c r="EB27" s="251"/>
      <c r="EC27" s="251"/>
      <c r="ED27" s="251"/>
      <c r="EE27" s="251"/>
      <c r="EF27" s="251"/>
      <c r="EG27" s="251"/>
      <c r="EH27" s="251"/>
      <c r="EI27" s="251"/>
      <c r="EJ27" s="251"/>
      <c r="EK27" s="251"/>
      <c r="EL27" s="251"/>
      <c r="EM27" s="251"/>
      <c r="EN27" s="251"/>
      <c r="EO27" s="251"/>
      <c r="EP27" s="251"/>
      <c r="EQ27" s="251"/>
      <c r="ER27" s="251"/>
      <c r="ES27" s="251"/>
      <c r="ET27" s="251"/>
      <c r="EU27" s="251"/>
      <c r="EV27" s="251"/>
      <c r="EW27" s="251"/>
      <c r="EX27" s="251"/>
      <c r="EY27" s="251"/>
      <c r="EZ27" s="251"/>
      <c r="FA27" s="251"/>
      <c r="FB27" s="251"/>
      <c r="FC27" s="251"/>
      <c r="FD27" s="251"/>
      <c r="FE27" s="251"/>
      <c r="FF27" s="251"/>
      <c r="FG27" s="251"/>
      <c r="FH27" s="251"/>
      <c r="FI27" s="251"/>
      <c r="FJ27" s="251"/>
      <c r="FK27" s="251"/>
      <c r="FL27" s="251"/>
      <c r="FM27" s="251"/>
      <c r="FN27" s="251"/>
      <c r="FO27" s="251"/>
      <c r="FP27" s="251"/>
      <c r="FQ27" s="251"/>
      <c r="FR27" s="251"/>
      <c r="FS27" s="251"/>
      <c r="FT27" s="251"/>
      <c r="FU27" s="251"/>
      <c r="FV27" s="251"/>
      <c r="FW27" s="251"/>
      <c r="FX27" s="251"/>
      <c r="FY27" s="251"/>
      <c r="FZ27" s="251"/>
      <c r="GA27" s="251"/>
      <c r="GB27" s="251"/>
      <c r="GC27" s="251"/>
      <c r="GD27" s="251"/>
      <c r="GE27" s="251"/>
      <c r="GF27" s="251"/>
      <c r="GG27" s="251"/>
      <c r="GH27" s="251"/>
      <c r="GI27" s="251"/>
      <c r="GJ27" s="251"/>
      <c r="GK27" s="251"/>
      <c r="GL27" s="251"/>
      <c r="GM27" s="251"/>
      <c r="GN27" s="251"/>
      <c r="GO27" s="251"/>
      <c r="GP27" s="251"/>
      <c r="GQ27" s="251"/>
      <c r="GR27" s="251"/>
      <c r="GS27" s="251"/>
      <c r="GT27" s="251"/>
      <c r="GU27" s="251"/>
      <c r="GV27" s="251"/>
      <c r="GW27" s="251"/>
      <c r="GX27" s="251"/>
      <c r="GY27" s="251"/>
      <c r="GZ27" s="251"/>
      <c r="HA27" s="251"/>
      <c r="HB27" s="251"/>
      <c r="HC27" s="251"/>
      <c r="HD27" s="251"/>
      <c r="HE27" s="251"/>
      <c r="HF27" s="251"/>
      <c r="HG27" s="251"/>
      <c r="HH27" s="251"/>
      <c r="HI27" s="251"/>
      <c r="HJ27" s="251"/>
      <c r="HK27" s="251"/>
      <c r="HL27" s="251"/>
      <c r="HM27" s="251"/>
      <c r="HN27" s="251"/>
      <c r="HO27" s="251"/>
      <c r="HP27" s="251"/>
      <c r="HQ27" s="251"/>
      <c r="HR27" s="251"/>
      <c r="HS27" s="251"/>
      <c r="HT27" s="251"/>
      <c r="HU27" s="251"/>
      <c r="HV27" s="251"/>
      <c r="HW27" s="251"/>
      <c r="HX27" s="251"/>
      <c r="HY27" s="251"/>
      <c r="HZ27" s="251"/>
      <c r="IA27" s="251"/>
      <c r="IB27" s="251"/>
      <c r="IC27" s="251"/>
      <c r="ID27" s="251"/>
      <c r="IE27" s="251"/>
      <c r="IF27" s="251"/>
      <c r="IG27" s="251"/>
      <c r="IH27" s="251"/>
      <c r="II27" s="251"/>
      <c r="IJ27" s="251"/>
      <c r="IK27" s="251"/>
      <c r="IL27" s="251"/>
      <c r="IM27" s="251"/>
      <c r="IN27" s="251"/>
      <c r="IO27" s="251"/>
      <c r="IP27" s="251"/>
      <c r="IQ27" s="251"/>
      <c r="IR27" s="251"/>
      <c r="IS27" s="251"/>
      <c r="IT27" s="251"/>
      <c r="IU27" s="251"/>
      <c r="IV27" s="251"/>
      <c r="IW27" s="251"/>
      <c r="IX27" s="251"/>
      <c r="IY27" s="251"/>
      <c r="IZ27" s="251"/>
      <c r="JA27" s="251"/>
      <c r="JB27" s="251"/>
      <c r="JC27" s="251"/>
      <c r="JD27" s="251"/>
      <c r="JE27" s="251"/>
      <c r="JF27" s="251"/>
      <c r="JG27" s="251"/>
      <c r="JH27" s="251"/>
      <c r="JI27" s="251"/>
    </row>
    <row r="28" spans="1:269">
      <c r="A28" s="183" t="s">
        <v>18</v>
      </c>
      <c r="B28" s="191">
        <f>SUM(B12:B27)</f>
        <v>30344</v>
      </c>
      <c r="C28" s="191">
        <f>SUM(C12:C27)</f>
        <v>31003375.119999997</v>
      </c>
      <c r="D28" s="261">
        <f>SUM(D12:D27)</f>
        <v>1</v>
      </c>
      <c r="E28" s="262">
        <f>SUM(E12:E27)</f>
        <v>4092445.5158399995</v>
      </c>
      <c r="F28" s="251"/>
      <c r="H28" s="183" t="s">
        <v>18</v>
      </c>
      <c r="I28" s="191">
        <v>30344</v>
      </c>
      <c r="J28" s="191">
        <v>31003375.119999997</v>
      </c>
      <c r="K28" s="262">
        <v>4092445.5158399995</v>
      </c>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c r="EN28" s="251"/>
      <c r="EO28" s="251"/>
      <c r="EP28" s="251"/>
      <c r="EQ28" s="251"/>
      <c r="ER28" s="251"/>
      <c r="ES28" s="251"/>
      <c r="ET28" s="251"/>
      <c r="EU28" s="251"/>
      <c r="EV28" s="251"/>
      <c r="EW28" s="251"/>
      <c r="EX28" s="251"/>
      <c r="EY28" s="251"/>
      <c r="EZ28" s="251"/>
      <c r="FA28" s="251"/>
      <c r="FB28" s="251"/>
      <c r="FC28" s="251"/>
      <c r="FD28" s="251"/>
      <c r="FE28" s="251"/>
      <c r="FF28" s="251"/>
      <c r="FG28" s="251"/>
      <c r="FH28" s="251"/>
      <c r="FI28" s="251"/>
      <c r="FJ28" s="251"/>
      <c r="FK28" s="251"/>
      <c r="FL28" s="251"/>
      <c r="FM28" s="251"/>
      <c r="FN28" s="251"/>
      <c r="FO28" s="251"/>
      <c r="FP28" s="251"/>
      <c r="FQ28" s="251"/>
      <c r="FR28" s="251"/>
      <c r="FS28" s="251"/>
      <c r="FT28" s="251"/>
      <c r="FU28" s="251"/>
      <c r="FV28" s="251"/>
      <c r="FW28" s="251"/>
      <c r="FX28" s="251"/>
      <c r="FY28" s="251"/>
      <c r="FZ28" s="251"/>
      <c r="GA28" s="251"/>
      <c r="GB28" s="251"/>
      <c r="GC28" s="251"/>
      <c r="GD28" s="251"/>
      <c r="GE28" s="251"/>
      <c r="GF28" s="251"/>
      <c r="GG28" s="251"/>
      <c r="GH28" s="251"/>
      <c r="GI28" s="251"/>
      <c r="GJ28" s="251"/>
      <c r="GK28" s="251"/>
      <c r="GL28" s="251"/>
      <c r="GM28" s="251"/>
      <c r="GN28" s="251"/>
      <c r="GO28" s="251"/>
      <c r="GP28" s="251"/>
      <c r="GQ28" s="251"/>
      <c r="GR28" s="251"/>
      <c r="GS28" s="251"/>
      <c r="GT28" s="251"/>
      <c r="GU28" s="251"/>
      <c r="GV28" s="251"/>
      <c r="GW28" s="251"/>
      <c r="GX28" s="251"/>
      <c r="GY28" s="251"/>
      <c r="GZ28" s="251"/>
      <c r="HA28" s="251"/>
      <c r="HB28" s="251"/>
      <c r="HC28" s="251"/>
      <c r="HD28" s="251"/>
      <c r="HE28" s="251"/>
      <c r="HF28" s="251"/>
      <c r="HG28" s="251"/>
      <c r="HH28" s="251"/>
      <c r="HI28" s="251"/>
      <c r="HJ28" s="251"/>
      <c r="HK28" s="251"/>
      <c r="HL28" s="251"/>
      <c r="HM28" s="251"/>
      <c r="HN28" s="251"/>
      <c r="HO28" s="251"/>
      <c r="HP28" s="251"/>
      <c r="HQ28" s="251"/>
      <c r="HR28" s="251"/>
      <c r="HS28" s="251"/>
      <c r="HT28" s="251"/>
      <c r="HU28" s="251"/>
      <c r="HV28" s="251"/>
      <c r="HW28" s="251"/>
      <c r="HX28" s="251"/>
      <c r="HY28" s="251"/>
      <c r="HZ28" s="251"/>
      <c r="IA28" s="251"/>
      <c r="IB28" s="251"/>
      <c r="IC28" s="251"/>
      <c r="ID28" s="251"/>
      <c r="IE28" s="251"/>
      <c r="IF28" s="251"/>
      <c r="IG28" s="251"/>
      <c r="IH28" s="251"/>
      <c r="II28" s="251"/>
      <c r="IJ28" s="251"/>
      <c r="IK28" s="251"/>
      <c r="IL28" s="251"/>
      <c r="IM28" s="251"/>
      <c r="IN28" s="251"/>
      <c r="IO28" s="251"/>
      <c r="IP28" s="251"/>
      <c r="IQ28" s="251"/>
      <c r="IR28" s="251"/>
      <c r="IS28" s="251"/>
      <c r="IT28" s="251"/>
      <c r="IU28" s="251"/>
      <c r="IV28" s="251"/>
      <c r="IW28" s="251"/>
      <c r="IX28" s="251"/>
      <c r="IY28" s="251"/>
      <c r="IZ28" s="251"/>
      <c r="JA28" s="251"/>
      <c r="JB28" s="251"/>
      <c r="JC28" s="251"/>
      <c r="JD28" s="251"/>
      <c r="JE28" s="251"/>
      <c r="JF28" s="251"/>
      <c r="JG28" s="251"/>
      <c r="JH28" s="251"/>
      <c r="JI28" s="251"/>
    </row>
    <row r="29" spans="1:269">
      <c r="A29" s="183"/>
      <c r="B29" s="191"/>
      <c r="C29" s="261"/>
      <c r="D29" s="251"/>
      <c r="E29" s="251"/>
      <c r="F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1"/>
      <c r="EL29" s="251"/>
      <c r="EM29" s="251"/>
      <c r="EN29" s="251"/>
      <c r="EO29" s="251"/>
      <c r="EP29" s="251"/>
      <c r="EQ29" s="251"/>
      <c r="ER29" s="251"/>
      <c r="ES29" s="251"/>
      <c r="ET29" s="251"/>
      <c r="EU29" s="251"/>
      <c r="EV29" s="251"/>
      <c r="EW29" s="251"/>
      <c r="EX29" s="251"/>
      <c r="EY29" s="251"/>
      <c r="EZ29" s="251"/>
      <c r="FA29" s="251"/>
      <c r="FB29" s="251"/>
      <c r="FC29" s="251"/>
      <c r="FD29" s="251"/>
      <c r="FE29" s="251"/>
      <c r="FF29" s="251"/>
      <c r="FG29" s="251"/>
      <c r="FH29" s="251"/>
      <c r="FI29" s="251"/>
      <c r="FJ29" s="251"/>
      <c r="FK29" s="251"/>
      <c r="FL29" s="251"/>
      <c r="FM29" s="251"/>
      <c r="FN29" s="251"/>
      <c r="FO29" s="251"/>
      <c r="FP29" s="251"/>
      <c r="FQ29" s="251"/>
      <c r="FR29" s="251"/>
      <c r="FS29" s="251"/>
      <c r="FT29" s="251"/>
      <c r="FU29" s="251"/>
      <c r="FV29" s="251"/>
      <c r="FW29" s="251"/>
      <c r="FX29" s="251"/>
      <c r="FY29" s="251"/>
      <c r="FZ29" s="251"/>
      <c r="GA29" s="251"/>
      <c r="GB29" s="251"/>
      <c r="GC29" s="251"/>
      <c r="GD29" s="251"/>
      <c r="GE29" s="251"/>
      <c r="GF29" s="251"/>
      <c r="GG29" s="251"/>
      <c r="GH29" s="251"/>
      <c r="GI29" s="251"/>
      <c r="GJ29" s="251"/>
      <c r="GK29" s="251"/>
      <c r="GL29" s="251"/>
      <c r="GM29" s="251"/>
      <c r="GN29" s="251"/>
      <c r="GO29" s="251"/>
      <c r="GP29" s="251"/>
      <c r="GQ29" s="251"/>
      <c r="GR29" s="251"/>
      <c r="GS29" s="251"/>
      <c r="GT29" s="251"/>
      <c r="GU29" s="251"/>
      <c r="GV29" s="251"/>
      <c r="GW29" s="251"/>
      <c r="GX29" s="251"/>
      <c r="GY29" s="251"/>
      <c r="GZ29" s="251"/>
      <c r="HA29" s="251"/>
      <c r="HB29" s="251"/>
      <c r="HC29" s="251"/>
      <c r="HD29" s="251"/>
      <c r="HE29" s="251"/>
      <c r="HF29" s="251"/>
      <c r="HG29" s="251"/>
      <c r="HH29" s="251"/>
      <c r="HI29" s="251"/>
      <c r="HJ29" s="251"/>
      <c r="HK29" s="251"/>
      <c r="HL29" s="251"/>
      <c r="HM29" s="251"/>
      <c r="HN29" s="251"/>
      <c r="HO29" s="251"/>
      <c r="HP29" s="251"/>
      <c r="HQ29" s="251"/>
      <c r="HR29" s="251"/>
      <c r="HS29" s="251"/>
      <c r="HT29" s="251"/>
      <c r="HU29" s="251"/>
      <c r="HV29" s="251"/>
      <c r="HW29" s="251"/>
      <c r="HX29" s="251"/>
      <c r="HY29" s="251"/>
      <c r="HZ29" s="251"/>
      <c r="IA29" s="251"/>
      <c r="IB29" s="251"/>
      <c r="IC29" s="251"/>
      <c r="ID29" s="251"/>
      <c r="IE29" s="251"/>
      <c r="IF29" s="251"/>
      <c r="IG29" s="251"/>
      <c r="IH29" s="251"/>
      <c r="II29" s="251"/>
      <c r="IJ29" s="251"/>
      <c r="IK29" s="251"/>
      <c r="IL29" s="251"/>
      <c r="IM29" s="251"/>
      <c r="IN29" s="251"/>
      <c r="IO29" s="251"/>
      <c r="IP29" s="251"/>
      <c r="IQ29" s="251"/>
      <c r="IR29" s="251"/>
      <c r="IS29" s="251"/>
      <c r="IT29" s="251"/>
      <c r="IU29" s="251"/>
      <c r="IV29" s="251"/>
      <c r="IW29" s="251"/>
      <c r="IX29" s="251"/>
      <c r="IY29" s="251"/>
      <c r="IZ29" s="251"/>
      <c r="JA29" s="251"/>
      <c r="JB29" s="251"/>
      <c r="JC29" s="251"/>
      <c r="JD29" s="251"/>
      <c r="JE29" s="251"/>
      <c r="JF29" s="251"/>
      <c r="JG29" s="251"/>
      <c r="JH29" s="251"/>
      <c r="JI29" s="251"/>
    </row>
    <row r="30" spans="1:269">
      <c r="A30" s="251"/>
      <c r="B30" s="251"/>
      <c r="C30" s="251"/>
      <c r="D30" s="251"/>
      <c r="E30" s="251"/>
      <c r="F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c r="EI30" s="251"/>
      <c r="EJ30" s="251"/>
      <c r="EK30" s="251"/>
      <c r="EL30" s="251"/>
      <c r="EM30" s="251"/>
      <c r="EN30" s="251"/>
      <c r="EO30" s="251"/>
      <c r="EP30" s="251"/>
      <c r="EQ30" s="251"/>
      <c r="ER30" s="251"/>
      <c r="ES30" s="251"/>
      <c r="ET30" s="251"/>
      <c r="EU30" s="251"/>
      <c r="EV30" s="251"/>
      <c r="EW30" s="251"/>
      <c r="EX30" s="251"/>
      <c r="EY30" s="251"/>
      <c r="EZ30" s="251"/>
      <c r="FA30" s="251"/>
      <c r="FB30" s="251"/>
      <c r="FC30" s="251"/>
      <c r="FD30" s="251"/>
      <c r="FE30" s="251"/>
      <c r="FF30" s="251"/>
      <c r="FG30" s="251"/>
      <c r="FH30" s="251"/>
      <c r="FI30" s="251"/>
      <c r="FJ30" s="251"/>
      <c r="FK30" s="251"/>
      <c r="FL30" s="251"/>
      <c r="FM30" s="251"/>
      <c r="FN30" s="251"/>
      <c r="FO30" s="251"/>
      <c r="FP30" s="251"/>
      <c r="FQ30" s="251"/>
      <c r="FR30" s="251"/>
      <c r="FS30" s="251"/>
      <c r="FT30" s="251"/>
      <c r="FU30" s="251"/>
      <c r="FV30" s="251"/>
      <c r="FW30" s="251"/>
      <c r="FX30" s="251"/>
      <c r="FY30" s="251"/>
      <c r="FZ30" s="251"/>
      <c r="GA30" s="251"/>
      <c r="GB30" s="251"/>
      <c r="GC30" s="251"/>
      <c r="GD30" s="251"/>
      <c r="GE30" s="251"/>
      <c r="GF30" s="251"/>
      <c r="GG30" s="251"/>
      <c r="GH30" s="251"/>
      <c r="GI30" s="251"/>
      <c r="GJ30" s="251"/>
      <c r="GK30" s="251"/>
      <c r="GL30" s="251"/>
      <c r="GM30" s="251"/>
      <c r="GN30" s="251"/>
      <c r="GO30" s="251"/>
      <c r="GP30" s="251"/>
      <c r="GQ30" s="251"/>
      <c r="GR30" s="251"/>
      <c r="GS30" s="251"/>
      <c r="GT30" s="251"/>
      <c r="GU30" s="251"/>
      <c r="GV30" s="251"/>
      <c r="GW30" s="251"/>
      <c r="GX30" s="251"/>
      <c r="GY30" s="251"/>
      <c r="GZ30" s="251"/>
      <c r="HA30" s="251"/>
      <c r="HB30" s="251"/>
      <c r="HC30" s="251"/>
      <c r="HD30" s="251"/>
      <c r="HE30" s="251"/>
      <c r="HF30" s="251"/>
      <c r="HG30" s="251"/>
      <c r="HH30" s="251"/>
      <c r="HI30" s="251"/>
      <c r="HJ30" s="251"/>
      <c r="HK30" s="251"/>
      <c r="HL30" s="251"/>
      <c r="HM30" s="251"/>
      <c r="HN30" s="251"/>
      <c r="HO30" s="251"/>
      <c r="HP30" s="251"/>
      <c r="HQ30" s="251"/>
      <c r="HR30" s="251"/>
      <c r="HS30" s="251"/>
      <c r="HT30" s="251"/>
      <c r="HU30" s="251"/>
      <c r="HV30" s="251"/>
      <c r="HW30" s="251"/>
      <c r="HX30" s="251"/>
      <c r="HY30" s="251"/>
      <c r="HZ30" s="251"/>
      <c r="IA30" s="251"/>
      <c r="IB30" s="251"/>
      <c r="IC30" s="251"/>
      <c r="ID30" s="251"/>
      <c r="IE30" s="251"/>
      <c r="IF30" s="251"/>
      <c r="IG30" s="251"/>
      <c r="IH30" s="251"/>
      <c r="II30" s="251"/>
      <c r="IJ30" s="251"/>
      <c r="IK30" s="251"/>
      <c r="IL30" s="251"/>
      <c r="IM30" s="251"/>
      <c r="IN30" s="251"/>
      <c r="IO30" s="251"/>
      <c r="IP30" s="251"/>
      <c r="IQ30" s="251"/>
      <c r="IR30" s="251"/>
      <c r="IS30" s="251"/>
      <c r="IT30" s="251"/>
      <c r="IU30" s="251"/>
      <c r="IV30" s="251"/>
      <c r="IW30" s="251"/>
      <c r="IX30" s="251"/>
      <c r="IY30" s="251"/>
      <c r="IZ30" s="251"/>
      <c r="JA30" s="251"/>
      <c r="JB30" s="251"/>
      <c r="JC30" s="251"/>
      <c r="JD30" s="251"/>
      <c r="JE30" s="251"/>
      <c r="JF30" s="251"/>
      <c r="JG30" s="251"/>
      <c r="JH30" s="251"/>
      <c r="JI30" s="251"/>
    </row>
    <row r="31" spans="1:269">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c r="FL31" s="251"/>
      <c r="FM31" s="251"/>
      <c r="FN31" s="251"/>
      <c r="FO31" s="251"/>
      <c r="FP31" s="251"/>
      <c r="FQ31" s="251"/>
      <c r="FR31" s="251"/>
      <c r="FS31" s="251"/>
      <c r="FT31" s="251"/>
      <c r="FU31" s="251"/>
      <c r="FV31" s="251"/>
      <c r="FW31" s="251"/>
      <c r="FX31" s="251"/>
      <c r="FY31" s="251"/>
      <c r="FZ31" s="251"/>
      <c r="GA31" s="251"/>
      <c r="GB31" s="251"/>
      <c r="GC31" s="251"/>
      <c r="GD31" s="251"/>
      <c r="GE31" s="251"/>
      <c r="GF31" s="251"/>
      <c r="GG31" s="251"/>
      <c r="GH31" s="251"/>
      <c r="GI31" s="251"/>
      <c r="GJ31" s="251"/>
      <c r="GK31" s="251"/>
      <c r="GL31" s="251"/>
      <c r="GM31" s="251"/>
      <c r="GN31" s="251"/>
      <c r="GO31" s="251"/>
      <c r="GP31" s="251"/>
      <c r="GQ31" s="251"/>
      <c r="GR31" s="251"/>
      <c r="GS31" s="251"/>
      <c r="GT31" s="251"/>
      <c r="GU31" s="251"/>
      <c r="GV31" s="251"/>
      <c r="GW31" s="251"/>
      <c r="GX31" s="251"/>
      <c r="GY31" s="251"/>
      <c r="GZ31" s="251"/>
      <c r="HA31" s="251"/>
      <c r="HB31" s="251"/>
      <c r="HC31" s="251"/>
      <c r="HD31" s="251"/>
      <c r="HE31" s="251"/>
      <c r="HF31" s="251"/>
      <c r="HG31" s="251"/>
      <c r="HH31" s="251"/>
      <c r="HI31" s="251"/>
      <c r="HJ31" s="251"/>
      <c r="HK31" s="251"/>
      <c r="HL31" s="251"/>
      <c r="HM31" s="251"/>
      <c r="HN31" s="251"/>
      <c r="HO31" s="251"/>
      <c r="HP31" s="251"/>
      <c r="HQ31" s="251"/>
      <c r="HR31" s="251"/>
      <c r="HS31" s="251"/>
      <c r="HT31" s="251"/>
      <c r="HU31" s="251"/>
      <c r="HV31" s="251"/>
      <c r="HW31" s="251"/>
      <c r="HX31" s="251"/>
      <c r="HY31" s="251"/>
      <c r="HZ31" s="251"/>
      <c r="IA31" s="251"/>
      <c r="IB31" s="251"/>
      <c r="IC31" s="251"/>
      <c r="ID31" s="251"/>
      <c r="IE31" s="251"/>
      <c r="IF31" s="251"/>
      <c r="IG31" s="251"/>
      <c r="IH31" s="251"/>
      <c r="II31" s="251"/>
      <c r="IJ31" s="251"/>
      <c r="IK31" s="251"/>
      <c r="IL31" s="251"/>
      <c r="IM31" s="251"/>
      <c r="IN31" s="251"/>
      <c r="IO31" s="251"/>
      <c r="IP31" s="251"/>
      <c r="IQ31" s="251"/>
      <c r="IR31" s="251"/>
      <c r="IS31" s="251"/>
      <c r="IT31" s="251"/>
      <c r="IU31" s="251"/>
      <c r="IV31" s="251"/>
      <c r="IW31" s="251"/>
      <c r="IX31" s="251"/>
      <c r="IY31" s="251"/>
      <c r="IZ31" s="251"/>
      <c r="JA31" s="251"/>
      <c r="JB31" s="251"/>
      <c r="JC31" s="251"/>
      <c r="JD31" s="251"/>
      <c r="JE31" s="251"/>
      <c r="JF31" s="251"/>
      <c r="JG31" s="251"/>
      <c r="JH31" s="251"/>
      <c r="JI31" s="251"/>
    </row>
    <row r="32" spans="1:269">
      <c r="A32" s="264" t="s">
        <v>52</v>
      </c>
      <c r="B32" s="251"/>
      <c r="C32" s="263"/>
      <c r="D32" s="263"/>
      <c r="E32" s="251"/>
      <c r="F32" s="254"/>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1"/>
      <c r="FE32" s="251"/>
      <c r="FF32" s="251"/>
      <c r="FG32" s="251"/>
      <c r="FH32" s="251"/>
      <c r="FI32" s="251"/>
      <c r="FJ32" s="251"/>
      <c r="FK32" s="251"/>
      <c r="FL32" s="251"/>
      <c r="FM32" s="251"/>
      <c r="FN32" s="251"/>
      <c r="FO32" s="251"/>
      <c r="FP32" s="251"/>
      <c r="FQ32" s="251"/>
      <c r="FR32" s="251"/>
      <c r="FS32" s="251"/>
      <c r="FT32" s="251"/>
      <c r="FU32" s="251"/>
      <c r="FV32" s="251"/>
      <c r="FW32" s="251"/>
      <c r="FX32" s="251"/>
      <c r="FY32" s="251"/>
      <c r="FZ32" s="251"/>
      <c r="GA32" s="251"/>
      <c r="GB32" s="251"/>
      <c r="GC32" s="251"/>
      <c r="GD32" s="251"/>
      <c r="GE32" s="251"/>
      <c r="GF32" s="251"/>
      <c r="GG32" s="251"/>
      <c r="GH32" s="251"/>
      <c r="GI32" s="251"/>
      <c r="GJ32" s="251"/>
      <c r="GK32" s="251"/>
      <c r="GL32" s="251"/>
      <c r="GM32" s="251"/>
      <c r="GN32" s="251"/>
      <c r="GO32" s="251"/>
      <c r="GP32" s="251"/>
      <c r="GQ32" s="251"/>
      <c r="GR32" s="251"/>
      <c r="GS32" s="251"/>
      <c r="GT32" s="251"/>
      <c r="GU32" s="251"/>
      <c r="GV32" s="251"/>
      <c r="GW32" s="251"/>
      <c r="GX32" s="251"/>
      <c r="GY32" s="251"/>
      <c r="GZ32" s="251"/>
      <c r="HA32" s="251"/>
      <c r="HB32" s="251"/>
      <c r="HC32" s="251"/>
      <c r="HD32" s="251"/>
      <c r="HE32" s="251"/>
      <c r="HF32" s="251"/>
      <c r="HG32" s="251"/>
      <c r="HH32" s="251"/>
      <c r="HI32" s="251"/>
      <c r="HJ32" s="251"/>
      <c r="HK32" s="251"/>
      <c r="HL32" s="251"/>
      <c r="HM32" s="251"/>
      <c r="HN32" s="251"/>
      <c r="HO32" s="251"/>
      <c r="HP32" s="251"/>
      <c r="HQ32" s="251"/>
      <c r="HR32" s="251"/>
      <c r="HS32" s="251"/>
      <c r="HT32" s="251"/>
      <c r="HU32" s="251"/>
      <c r="HV32" s="251"/>
      <c r="HW32" s="251"/>
      <c r="HX32" s="251"/>
      <c r="HY32" s="251"/>
      <c r="HZ32" s="251"/>
      <c r="IA32" s="251"/>
      <c r="IB32" s="251"/>
      <c r="IC32" s="251"/>
      <c r="ID32" s="251"/>
      <c r="IE32" s="251"/>
      <c r="IF32" s="251"/>
      <c r="IG32" s="251"/>
      <c r="IH32" s="251"/>
      <c r="II32" s="251"/>
      <c r="IJ32" s="251"/>
      <c r="IK32" s="251"/>
      <c r="IL32" s="251"/>
      <c r="IM32" s="251"/>
      <c r="IN32" s="251"/>
      <c r="IO32" s="251"/>
      <c r="IP32" s="251"/>
      <c r="IQ32" s="251"/>
      <c r="IR32" s="251"/>
      <c r="IS32" s="251"/>
      <c r="IT32" s="251"/>
      <c r="IU32" s="251"/>
      <c r="IV32" s="251"/>
      <c r="IW32" s="251"/>
      <c r="IX32" s="251"/>
      <c r="IY32" s="251"/>
      <c r="IZ32" s="251"/>
      <c r="JA32" s="251"/>
      <c r="JB32" s="251"/>
      <c r="JC32" s="251"/>
      <c r="JD32" s="251"/>
      <c r="JE32" s="251"/>
      <c r="JF32" s="251"/>
      <c r="JG32" s="251"/>
      <c r="JH32" s="251"/>
      <c r="JI32" s="251"/>
    </row>
    <row r="33" spans="1:269">
      <c r="A33" s="252"/>
      <c r="B33" s="189" t="s">
        <v>43</v>
      </c>
      <c r="C33" s="265"/>
      <c r="D33" s="266" t="s">
        <v>67</v>
      </c>
      <c r="E33" s="251"/>
      <c r="F33" s="254"/>
      <c r="G33" s="251"/>
      <c r="H33" s="254"/>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c r="JA33" s="251"/>
      <c r="JB33" s="251"/>
      <c r="JC33" s="251"/>
      <c r="JD33" s="251"/>
      <c r="JE33" s="251"/>
      <c r="JF33" s="251"/>
      <c r="JG33" s="251"/>
      <c r="JH33" s="251"/>
      <c r="JI33" s="251"/>
    </row>
    <row r="34" spans="1:269">
      <c r="A34" s="183" t="s">
        <v>1</v>
      </c>
      <c r="B34" s="186">
        <f t="shared" ref="B34:B49" si="3">E12</f>
        <v>60555.893639999995</v>
      </c>
      <c r="C34" s="186"/>
      <c r="D34" s="367">
        <f>ROUND(B34-C34,2)</f>
        <v>60555.89</v>
      </c>
      <c r="E34" s="251"/>
      <c r="F34" s="254"/>
      <c r="G34" s="267"/>
      <c r="H34" s="254"/>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1"/>
      <c r="DF34" s="251"/>
      <c r="DG34" s="251"/>
      <c r="DH34" s="251"/>
      <c r="DI34" s="251"/>
      <c r="DJ34" s="251"/>
      <c r="DK34" s="251"/>
      <c r="DL34" s="251"/>
      <c r="DM34" s="251"/>
      <c r="DN34" s="251"/>
      <c r="DO34" s="251"/>
      <c r="DP34" s="251"/>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c r="EN34" s="251"/>
      <c r="EO34" s="251"/>
      <c r="EP34" s="251"/>
      <c r="EQ34" s="251"/>
      <c r="ER34" s="251"/>
      <c r="ES34" s="251"/>
      <c r="ET34" s="251"/>
      <c r="EU34" s="251"/>
      <c r="EV34" s="251"/>
      <c r="EW34" s="251"/>
      <c r="EX34" s="251"/>
      <c r="EY34" s="251"/>
      <c r="EZ34" s="251"/>
      <c r="FA34" s="251"/>
      <c r="FB34" s="251"/>
      <c r="FC34" s="251"/>
      <c r="FD34" s="251"/>
      <c r="FE34" s="251"/>
      <c r="FF34" s="251"/>
      <c r="FG34" s="251"/>
      <c r="FH34" s="251"/>
      <c r="FI34" s="251"/>
      <c r="FJ34" s="251"/>
      <c r="FK34" s="251"/>
      <c r="FL34" s="251"/>
      <c r="FM34" s="251"/>
      <c r="FN34" s="251"/>
      <c r="FO34" s="251"/>
      <c r="FP34" s="251"/>
      <c r="FQ34" s="251"/>
      <c r="FR34" s="251"/>
      <c r="FS34" s="251"/>
      <c r="FT34" s="251"/>
      <c r="FU34" s="251"/>
      <c r="FV34" s="251"/>
      <c r="FW34" s="251"/>
      <c r="FX34" s="251"/>
      <c r="FY34" s="251"/>
      <c r="FZ34" s="251"/>
      <c r="GA34" s="251"/>
      <c r="GB34" s="251"/>
      <c r="GC34" s="251"/>
      <c r="GD34" s="251"/>
      <c r="GE34" s="251"/>
      <c r="GF34" s="251"/>
      <c r="GG34" s="251"/>
      <c r="GH34" s="251"/>
      <c r="GI34" s="251"/>
      <c r="GJ34" s="251"/>
      <c r="GK34" s="251"/>
      <c r="GL34" s="251"/>
      <c r="GM34" s="251"/>
      <c r="GN34" s="251"/>
      <c r="GO34" s="251"/>
      <c r="GP34" s="251"/>
      <c r="GQ34" s="251"/>
      <c r="GR34" s="251"/>
      <c r="GS34" s="251"/>
      <c r="GT34" s="251"/>
      <c r="GU34" s="251"/>
      <c r="GV34" s="251"/>
      <c r="GW34" s="251"/>
      <c r="GX34" s="251"/>
      <c r="GY34" s="251"/>
      <c r="GZ34" s="251"/>
      <c r="HA34" s="251"/>
      <c r="HB34" s="251"/>
      <c r="HC34" s="251"/>
      <c r="HD34" s="251"/>
      <c r="HE34" s="251"/>
      <c r="HF34" s="251"/>
      <c r="HG34" s="251"/>
      <c r="HH34" s="251"/>
      <c r="HI34" s="251"/>
      <c r="HJ34" s="251"/>
      <c r="HK34" s="251"/>
      <c r="HL34" s="251"/>
      <c r="HM34" s="251"/>
      <c r="HN34" s="251"/>
      <c r="HO34" s="251"/>
      <c r="HP34" s="251"/>
      <c r="HQ34" s="251"/>
      <c r="HR34" s="251"/>
      <c r="HS34" s="251"/>
      <c r="HT34" s="251"/>
      <c r="HU34" s="251"/>
      <c r="HV34" s="251"/>
      <c r="HW34" s="251"/>
      <c r="HX34" s="251"/>
      <c r="HY34" s="251"/>
      <c r="HZ34" s="251"/>
      <c r="IA34" s="251"/>
      <c r="IB34" s="251"/>
      <c r="IC34" s="251"/>
      <c r="ID34" s="251"/>
      <c r="IE34" s="251"/>
      <c r="IF34" s="251"/>
      <c r="IG34" s="251"/>
      <c r="IH34" s="251"/>
      <c r="II34" s="251"/>
      <c r="IJ34" s="251"/>
      <c r="IK34" s="251"/>
      <c r="IL34" s="251"/>
      <c r="IM34" s="251"/>
      <c r="IN34" s="251"/>
      <c r="IO34" s="251"/>
      <c r="IP34" s="251"/>
      <c r="IQ34" s="251"/>
      <c r="IR34" s="251"/>
      <c r="IS34" s="251"/>
      <c r="IT34" s="251"/>
      <c r="IU34" s="251"/>
      <c r="IV34" s="251"/>
      <c r="IW34" s="251"/>
      <c r="IX34" s="251"/>
      <c r="IY34" s="251"/>
      <c r="IZ34" s="251"/>
      <c r="JA34" s="251"/>
      <c r="JB34" s="251"/>
      <c r="JC34" s="251"/>
      <c r="JD34" s="251"/>
      <c r="JE34" s="251"/>
      <c r="JF34" s="251"/>
      <c r="JG34" s="251"/>
      <c r="JH34" s="251"/>
      <c r="JI34" s="251"/>
    </row>
    <row r="35" spans="1:269">
      <c r="A35" s="183" t="s">
        <v>2</v>
      </c>
      <c r="B35" s="186">
        <f t="shared" si="3"/>
        <v>125832.17988</v>
      </c>
      <c r="C35" s="186"/>
      <c r="D35" s="367">
        <f t="shared" ref="D35:D49" si="4">ROUND(B35-C35,2)</f>
        <v>125832.18</v>
      </c>
      <c r="E35" s="251"/>
      <c r="F35" s="254"/>
      <c r="G35" s="267"/>
      <c r="H35" s="254"/>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c r="IY35" s="251"/>
      <c r="IZ35" s="251"/>
      <c r="JA35" s="251"/>
      <c r="JB35" s="251"/>
      <c r="JC35" s="251"/>
      <c r="JD35" s="251"/>
      <c r="JE35" s="251"/>
      <c r="JF35" s="251"/>
      <c r="JG35" s="251"/>
      <c r="JH35" s="251"/>
      <c r="JI35" s="251"/>
    </row>
    <row r="36" spans="1:269">
      <c r="A36" s="183" t="s">
        <v>3</v>
      </c>
      <c r="B36" s="186">
        <f t="shared" si="3"/>
        <v>355782.73368</v>
      </c>
      <c r="C36" s="186"/>
      <c r="D36" s="367">
        <f t="shared" si="4"/>
        <v>355782.73</v>
      </c>
      <c r="E36" s="251"/>
      <c r="F36" s="251"/>
      <c r="G36" s="267"/>
      <c r="H36" s="254"/>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c r="GL36" s="251"/>
      <c r="GM36" s="251"/>
      <c r="GN36" s="251"/>
      <c r="GO36" s="251"/>
      <c r="GP36" s="251"/>
      <c r="GQ36" s="251"/>
      <c r="GR36" s="251"/>
      <c r="GS36" s="251"/>
      <c r="GT36" s="251"/>
      <c r="GU36" s="251"/>
      <c r="GV36" s="251"/>
      <c r="GW36" s="251"/>
      <c r="GX36" s="251"/>
      <c r="GY36" s="251"/>
      <c r="GZ36" s="251"/>
      <c r="HA36" s="251"/>
      <c r="HB36" s="251"/>
      <c r="HC36" s="251"/>
      <c r="HD36" s="251"/>
      <c r="HE36" s="251"/>
      <c r="HF36" s="251"/>
      <c r="HG36" s="251"/>
      <c r="HH36" s="251"/>
      <c r="HI36" s="251"/>
      <c r="HJ36" s="251"/>
      <c r="HK36" s="251"/>
      <c r="HL36" s="251"/>
      <c r="HM36" s="251"/>
      <c r="HN36" s="251"/>
      <c r="HO36" s="251"/>
      <c r="HP36" s="251"/>
      <c r="HQ36" s="251"/>
      <c r="HR36" s="251"/>
      <c r="HS36" s="251"/>
      <c r="HT36" s="251"/>
      <c r="HU36" s="251"/>
      <c r="HV36" s="251"/>
      <c r="HW36" s="251"/>
      <c r="HX36" s="251"/>
      <c r="HY36" s="251"/>
      <c r="HZ36" s="251"/>
      <c r="IA36" s="251"/>
      <c r="IB36" s="251"/>
      <c r="IC36" s="251"/>
      <c r="ID36" s="251"/>
      <c r="IE36" s="251"/>
      <c r="IF36" s="251"/>
      <c r="IG36" s="251"/>
      <c r="IH36" s="251"/>
      <c r="II36" s="251"/>
      <c r="IJ36" s="251"/>
      <c r="IK36" s="251"/>
      <c r="IL36" s="251"/>
      <c r="IM36" s="251"/>
      <c r="IN36" s="251"/>
      <c r="IO36" s="251"/>
      <c r="IP36" s="251"/>
      <c r="IQ36" s="251"/>
      <c r="IR36" s="251"/>
      <c r="IS36" s="251"/>
      <c r="IT36" s="251"/>
      <c r="IU36" s="251"/>
      <c r="IV36" s="251"/>
      <c r="IW36" s="251"/>
      <c r="IX36" s="251"/>
      <c r="IY36" s="251"/>
      <c r="IZ36" s="251"/>
      <c r="JA36" s="251"/>
      <c r="JB36" s="251"/>
      <c r="JC36" s="251"/>
      <c r="JD36" s="251"/>
      <c r="JE36" s="251"/>
      <c r="JF36" s="251"/>
      <c r="JG36" s="251"/>
      <c r="JH36" s="251"/>
      <c r="JI36" s="251"/>
    </row>
    <row r="37" spans="1:269">
      <c r="A37" s="183" t="s">
        <v>4</v>
      </c>
      <c r="B37" s="186">
        <f t="shared" si="3"/>
        <v>67569.048360000001</v>
      </c>
      <c r="C37" s="186"/>
      <c r="D37" s="367">
        <f t="shared" si="4"/>
        <v>67569.05</v>
      </c>
      <c r="E37" s="251"/>
      <c r="F37" s="251"/>
      <c r="G37" s="267"/>
      <c r="H37" s="254"/>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251"/>
      <c r="HP37" s="251"/>
      <c r="HQ37" s="251"/>
      <c r="HR37" s="251"/>
      <c r="HS37" s="251"/>
      <c r="HT37" s="251"/>
      <c r="HU37" s="251"/>
      <c r="HV37" s="251"/>
      <c r="HW37" s="251"/>
      <c r="HX37" s="251"/>
      <c r="HY37" s="251"/>
      <c r="HZ37" s="251"/>
      <c r="IA37" s="251"/>
      <c r="IB37" s="251"/>
      <c r="IC37" s="251"/>
      <c r="ID37" s="251"/>
      <c r="IE37" s="251"/>
      <c r="IF37" s="251"/>
      <c r="IG37" s="251"/>
      <c r="IH37" s="251"/>
      <c r="II37" s="251"/>
      <c r="IJ37" s="251"/>
      <c r="IK37" s="251"/>
      <c r="IL37" s="251"/>
      <c r="IM37" s="251"/>
      <c r="IN37" s="251"/>
      <c r="IO37" s="251"/>
      <c r="IP37" s="251"/>
      <c r="IQ37" s="251"/>
      <c r="IR37" s="251"/>
      <c r="IS37" s="251"/>
      <c r="IT37" s="251"/>
      <c r="IU37" s="251"/>
      <c r="IV37" s="251"/>
      <c r="IW37" s="251"/>
      <c r="IX37" s="251"/>
      <c r="IY37" s="251"/>
      <c r="IZ37" s="251"/>
      <c r="JA37" s="251"/>
      <c r="JB37" s="251"/>
      <c r="JC37" s="251"/>
      <c r="JD37" s="251"/>
      <c r="JE37" s="251"/>
      <c r="JF37" s="251"/>
      <c r="JG37" s="251"/>
      <c r="JH37" s="251"/>
      <c r="JI37" s="251"/>
    </row>
    <row r="38" spans="1:269">
      <c r="A38" s="183" t="s">
        <v>5</v>
      </c>
      <c r="B38" s="186">
        <f t="shared" si="3"/>
        <v>68108.521800000002</v>
      </c>
      <c r="C38" s="186"/>
      <c r="D38" s="367">
        <f t="shared" si="4"/>
        <v>68108.52</v>
      </c>
      <c r="E38" s="251"/>
      <c r="F38" s="251"/>
      <c r="G38" s="267"/>
      <c r="H38" s="254"/>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251"/>
      <c r="DC38" s="251"/>
      <c r="DD38" s="251"/>
      <c r="DE38" s="251"/>
      <c r="DF38" s="251"/>
      <c r="DG38" s="251"/>
      <c r="DH38" s="251"/>
      <c r="DI38" s="251"/>
      <c r="DJ38" s="251"/>
      <c r="DK38" s="251"/>
      <c r="DL38" s="251"/>
      <c r="DM38" s="251"/>
      <c r="DN38" s="251"/>
      <c r="DO38" s="251"/>
      <c r="DP38" s="251"/>
      <c r="DQ38" s="251"/>
      <c r="DR38" s="251"/>
      <c r="DS38" s="251"/>
      <c r="DT38" s="251"/>
      <c r="DU38" s="251"/>
      <c r="DV38" s="251"/>
      <c r="DW38" s="251"/>
      <c r="DX38" s="251"/>
      <c r="DY38" s="251"/>
      <c r="DZ38" s="251"/>
      <c r="EA38" s="251"/>
      <c r="EB38" s="251"/>
      <c r="EC38" s="251"/>
      <c r="ED38" s="251"/>
      <c r="EE38" s="251"/>
      <c r="EF38" s="251"/>
      <c r="EG38" s="251"/>
      <c r="EH38" s="251"/>
      <c r="EI38" s="251"/>
      <c r="EJ38" s="251"/>
      <c r="EK38" s="251"/>
      <c r="EL38" s="251"/>
      <c r="EM38" s="251"/>
      <c r="EN38" s="251"/>
      <c r="EO38" s="251"/>
      <c r="EP38" s="251"/>
      <c r="EQ38" s="251"/>
      <c r="ER38" s="251"/>
      <c r="ES38" s="251"/>
      <c r="ET38" s="251"/>
      <c r="EU38" s="251"/>
      <c r="EV38" s="251"/>
      <c r="EW38" s="251"/>
      <c r="EX38" s="251"/>
      <c r="EY38" s="251"/>
      <c r="EZ38" s="251"/>
      <c r="FA38" s="251"/>
      <c r="FB38" s="251"/>
      <c r="FC38" s="251"/>
      <c r="FD38" s="251"/>
      <c r="FE38" s="251"/>
      <c r="FF38" s="251"/>
      <c r="FG38" s="251"/>
      <c r="FH38" s="251"/>
      <c r="FI38" s="251"/>
      <c r="FJ38" s="251"/>
      <c r="FK38" s="251"/>
      <c r="FL38" s="251"/>
      <c r="FM38" s="251"/>
      <c r="FN38" s="251"/>
      <c r="FO38" s="251"/>
      <c r="FP38" s="251"/>
      <c r="FQ38" s="251"/>
      <c r="FR38" s="251"/>
      <c r="FS38" s="251"/>
      <c r="FT38" s="251"/>
      <c r="FU38" s="251"/>
      <c r="FV38" s="251"/>
      <c r="FW38" s="251"/>
      <c r="FX38" s="251"/>
      <c r="FY38" s="251"/>
      <c r="FZ38" s="251"/>
      <c r="GA38" s="251"/>
      <c r="GB38" s="251"/>
      <c r="GC38" s="251"/>
      <c r="GD38" s="251"/>
      <c r="GE38" s="251"/>
      <c r="GF38" s="251"/>
      <c r="GG38" s="251"/>
      <c r="GH38" s="251"/>
      <c r="GI38" s="251"/>
      <c r="GJ38" s="251"/>
      <c r="GK38" s="251"/>
      <c r="GL38" s="251"/>
      <c r="GM38" s="251"/>
      <c r="GN38" s="251"/>
      <c r="GO38" s="251"/>
      <c r="GP38" s="251"/>
      <c r="GQ38" s="251"/>
      <c r="GR38" s="251"/>
      <c r="GS38" s="251"/>
      <c r="GT38" s="251"/>
      <c r="GU38" s="251"/>
      <c r="GV38" s="251"/>
      <c r="GW38" s="251"/>
      <c r="GX38" s="251"/>
      <c r="GY38" s="251"/>
      <c r="GZ38" s="251"/>
      <c r="HA38" s="251"/>
      <c r="HB38" s="251"/>
      <c r="HC38" s="251"/>
      <c r="HD38" s="251"/>
      <c r="HE38" s="251"/>
      <c r="HF38" s="251"/>
      <c r="HG38" s="251"/>
      <c r="HH38" s="251"/>
      <c r="HI38" s="251"/>
      <c r="HJ38" s="251"/>
      <c r="HK38" s="251"/>
      <c r="HL38" s="251"/>
      <c r="HM38" s="251"/>
      <c r="HN38" s="251"/>
      <c r="HO38" s="251"/>
      <c r="HP38" s="251"/>
      <c r="HQ38" s="251"/>
      <c r="HR38" s="251"/>
      <c r="HS38" s="251"/>
      <c r="HT38" s="251"/>
      <c r="HU38" s="251"/>
      <c r="HV38" s="251"/>
      <c r="HW38" s="251"/>
      <c r="HX38" s="251"/>
      <c r="HY38" s="251"/>
      <c r="HZ38" s="251"/>
      <c r="IA38" s="251"/>
      <c r="IB38" s="251"/>
      <c r="IC38" s="251"/>
      <c r="ID38" s="251"/>
      <c r="IE38" s="251"/>
      <c r="IF38" s="251"/>
      <c r="IG38" s="251"/>
      <c r="IH38" s="251"/>
      <c r="II38" s="251"/>
      <c r="IJ38" s="251"/>
      <c r="IK38" s="251"/>
      <c r="IL38" s="251"/>
      <c r="IM38" s="251"/>
      <c r="IN38" s="251"/>
      <c r="IO38" s="251"/>
      <c r="IP38" s="251"/>
      <c r="IQ38" s="251"/>
      <c r="IR38" s="251"/>
      <c r="IS38" s="251"/>
      <c r="IT38" s="251"/>
      <c r="IU38" s="251"/>
      <c r="IV38" s="251"/>
      <c r="IW38" s="251"/>
      <c r="IX38" s="251"/>
      <c r="IY38" s="251"/>
      <c r="IZ38" s="251"/>
      <c r="JA38" s="251"/>
      <c r="JB38" s="251"/>
      <c r="JC38" s="251"/>
      <c r="JD38" s="251"/>
      <c r="JE38" s="251"/>
      <c r="JF38" s="251"/>
      <c r="JG38" s="251"/>
      <c r="JH38" s="251"/>
      <c r="JI38" s="251"/>
    </row>
    <row r="39" spans="1:269">
      <c r="A39" s="183" t="s">
        <v>6</v>
      </c>
      <c r="B39" s="186">
        <f t="shared" si="3"/>
        <v>218351.87484</v>
      </c>
      <c r="C39" s="186"/>
      <c r="D39" s="367">
        <f t="shared" si="4"/>
        <v>218351.87</v>
      </c>
      <c r="E39" s="251"/>
      <c r="F39" s="254"/>
      <c r="G39" s="267"/>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1"/>
      <c r="DI39" s="251"/>
      <c r="DJ39" s="251"/>
      <c r="DK39" s="251"/>
      <c r="DL39" s="251"/>
      <c r="DM39" s="251"/>
      <c r="DN39" s="251"/>
      <c r="DO39" s="251"/>
      <c r="DP39" s="251"/>
      <c r="DQ39" s="251"/>
      <c r="DR39" s="251"/>
      <c r="DS39" s="251"/>
      <c r="DT39" s="251"/>
      <c r="DU39" s="251"/>
      <c r="DV39" s="251"/>
      <c r="DW39" s="251"/>
      <c r="DX39" s="251"/>
      <c r="DY39" s="251"/>
      <c r="DZ39" s="251"/>
      <c r="EA39" s="251"/>
      <c r="EB39" s="251"/>
      <c r="EC39" s="251"/>
      <c r="ED39" s="251"/>
      <c r="EE39" s="251"/>
      <c r="EF39" s="251"/>
      <c r="EG39" s="251"/>
      <c r="EH39" s="251"/>
      <c r="EI39" s="251"/>
      <c r="EJ39" s="251"/>
      <c r="EK39" s="251"/>
      <c r="EL39" s="251"/>
      <c r="EM39" s="251"/>
      <c r="EN39" s="251"/>
      <c r="EO39" s="251"/>
      <c r="EP39" s="251"/>
      <c r="EQ39" s="251"/>
      <c r="ER39" s="251"/>
      <c r="ES39" s="251"/>
      <c r="ET39" s="251"/>
      <c r="EU39" s="251"/>
      <c r="EV39" s="251"/>
      <c r="EW39" s="251"/>
      <c r="EX39" s="251"/>
      <c r="EY39" s="251"/>
      <c r="EZ39" s="251"/>
      <c r="FA39" s="251"/>
      <c r="FB39" s="251"/>
      <c r="FC39" s="251"/>
      <c r="FD39" s="251"/>
      <c r="FE39" s="251"/>
      <c r="FF39" s="251"/>
      <c r="FG39" s="251"/>
      <c r="FH39" s="251"/>
      <c r="FI39" s="251"/>
      <c r="FJ39" s="251"/>
      <c r="FK39" s="251"/>
      <c r="FL39" s="251"/>
      <c r="FM39" s="251"/>
      <c r="FN39" s="251"/>
      <c r="FO39" s="251"/>
      <c r="FP39" s="251"/>
      <c r="FQ39" s="251"/>
      <c r="FR39" s="251"/>
      <c r="FS39" s="251"/>
      <c r="FT39" s="251"/>
      <c r="FU39" s="251"/>
      <c r="FV39" s="251"/>
      <c r="FW39" s="251"/>
      <c r="FX39" s="251"/>
      <c r="FY39" s="251"/>
      <c r="FZ39" s="251"/>
      <c r="GA39" s="251"/>
      <c r="GB39" s="251"/>
      <c r="GC39" s="251"/>
      <c r="GD39" s="251"/>
      <c r="GE39" s="251"/>
      <c r="GF39" s="251"/>
      <c r="GG39" s="251"/>
      <c r="GH39" s="251"/>
      <c r="GI39" s="251"/>
      <c r="GJ39" s="251"/>
      <c r="GK39" s="251"/>
      <c r="GL39" s="251"/>
      <c r="GM39" s="251"/>
      <c r="GN39" s="251"/>
      <c r="GO39" s="251"/>
      <c r="GP39" s="251"/>
      <c r="GQ39" s="251"/>
      <c r="GR39" s="251"/>
      <c r="GS39" s="251"/>
      <c r="GT39" s="251"/>
      <c r="GU39" s="251"/>
      <c r="GV39" s="251"/>
      <c r="GW39" s="251"/>
      <c r="GX39" s="251"/>
      <c r="GY39" s="251"/>
      <c r="GZ39" s="251"/>
      <c r="HA39" s="251"/>
      <c r="HB39" s="251"/>
      <c r="HC39" s="251"/>
      <c r="HD39" s="251"/>
      <c r="HE39" s="251"/>
      <c r="HF39" s="251"/>
      <c r="HG39" s="251"/>
      <c r="HH39" s="251"/>
      <c r="HI39" s="251"/>
      <c r="HJ39" s="251"/>
      <c r="HK39" s="251"/>
      <c r="HL39" s="251"/>
      <c r="HM39" s="251"/>
      <c r="HN39" s="251"/>
      <c r="HO39" s="251"/>
      <c r="HP39" s="251"/>
      <c r="HQ39" s="251"/>
      <c r="HR39" s="251"/>
      <c r="HS39" s="251"/>
      <c r="HT39" s="251"/>
      <c r="HU39" s="251"/>
      <c r="HV39" s="251"/>
      <c r="HW39" s="251"/>
      <c r="HX39" s="251"/>
      <c r="HY39" s="251"/>
      <c r="HZ39" s="251"/>
      <c r="IA39" s="251"/>
      <c r="IB39" s="251"/>
      <c r="IC39" s="251"/>
      <c r="ID39" s="251"/>
      <c r="IE39" s="251"/>
      <c r="IF39" s="251"/>
      <c r="IG39" s="251"/>
      <c r="IH39" s="251"/>
      <c r="II39" s="251"/>
      <c r="IJ39" s="251"/>
      <c r="IK39" s="251"/>
      <c r="IL39" s="251"/>
      <c r="IM39" s="251"/>
      <c r="IN39" s="251"/>
      <c r="IO39" s="251"/>
      <c r="IP39" s="251"/>
      <c r="IQ39" s="251"/>
      <c r="IR39" s="251"/>
      <c r="IS39" s="251"/>
      <c r="IT39" s="251"/>
      <c r="IU39" s="251"/>
      <c r="IV39" s="251"/>
      <c r="IW39" s="251"/>
      <c r="IX39" s="251"/>
      <c r="IY39" s="251"/>
      <c r="IZ39" s="251"/>
      <c r="JA39" s="251"/>
      <c r="JB39" s="251"/>
      <c r="JC39" s="251"/>
      <c r="JD39" s="251"/>
      <c r="JE39" s="251"/>
      <c r="JF39" s="251"/>
      <c r="JG39" s="251"/>
      <c r="JH39" s="251"/>
      <c r="JI39" s="251"/>
    </row>
    <row r="40" spans="1:269">
      <c r="A40" s="183" t="s">
        <v>7</v>
      </c>
      <c r="B40" s="186">
        <f t="shared" si="3"/>
        <v>743394.40032000002</v>
      </c>
      <c r="C40" s="186"/>
      <c r="D40" s="367">
        <f t="shared" si="4"/>
        <v>743394.4</v>
      </c>
      <c r="E40" s="251"/>
      <c r="F40" s="254"/>
      <c r="G40" s="267"/>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1"/>
      <c r="DZ40" s="251"/>
      <c r="EA40" s="251"/>
      <c r="EB40" s="251"/>
      <c r="EC40" s="251"/>
      <c r="ED40" s="251"/>
      <c r="EE40" s="251"/>
      <c r="EF40" s="251"/>
      <c r="EG40" s="251"/>
      <c r="EH40" s="251"/>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1"/>
      <c r="FI40" s="251"/>
      <c r="FJ40" s="251"/>
      <c r="FK40" s="251"/>
      <c r="FL40" s="251"/>
      <c r="FM40" s="251"/>
      <c r="FN40" s="251"/>
      <c r="FO40" s="251"/>
      <c r="FP40" s="251"/>
      <c r="FQ40" s="251"/>
      <c r="FR40" s="251"/>
      <c r="FS40" s="251"/>
      <c r="FT40" s="251"/>
      <c r="FU40" s="251"/>
      <c r="FV40" s="251"/>
      <c r="FW40" s="251"/>
      <c r="FX40" s="251"/>
      <c r="FY40" s="251"/>
      <c r="FZ40" s="251"/>
      <c r="GA40" s="251"/>
      <c r="GB40" s="251"/>
      <c r="GC40" s="251"/>
      <c r="GD40" s="251"/>
      <c r="GE40" s="251"/>
      <c r="GF40" s="251"/>
      <c r="GG40" s="251"/>
      <c r="GH40" s="251"/>
      <c r="GI40" s="251"/>
      <c r="GJ40" s="251"/>
      <c r="GK40" s="251"/>
      <c r="GL40" s="251"/>
      <c r="GM40" s="251"/>
      <c r="GN40" s="251"/>
      <c r="GO40" s="251"/>
      <c r="GP40" s="251"/>
      <c r="GQ40" s="251"/>
      <c r="GR40" s="251"/>
      <c r="GS40" s="251"/>
      <c r="GT40" s="251"/>
      <c r="GU40" s="251"/>
      <c r="GV40" s="251"/>
      <c r="GW40" s="251"/>
      <c r="GX40" s="251"/>
      <c r="GY40" s="251"/>
      <c r="GZ40" s="251"/>
      <c r="HA40" s="251"/>
      <c r="HB40" s="251"/>
      <c r="HC40" s="251"/>
      <c r="HD40" s="251"/>
      <c r="HE40" s="251"/>
      <c r="HF40" s="251"/>
      <c r="HG40" s="251"/>
      <c r="HH40" s="251"/>
      <c r="HI40" s="251"/>
      <c r="HJ40" s="251"/>
      <c r="HK40" s="251"/>
      <c r="HL40" s="251"/>
      <c r="HM40" s="251"/>
      <c r="HN40" s="251"/>
      <c r="HO40" s="251"/>
      <c r="HP40" s="251"/>
      <c r="HQ40" s="251"/>
      <c r="HR40" s="251"/>
      <c r="HS40" s="251"/>
      <c r="HT40" s="251"/>
      <c r="HU40" s="251"/>
      <c r="HV40" s="251"/>
      <c r="HW40" s="251"/>
      <c r="HX40" s="251"/>
      <c r="HY40" s="251"/>
      <c r="HZ40" s="251"/>
      <c r="IA40" s="251"/>
      <c r="IB40" s="251"/>
      <c r="IC40" s="251"/>
      <c r="ID40" s="251"/>
      <c r="IE40" s="251"/>
      <c r="IF40" s="251"/>
      <c r="IG40" s="251"/>
      <c r="IH40" s="251"/>
      <c r="II40" s="251"/>
      <c r="IJ40" s="251"/>
      <c r="IK40" s="251"/>
      <c r="IL40" s="251"/>
      <c r="IM40" s="251"/>
      <c r="IN40" s="251"/>
      <c r="IO40" s="251"/>
      <c r="IP40" s="251"/>
      <c r="IQ40" s="251"/>
      <c r="IR40" s="251"/>
      <c r="IS40" s="251"/>
      <c r="IT40" s="251"/>
      <c r="IU40" s="251"/>
      <c r="IV40" s="251"/>
      <c r="IW40" s="251"/>
      <c r="IX40" s="251"/>
      <c r="IY40" s="251"/>
      <c r="IZ40" s="251"/>
      <c r="JA40" s="251"/>
      <c r="JB40" s="251"/>
      <c r="JC40" s="251"/>
      <c r="JD40" s="251"/>
      <c r="JE40" s="251"/>
      <c r="JF40" s="251"/>
      <c r="JG40" s="251"/>
      <c r="JH40" s="251"/>
      <c r="JI40" s="251"/>
    </row>
    <row r="41" spans="1:269">
      <c r="A41" s="183" t="s">
        <v>8</v>
      </c>
      <c r="B41" s="186">
        <f t="shared" si="3"/>
        <v>42213.796679999999</v>
      </c>
      <c r="C41" s="186"/>
      <c r="D41" s="367">
        <f t="shared" si="4"/>
        <v>42213.8</v>
      </c>
      <c r="E41" s="251"/>
      <c r="F41" s="254"/>
      <c r="G41" s="267"/>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c r="EG41" s="251"/>
      <c r="EH41" s="251"/>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1"/>
      <c r="FF41" s="251"/>
      <c r="FG41" s="251"/>
      <c r="FH41" s="251"/>
      <c r="FI41" s="251"/>
      <c r="FJ41" s="251"/>
      <c r="FK41" s="251"/>
      <c r="FL41" s="251"/>
      <c r="FM41" s="251"/>
      <c r="FN41" s="251"/>
      <c r="FO41" s="251"/>
      <c r="FP41" s="251"/>
      <c r="FQ41" s="251"/>
      <c r="FR41" s="251"/>
      <c r="FS41" s="251"/>
      <c r="FT41" s="251"/>
      <c r="FU41" s="251"/>
      <c r="FV41" s="251"/>
      <c r="FW41" s="251"/>
      <c r="FX41" s="251"/>
      <c r="FY41" s="251"/>
      <c r="FZ41" s="251"/>
      <c r="GA41" s="251"/>
      <c r="GB41" s="251"/>
      <c r="GC41" s="251"/>
      <c r="GD41" s="251"/>
      <c r="GE41" s="251"/>
      <c r="GF41" s="251"/>
      <c r="GG41" s="251"/>
      <c r="GH41" s="251"/>
      <c r="GI41" s="251"/>
      <c r="GJ41" s="251"/>
      <c r="GK41" s="251"/>
      <c r="GL41" s="251"/>
      <c r="GM41" s="251"/>
      <c r="GN41" s="251"/>
      <c r="GO41" s="251"/>
      <c r="GP41" s="251"/>
      <c r="GQ41" s="251"/>
      <c r="GR41" s="251"/>
      <c r="GS41" s="251"/>
      <c r="GT41" s="251"/>
      <c r="GU41" s="251"/>
      <c r="GV41" s="251"/>
      <c r="GW41" s="251"/>
      <c r="GX41" s="251"/>
      <c r="GY41" s="251"/>
      <c r="GZ41" s="251"/>
      <c r="HA41" s="251"/>
      <c r="HB41" s="251"/>
      <c r="HC41" s="251"/>
      <c r="HD41" s="251"/>
      <c r="HE41" s="251"/>
      <c r="HF41" s="251"/>
      <c r="HG41" s="251"/>
      <c r="HH41" s="251"/>
      <c r="HI41" s="251"/>
      <c r="HJ41" s="251"/>
      <c r="HK41" s="251"/>
      <c r="HL41" s="251"/>
      <c r="HM41" s="251"/>
      <c r="HN41" s="251"/>
      <c r="HO41" s="251"/>
      <c r="HP41" s="251"/>
      <c r="HQ41" s="251"/>
      <c r="HR41" s="251"/>
      <c r="HS41" s="251"/>
      <c r="HT41" s="251"/>
      <c r="HU41" s="251"/>
      <c r="HV41" s="251"/>
      <c r="HW41" s="251"/>
      <c r="HX41" s="251"/>
      <c r="HY41" s="251"/>
      <c r="HZ41" s="251"/>
      <c r="IA41" s="251"/>
      <c r="IB41" s="251"/>
      <c r="IC41" s="251"/>
      <c r="ID41" s="251"/>
      <c r="IE41" s="251"/>
      <c r="IF41" s="251"/>
      <c r="IG41" s="251"/>
      <c r="IH41" s="251"/>
      <c r="II41" s="251"/>
      <c r="IJ41" s="251"/>
      <c r="IK41" s="251"/>
      <c r="IL41" s="251"/>
      <c r="IM41" s="251"/>
      <c r="IN41" s="251"/>
      <c r="IO41" s="251"/>
      <c r="IP41" s="251"/>
      <c r="IQ41" s="251"/>
      <c r="IR41" s="251"/>
      <c r="IS41" s="251"/>
      <c r="IT41" s="251"/>
      <c r="IU41" s="251"/>
      <c r="IV41" s="251"/>
      <c r="IW41" s="251"/>
      <c r="IX41" s="251"/>
      <c r="IY41" s="251"/>
      <c r="IZ41" s="251"/>
      <c r="JA41" s="251"/>
      <c r="JB41" s="251"/>
      <c r="JC41" s="251"/>
      <c r="JD41" s="251"/>
      <c r="JE41" s="251"/>
      <c r="JF41" s="251"/>
      <c r="JG41" s="251"/>
      <c r="JH41" s="251"/>
      <c r="JI41" s="251"/>
    </row>
    <row r="42" spans="1:269">
      <c r="A42" s="183" t="s">
        <v>9</v>
      </c>
      <c r="B42" s="186">
        <f t="shared" si="3"/>
        <v>30210.512640000001</v>
      </c>
      <c r="C42" s="186"/>
      <c r="D42" s="367">
        <f t="shared" si="4"/>
        <v>30210.51</v>
      </c>
      <c r="E42" s="251"/>
      <c r="F42" s="254"/>
      <c r="G42" s="267"/>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L42" s="251"/>
      <c r="EM42" s="251"/>
      <c r="EN42" s="251"/>
      <c r="EO42" s="251"/>
      <c r="EP42" s="251"/>
      <c r="EQ42" s="251"/>
      <c r="ER42" s="251"/>
      <c r="ES42" s="251"/>
      <c r="ET42" s="251"/>
      <c r="EU42" s="251"/>
      <c r="EV42" s="251"/>
      <c r="EW42" s="251"/>
      <c r="EX42" s="251"/>
      <c r="EY42" s="251"/>
      <c r="EZ42" s="251"/>
      <c r="FA42" s="251"/>
      <c r="FB42" s="251"/>
      <c r="FC42" s="251"/>
      <c r="FD42" s="251"/>
      <c r="FE42" s="251"/>
      <c r="FF42" s="251"/>
      <c r="FG42" s="251"/>
      <c r="FH42" s="251"/>
      <c r="FI42" s="251"/>
      <c r="FJ42" s="251"/>
      <c r="FK42" s="251"/>
      <c r="FL42" s="251"/>
      <c r="FM42" s="251"/>
      <c r="FN42" s="251"/>
      <c r="FO42" s="251"/>
      <c r="FP42" s="251"/>
      <c r="FQ42" s="251"/>
      <c r="FR42" s="251"/>
      <c r="FS42" s="251"/>
      <c r="FT42" s="251"/>
      <c r="FU42" s="251"/>
      <c r="FV42" s="251"/>
      <c r="FW42" s="251"/>
      <c r="FX42" s="251"/>
      <c r="FY42" s="251"/>
      <c r="FZ42" s="251"/>
      <c r="GA42" s="251"/>
      <c r="GB42" s="251"/>
      <c r="GC42" s="251"/>
      <c r="GD42" s="251"/>
      <c r="GE42" s="251"/>
      <c r="GF42" s="251"/>
      <c r="GG42" s="251"/>
      <c r="GH42" s="251"/>
      <c r="GI42" s="251"/>
      <c r="GJ42" s="251"/>
      <c r="GK42" s="251"/>
      <c r="GL42" s="251"/>
      <c r="GM42" s="251"/>
      <c r="GN42" s="251"/>
      <c r="GO42" s="251"/>
      <c r="GP42" s="251"/>
      <c r="GQ42" s="251"/>
      <c r="GR42" s="251"/>
      <c r="GS42" s="251"/>
      <c r="GT42" s="251"/>
      <c r="GU42" s="251"/>
      <c r="GV42" s="251"/>
      <c r="GW42" s="251"/>
      <c r="GX42" s="251"/>
      <c r="GY42" s="251"/>
      <c r="GZ42" s="251"/>
      <c r="HA42" s="251"/>
      <c r="HB42" s="251"/>
      <c r="HC42" s="251"/>
      <c r="HD42" s="251"/>
      <c r="HE42" s="251"/>
      <c r="HF42" s="251"/>
      <c r="HG42" s="251"/>
      <c r="HH42" s="251"/>
      <c r="HI42" s="251"/>
      <c r="HJ42" s="251"/>
      <c r="HK42" s="251"/>
      <c r="HL42" s="251"/>
      <c r="HM42" s="251"/>
      <c r="HN42" s="251"/>
      <c r="HO42" s="251"/>
      <c r="HP42" s="251"/>
      <c r="HQ42" s="251"/>
      <c r="HR42" s="251"/>
      <c r="HS42" s="251"/>
      <c r="HT42" s="251"/>
      <c r="HU42" s="251"/>
      <c r="HV42" s="251"/>
      <c r="HW42" s="251"/>
      <c r="HX42" s="251"/>
      <c r="HY42" s="251"/>
      <c r="HZ42" s="251"/>
      <c r="IA42" s="251"/>
      <c r="IB42" s="251"/>
      <c r="IC42" s="251"/>
      <c r="ID42" s="251"/>
      <c r="IE42" s="251"/>
      <c r="IF42" s="251"/>
      <c r="IG42" s="251"/>
      <c r="IH42" s="251"/>
      <c r="II42" s="251"/>
      <c r="IJ42" s="251"/>
      <c r="IK42" s="251"/>
      <c r="IL42" s="251"/>
      <c r="IM42" s="251"/>
      <c r="IN42" s="251"/>
      <c r="IO42" s="251"/>
      <c r="IP42" s="251"/>
      <c r="IQ42" s="251"/>
      <c r="IR42" s="251"/>
      <c r="IS42" s="251"/>
      <c r="IT42" s="251"/>
      <c r="IU42" s="251"/>
      <c r="IV42" s="251"/>
      <c r="IW42" s="251"/>
      <c r="IX42" s="251"/>
      <c r="IY42" s="251"/>
      <c r="IZ42" s="251"/>
      <c r="JA42" s="251"/>
      <c r="JB42" s="251"/>
      <c r="JC42" s="251"/>
      <c r="JD42" s="251"/>
      <c r="JE42" s="251"/>
      <c r="JF42" s="251"/>
      <c r="JG42" s="251"/>
      <c r="JH42" s="251"/>
      <c r="JI42" s="251"/>
    </row>
    <row r="43" spans="1:269">
      <c r="A43" s="183" t="s">
        <v>10</v>
      </c>
      <c r="B43" s="186">
        <f t="shared" si="3"/>
        <v>287943.9486</v>
      </c>
      <c r="C43" s="186"/>
      <c r="D43" s="367">
        <f t="shared" si="4"/>
        <v>287943.95</v>
      </c>
      <c r="E43" s="251"/>
      <c r="F43" s="251"/>
      <c r="G43" s="267"/>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1"/>
      <c r="FF43" s="251"/>
      <c r="FG43" s="251"/>
      <c r="FH43" s="251"/>
      <c r="FI43" s="251"/>
      <c r="FJ43" s="251"/>
      <c r="FK43" s="251"/>
      <c r="FL43" s="251"/>
      <c r="FM43" s="251"/>
      <c r="FN43" s="251"/>
      <c r="FO43" s="251"/>
      <c r="FP43" s="251"/>
      <c r="FQ43" s="251"/>
      <c r="FR43" s="251"/>
      <c r="FS43" s="251"/>
      <c r="FT43" s="251"/>
      <c r="FU43" s="251"/>
      <c r="FV43" s="251"/>
      <c r="FW43" s="251"/>
      <c r="FX43" s="251"/>
      <c r="FY43" s="251"/>
      <c r="FZ43" s="251"/>
      <c r="GA43" s="251"/>
      <c r="GB43" s="251"/>
      <c r="GC43" s="251"/>
      <c r="GD43" s="251"/>
      <c r="GE43" s="251"/>
      <c r="GF43" s="251"/>
      <c r="GG43" s="251"/>
      <c r="GH43" s="251"/>
      <c r="GI43" s="251"/>
      <c r="GJ43" s="251"/>
      <c r="GK43" s="251"/>
      <c r="GL43" s="251"/>
      <c r="GM43" s="251"/>
      <c r="GN43" s="251"/>
      <c r="GO43" s="251"/>
      <c r="GP43" s="251"/>
      <c r="GQ43" s="251"/>
      <c r="GR43" s="251"/>
      <c r="GS43" s="251"/>
      <c r="GT43" s="251"/>
      <c r="GU43" s="251"/>
      <c r="GV43" s="251"/>
      <c r="GW43" s="251"/>
      <c r="GX43" s="251"/>
      <c r="GY43" s="251"/>
      <c r="GZ43" s="251"/>
      <c r="HA43" s="251"/>
      <c r="HB43" s="251"/>
      <c r="HC43" s="251"/>
      <c r="HD43" s="251"/>
      <c r="HE43" s="251"/>
      <c r="HF43" s="251"/>
      <c r="HG43" s="251"/>
      <c r="HH43" s="251"/>
      <c r="HI43" s="251"/>
      <c r="HJ43" s="251"/>
      <c r="HK43" s="251"/>
      <c r="HL43" s="251"/>
      <c r="HM43" s="251"/>
      <c r="HN43" s="251"/>
      <c r="HO43" s="251"/>
      <c r="HP43" s="251"/>
      <c r="HQ43" s="251"/>
      <c r="HR43" s="251"/>
      <c r="HS43" s="251"/>
      <c r="HT43" s="251"/>
      <c r="HU43" s="251"/>
      <c r="HV43" s="251"/>
      <c r="HW43" s="251"/>
      <c r="HX43" s="251"/>
      <c r="HY43" s="251"/>
      <c r="HZ43" s="251"/>
      <c r="IA43" s="251"/>
      <c r="IB43" s="251"/>
      <c r="IC43" s="251"/>
      <c r="ID43" s="251"/>
      <c r="IE43" s="251"/>
      <c r="IF43" s="251"/>
      <c r="IG43" s="251"/>
      <c r="IH43" s="251"/>
      <c r="II43" s="251"/>
      <c r="IJ43" s="251"/>
      <c r="IK43" s="251"/>
      <c r="IL43" s="251"/>
      <c r="IM43" s="251"/>
      <c r="IN43" s="251"/>
      <c r="IO43" s="251"/>
      <c r="IP43" s="251"/>
      <c r="IQ43" s="251"/>
      <c r="IR43" s="251"/>
      <c r="IS43" s="251"/>
      <c r="IT43" s="251"/>
      <c r="IU43" s="251"/>
      <c r="IV43" s="251"/>
      <c r="IW43" s="251"/>
      <c r="IX43" s="251"/>
      <c r="IY43" s="251"/>
      <c r="IZ43" s="251"/>
      <c r="JA43" s="251"/>
      <c r="JB43" s="251"/>
      <c r="JC43" s="251"/>
      <c r="JD43" s="251"/>
      <c r="JE43" s="251"/>
      <c r="JF43" s="251"/>
      <c r="JG43" s="251"/>
      <c r="JH43" s="251"/>
      <c r="JI43" s="251"/>
    </row>
    <row r="44" spans="1:269">
      <c r="A44" s="183" t="s">
        <v>11</v>
      </c>
      <c r="B44" s="186">
        <f t="shared" si="3"/>
        <v>50710.503359999995</v>
      </c>
      <c r="C44" s="186"/>
      <c r="D44" s="367">
        <f t="shared" si="4"/>
        <v>50710.5</v>
      </c>
      <c r="E44" s="251"/>
      <c r="F44" s="251"/>
      <c r="G44" s="267"/>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51"/>
      <c r="EH44" s="251"/>
      <c r="EI44" s="251"/>
      <c r="EJ44" s="251"/>
      <c r="EK44" s="251"/>
      <c r="EL44" s="251"/>
      <c r="EM44" s="251"/>
      <c r="EN44" s="251"/>
      <c r="EO44" s="251"/>
      <c r="EP44" s="251"/>
      <c r="EQ44" s="251"/>
      <c r="ER44" s="251"/>
      <c r="ES44" s="251"/>
      <c r="ET44" s="251"/>
      <c r="EU44" s="251"/>
      <c r="EV44" s="251"/>
      <c r="EW44" s="251"/>
      <c r="EX44" s="251"/>
      <c r="EY44" s="251"/>
      <c r="EZ44" s="251"/>
      <c r="FA44" s="251"/>
      <c r="FB44" s="251"/>
      <c r="FC44" s="251"/>
      <c r="FD44" s="251"/>
      <c r="FE44" s="251"/>
      <c r="FF44" s="251"/>
      <c r="FG44" s="251"/>
      <c r="FH44" s="251"/>
      <c r="FI44" s="251"/>
      <c r="FJ44" s="251"/>
      <c r="FK44" s="251"/>
      <c r="FL44" s="251"/>
      <c r="FM44" s="251"/>
      <c r="FN44" s="251"/>
      <c r="FO44" s="251"/>
      <c r="FP44" s="251"/>
      <c r="FQ44" s="251"/>
      <c r="FR44" s="251"/>
      <c r="FS44" s="251"/>
      <c r="FT44" s="251"/>
      <c r="FU44" s="251"/>
      <c r="FV44" s="251"/>
      <c r="FW44" s="251"/>
      <c r="FX44" s="251"/>
      <c r="FY44" s="251"/>
      <c r="FZ44" s="251"/>
      <c r="GA44" s="251"/>
      <c r="GB44" s="251"/>
      <c r="GC44" s="251"/>
      <c r="GD44" s="251"/>
      <c r="GE44" s="251"/>
      <c r="GF44" s="251"/>
      <c r="GG44" s="251"/>
      <c r="GH44" s="251"/>
      <c r="GI44" s="251"/>
      <c r="GJ44" s="251"/>
      <c r="GK44" s="251"/>
      <c r="GL44" s="251"/>
      <c r="GM44" s="251"/>
      <c r="GN44" s="251"/>
      <c r="GO44" s="251"/>
      <c r="GP44" s="251"/>
      <c r="GQ44" s="251"/>
      <c r="GR44" s="251"/>
      <c r="GS44" s="251"/>
      <c r="GT44" s="251"/>
      <c r="GU44" s="251"/>
      <c r="GV44" s="251"/>
      <c r="GW44" s="251"/>
      <c r="GX44" s="251"/>
      <c r="GY44" s="251"/>
      <c r="GZ44" s="251"/>
      <c r="HA44" s="251"/>
      <c r="HB44" s="251"/>
      <c r="HC44" s="251"/>
      <c r="HD44" s="251"/>
      <c r="HE44" s="251"/>
      <c r="HF44" s="251"/>
      <c r="HG44" s="251"/>
      <c r="HH44" s="251"/>
      <c r="HI44" s="251"/>
      <c r="HJ44" s="251"/>
      <c r="HK44" s="251"/>
      <c r="HL44" s="251"/>
      <c r="HM44" s="251"/>
      <c r="HN44" s="251"/>
      <c r="HO44" s="251"/>
      <c r="HP44" s="251"/>
      <c r="HQ44" s="251"/>
      <c r="HR44" s="251"/>
      <c r="HS44" s="251"/>
      <c r="HT44" s="251"/>
      <c r="HU44" s="251"/>
      <c r="HV44" s="251"/>
      <c r="HW44" s="251"/>
      <c r="HX44" s="251"/>
      <c r="HY44" s="251"/>
      <c r="HZ44" s="251"/>
      <c r="IA44" s="251"/>
      <c r="IB44" s="251"/>
      <c r="IC44" s="251"/>
      <c r="ID44" s="251"/>
      <c r="IE44" s="251"/>
      <c r="IF44" s="251"/>
      <c r="IG44" s="251"/>
      <c r="IH44" s="251"/>
      <c r="II44" s="251"/>
      <c r="IJ44" s="251"/>
      <c r="IK44" s="251"/>
      <c r="IL44" s="251"/>
      <c r="IM44" s="251"/>
      <c r="IN44" s="251"/>
      <c r="IO44" s="251"/>
      <c r="IP44" s="251"/>
      <c r="IQ44" s="251"/>
      <c r="IR44" s="251"/>
      <c r="IS44" s="251"/>
      <c r="IT44" s="251"/>
      <c r="IU44" s="251"/>
      <c r="IV44" s="251"/>
      <c r="IW44" s="251"/>
      <c r="IX44" s="251"/>
      <c r="IY44" s="251"/>
      <c r="IZ44" s="251"/>
      <c r="JA44" s="251"/>
      <c r="JB44" s="251"/>
      <c r="JC44" s="251"/>
      <c r="JD44" s="251"/>
      <c r="JE44" s="251"/>
      <c r="JF44" s="251"/>
      <c r="JG44" s="251"/>
      <c r="JH44" s="251"/>
      <c r="JI44" s="251"/>
    </row>
    <row r="45" spans="1:269">
      <c r="A45" s="183" t="s">
        <v>12</v>
      </c>
      <c r="B45" s="186">
        <f t="shared" si="3"/>
        <v>244111.7316</v>
      </c>
      <c r="C45" s="186"/>
      <c r="D45" s="367">
        <f t="shared" si="4"/>
        <v>244111.73</v>
      </c>
      <c r="E45" s="251"/>
      <c r="F45" s="251"/>
      <c r="G45" s="267"/>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51"/>
      <c r="EH45" s="251"/>
      <c r="EI45" s="251"/>
      <c r="EJ45" s="251"/>
      <c r="EK45" s="251"/>
      <c r="EL45" s="251"/>
      <c r="EM45" s="251"/>
      <c r="EN45" s="251"/>
      <c r="EO45" s="251"/>
      <c r="EP45" s="251"/>
      <c r="EQ45" s="251"/>
      <c r="ER45" s="251"/>
      <c r="ES45" s="251"/>
      <c r="ET45" s="251"/>
      <c r="EU45" s="251"/>
      <c r="EV45" s="251"/>
      <c r="EW45" s="251"/>
      <c r="EX45" s="251"/>
      <c r="EY45" s="251"/>
      <c r="EZ45" s="251"/>
      <c r="FA45" s="251"/>
      <c r="FB45" s="251"/>
      <c r="FC45" s="251"/>
      <c r="FD45" s="251"/>
      <c r="FE45" s="251"/>
      <c r="FF45" s="251"/>
      <c r="FG45" s="251"/>
      <c r="FH45" s="251"/>
      <c r="FI45" s="251"/>
      <c r="FJ45" s="251"/>
      <c r="FK45" s="251"/>
      <c r="FL45" s="251"/>
      <c r="FM45" s="251"/>
      <c r="FN45" s="251"/>
      <c r="FO45" s="251"/>
      <c r="FP45" s="251"/>
      <c r="FQ45" s="251"/>
      <c r="FR45" s="251"/>
      <c r="FS45" s="251"/>
      <c r="FT45" s="251"/>
      <c r="FU45" s="251"/>
      <c r="FV45" s="251"/>
      <c r="FW45" s="251"/>
      <c r="FX45" s="251"/>
      <c r="FY45" s="251"/>
      <c r="FZ45" s="251"/>
      <c r="GA45" s="251"/>
      <c r="GB45" s="251"/>
      <c r="GC45" s="251"/>
      <c r="GD45" s="251"/>
      <c r="GE45" s="251"/>
      <c r="GF45" s="251"/>
      <c r="GG45" s="251"/>
      <c r="GH45" s="251"/>
      <c r="GI45" s="251"/>
      <c r="GJ45" s="251"/>
      <c r="GK45" s="251"/>
      <c r="GL45" s="251"/>
      <c r="GM45" s="251"/>
      <c r="GN45" s="251"/>
      <c r="GO45" s="251"/>
      <c r="GP45" s="251"/>
      <c r="GQ45" s="251"/>
      <c r="GR45" s="251"/>
      <c r="GS45" s="251"/>
      <c r="GT45" s="251"/>
      <c r="GU45" s="251"/>
      <c r="GV45" s="251"/>
      <c r="GW45" s="251"/>
      <c r="GX45" s="251"/>
      <c r="GY45" s="251"/>
      <c r="GZ45" s="251"/>
      <c r="HA45" s="251"/>
      <c r="HB45" s="251"/>
      <c r="HC45" s="251"/>
      <c r="HD45" s="251"/>
      <c r="HE45" s="251"/>
      <c r="HF45" s="251"/>
      <c r="HG45" s="251"/>
      <c r="HH45" s="251"/>
      <c r="HI45" s="251"/>
      <c r="HJ45" s="251"/>
      <c r="HK45" s="251"/>
      <c r="HL45" s="251"/>
      <c r="HM45" s="251"/>
      <c r="HN45" s="251"/>
      <c r="HO45" s="251"/>
      <c r="HP45" s="251"/>
      <c r="HQ45" s="251"/>
      <c r="HR45" s="251"/>
      <c r="HS45" s="251"/>
      <c r="HT45" s="251"/>
      <c r="HU45" s="251"/>
      <c r="HV45" s="251"/>
      <c r="HW45" s="251"/>
      <c r="HX45" s="251"/>
      <c r="HY45" s="251"/>
      <c r="HZ45" s="251"/>
      <c r="IA45" s="251"/>
      <c r="IB45" s="251"/>
      <c r="IC45" s="251"/>
      <c r="ID45" s="251"/>
      <c r="IE45" s="251"/>
      <c r="IF45" s="251"/>
      <c r="IG45" s="251"/>
      <c r="IH45" s="251"/>
      <c r="II45" s="251"/>
      <c r="IJ45" s="251"/>
      <c r="IK45" s="251"/>
      <c r="IL45" s="251"/>
      <c r="IM45" s="251"/>
      <c r="IN45" s="251"/>
      <c r="IO45" s="251"/>
      <c r="IP45" s="251"/>
      <c r="IQ45" s="251"/>
      <c r="IR45" s="251"/>
      <c r="IS45" s="251"/>
      <c r="IT45" s="251"/>
      <c r="IU45" s="251"/>
      <c r="IV45" s="251"/>
      <c r="IW45" s="251"/>
      <c r="IX45" s="251"/>
      <c r="IY45" s="251"/>
      <c r="IZ45" s="251"/>
      <c r="JA45" s="251"/>
      <c r="JB45" s="251"/>
      <c r="JC45" s="251"/>
      <c r="JD45" s="251"/>
      <c r="JE45" s="251"/>
      <c r="JF45" s="251"/>
      <c r="JG45" s="251"/>
      <c r="JH45" s="251"/>
      <c r="JI45" s="251"/>
    </row>
    <row r="46" spans="1:269">
      <c r="A46" s="183" t="s">
        <v>13</v>
      </c>
      <c r="B46" s="186">
        <f t="shared" si="3"/>
        <v>14161.177799999999</v>
      </c>
      <c r="C46" s="186"/>
      <c r="D46" s="367">
        <f t="shared" si="4"/>
        <v>14161.18</v>
      </c>
      <c r="E46" s="251"/>
      <c r="F46" s="254"/>
      <c r="G46" s="267"/>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1"/>
      <c r="GD46" s="251"/>
      <c r="GE46" s="251"/>
      <c r="GF46" s="251"/>
      <c r="GG46" s="251"/>
      <c r="GH46" s="251"/>
      <c r="GI46" s="251"/>
      <c r="GJ46" s="251"/>
      <c r="GK46" s="251"/>
      <c r="GL46" s="251"/>
      <c r="GM46" s="251"/>
      <c r="GN46" s="251"/>
      <c r="GO46" s="251"/>
      <c r="GP46" s="251"/>
      <c r="GQ46" s="251"/>
      <c r="GR46" s="251"/>
      <c r="GS46" s="251"/>
      <c r="GT46" s="251"/>
      <c r="GU46" s="251"/>
      <c r="GV46" s="251"/>
      <c r="GW46" s="251"/>
      <c r="GX46" s="251"/>
      <c r="GY46" s="251"/>
      <c r="GZ46" s="251"/>
      <c r="HA46" s="251"/>
      <c r="HB46" s="251"/>
      <c r="HC46" s="251"/>
      <c r="HD46" s="251"/>
      <c r="HE46" s="251"/>
      <c r="HF46" s="251"/>
      <c r="HG46" s="251"/>
      <c r="HH46" s="251"/>
      <c r="HI46" s="251"/>
      <c r="HJ46" s="251"/>
      <c r="HK46" s="251"/>
      <c r="HL46" s="251"/>
      <c r="HM46" s="251"/>
      <c r="HN46" s="251"/>
      <c r="HO46" s="251"/>
      <c r="HP46" s="251"/>
      <c r="HQ46" s="251"/>
      <c r="HR46" s="251"/>
      <c r="HS46" s="251"/>
      <c r="HT46" s="251"/>
      <c r="HU46" s="251"/>
      <c r="HV46" s="251"/>
      <c r="HW46" s="251"/>
      <c r="HX46" s="251"/>
      <c r="HY46" s="251"/>
      <c r="HZ46" s="251"/>
      <c r="IA46" s="251"/>
      <c r="IB46" s="251"/>
      <c r="IC46" s="251"/>
      <c r="ID46" s="251"/>
      <c r="IE46" s="251"/>
      <c r="IF46" s="251"/>
      <c r="IG46" s="251"/>
      <c r="IH46" s="251"/>
      <c r="II46" s="251"/>
      <c r="IJ46" s="251"/>
      <c r="IK46" s="251"/>
      <c r="IL46" s="251"/>
      <c r="IM46" s="251"/>
      <c r="IN46" s="251"/>
      <c r="IO46" s="251"/>
      <c r="IP46" s="251"/>
      <c r="IQ46" s="251"/>
      <c r="IR46" s="251"/>
      <c r="IS46" s="251"/>
      <c r="IT46" s="251"/>
      <c r="IU46" s="251"/>
      <c r="IV46" s="251"/>
      <c r="IW46" s="251"/>
      <c r="IX46" s="251"/>
      <c r="IY46" s="251"/>
      <c r="IZ46" s="251"/>
      <c r="JA46" s="251"/>
      <c r="JB46" s="251"/>
      <c r="JC46" s="251"/>
      <c r="JD46" s="251"/>
      <c r="JE46" s="251"/>
      <c r="JF46" s="251"/>
      <c r="JG46" s="251"/>
      <c r="JH46" s="251"/>
      <c r="JI46" s="251"/>
    </row>
    <row r="47" spans="1:269">
      <c r="A47" s="183" t="s">
        <v>14</v>
      </c>
      <c r="B47" s="186">
        <f t="shared" si="3"/>
        <v>137430.85884</v>
      </c>
      <c r="C47" s="186"/>
      <c r="D47" s="367">
        <f t="shared" si="4"/>
        <v>137430.85999999999</v>
      </c>
      <c r="E47" s="251"/>
      <c r="F47" s="254"/>
      <c r="G47" s="267"/>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1"/>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c r="GW47" s="251"/>
      <c r="GX47" s="251"/>
      <c r="GY47" s="251"/>
      <c r="GZ47" s="251"/>
      <c r="HA47" s="251"/>
      <c r="HB47" s="251"/>
      <c r="HC47" s="251"/>
      <c r="HD47" s="251"/>
      <c r="HE47" s="251"/>
      <c r="HF47" s="251"/>
      <c r="HG47" s="251"/>
      <c r="HH47" s="251"/>
      <c r="HI47" s="251"/>
      <c r="HJ47" s="251"/>
      <c r="HK47" s="251"/>
      <c r="HL47" s="251"/>
      <c r="HM47" s="251"/>
      <c r="HN47" s="251"/>
      <c r="HO47" s="251"/>
      <c r="HP47" s="251"/>
      <c r="HQ47" s="251"/>
      <c r="HR47" s="251"/>
      <c r="HS47" s="251"/>
      <c r="HT47" s="251"/>
      <c r="HU47" s="251"/>
      <c r="HV47" s="251"/>
      <c r="HW47" s="251"/>
      <c r="HX47" s="251"/>
      <c r="HY47" s="251"/>
      <c r="HZ47" s="251"/>
      <c r="IA47" s="251"/>
      <c r="IB47" s="251"/>
      <c r="IC47" s="251"/>
      <c r="ID47" s="251"/>
      <c r="IE47" s="251"/>
      <c r="IF47" s="251"/>
      <c r="IG47" s="251"/>
      <c r="IH47" s="251"/>
      <c r="II47" s="251"/>
      <c r="IJ47" s="251"/>
      <c r="IK47" s="251"/>
      <c r="IL47" s="251"/>
      <c r="IM47" s="251"/>
      <c r="IN47" s="251"/>
      <c r="IO47" s="251"/>
      <c r="IP47" s="251"/>
      <c r="IQ47" s="251"/>
      <c r="IR47" s="251"/>
      <c r="IS47" s="251"/>
      <c r="IT47" s="251"/>
      <c r="IU47" s="251"/>
      <c r="IV47" s="251"/>
      <c r="IW47" s="251"/>
      <c r="IX47" s="251"/>
      <c r="IY47" s="251"/>
      <c r="IZ47" s="251"/>
      <c r="JA47" s="251"/>
      <c r="JB47" s="251"/>
      <c r="JC47" s="251"/>
      <c r="JD47" s="251"/>
      <c r="JE47" s="251"/>
      <c r="JF47" s="251"/>
      <c r="JG47" s="251"/>
      <c r="JH47" s="251"/>
      <c r="JI47" s="251"/>
    </row>
    <row r="48" spans="1:269">
      <c r="A48" s="183" t="s">
        <v>15</v>
      </c>
      <c r="B48" s="186">
        <f t="shared" si="3"/>
        <v>62444.05068</v>
      </c>
      <c r="C48" s="186"/>
      <c r="D48" s="367">
        <f t="shared" si="4"/>
        <v>62444.05</v>
      </c>
      <c r="E48" s="251"/>
      <c r="F48" s="399"/>
      <c r="G48" s="267"/>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1"/>
      <c r="IK48" s="251"/>
      <c r="IL48" s="251"/>
      <c r="IM48" s="251"/>
      <c r="IN48" s="251"/>
      <c r="IO48" s="251"/>
      <c r="IP48" s="251"/>
      <c r="IQ48" s="251"/>
      <c r="IR48" s="251"/>
      <c r="IS48" s="251"/>
      <c r="IT48" s="251"/>
      <c r="IU48" s="251"/>
      <c r="IV48" s="251"/>
      <c r="IW48" s="251"/>
      <c r="IX48" s="251"/>
      <c r="IY48" s="251"/>
      <c r="IZ48" s="251"/>
      <c r="JA48" s="251"/>
      <c r="JB48" s="251"/>
      <c r="JC48" s="251"/>
      <c r="JD48" s="251"/>
      <c r="JE48" s="251"/>
      <c r="JF48" s="251"/>
      <c r="JG48" s="251"/>
      <c r="JH48" s="251"/>
      <c r="JI48" s="251"/>
    </row>
    <row r="49" spans="1:269">
      <c r="A49" s="189" t="s">
        <v>16</v>
      </c>
      <c r="B49" s="190">
        <f t="shared" si="3"/>
        <v>1583624.28312</v>
      </c>
      <c r="C49" s="190"/>
      <c r="D49" s="369">
        <f t="shared" si="4"/>
        <v>1583624.28</v>
      </c>
      <c r="E49" s="251"/>
      <c r="F49" s="254"/>
      <c r="G49" s="267"/>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1"/>
      <c r="IK49" s="251"/>
      <c r="IL49" s="251"/>
      <c r="IM49" s="251"/>
      <c r="IN49" s="251"/>
      <c r="IO49" s="251"/>
      <c r="IP49" s="251"/>
      <c r="IQ49" s="251"/>
      <c r="IR49" s="251"/>
      <c r="IS49" s="251"/>
      <c r="IT49" s="251"/>
      <c r="IU49" s="251"/>
      <c r="IV49" s="251"/>
      <c r="IW49" s="251"/>
      <c r="IX49" s="251"/>
      <c r="IY49" s="251"/>
      <c r="IZ49" s="251"/>
      <c r="JA49" s="251"/>
      <c r="JB49" s="251"/>
      <c r="JC49" s="251"/>
      <c r="JD49" s="251"/>
      <c r="JE49" s="251"/>
      <c r="JF49" s="251"/>
      <c r="JG49" s="251"/>
      <c r="JH49" s="251"/>
      <c r="JI49" s="251"/>
    </row>
    <row r="50" spans="1:269">
      <c r="A50" s="183" t="s">
        <v>18</v>
      </c>
      <c r="B50" s="191">
        <f>SUM(B34:B49)</f>
        <v>4092445.5158399995</v>
      </c>
      <c r="C50" s="191"/>
      <c r="D50" s="368">
        <f>B50+C50</f>
        <v>4092445.5158399995</v>
      </c>
      <c r="E50" s="251"/>
      <c r="F50" s="251"/>
      <c r="G50" s="267"/>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1"/>
      <c r="IK50" s="251"/>
      <c r="IL50" s="251"/>
      <c r="IM50" s="251"/>
      <c r="IN50" s="251"/>
      <c r="IO50" s="251"/>
      <c r="IP50" s="251"/>
      <c r="IQ50" s="251"/>
      <c r="IR50" s="251"/>
      <c r="IS50" s="251"/>
      <c r="IT50" s="251"/>
      <c r="IU50" s="251"/>
      <c r="IV50" s="251"/>
      <c r="IW50" s="251"/>
      <c r="IX50" s="251"/>
      <c r="IY50" s="251"/>
      <c r="IZ50" s="251"/>
      <c r="JA50" s="251"/>
      <c r="JB50" s="251"/>
      <c r="JC50" s="251"/>
      <c r="JD50" s="251"/>
      <c r="JE50" s="251"/>
      <c r="JF50" s="251"/>
      <c r="JG50" s="251"/>
      <c r="JH50" s="251"/>
      <c r="JI50" s="251"/>
    </row>
    <row r="51" spans="1:269" ht="16" thickBot="1">
      <c r="A51" s="251"/>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1"/>
      <c r="IK51" s="251"/>
      <c r="IL51" s="251"/>
      <c r="IM51" s="251"/>
      <c r="IN51" s="251"/>
      <c r="IO51" s="251"/>
      <c r="IP51" s="251"/>
      <c r="IQ51" s="251"/>
      <c r="IR51" s="251"/>
      <c r="IS51" s="251"/>
      <c r="IT51" s="251"/>
      <c r="IU51" s="251"/>
      <c r="IV51" s="251"/>
      <c r="IW51" s="251"/>
      <c r="IX51" s="251"/>
      <c r="IY51" s="251"/>
      <c r="IZ51" s="251"/>
      <c r="JA51" s="251"/>
      <c r="JB51" s="251"/>
      <c r="JC51" s="251"/>
      <c r="JD51" s="251"/>
      <c r="JE51" s="251"/>
      <c r="JF51" s="251"/>
      <c r="JG51" s="251"/>
      <c r="JH51" s="251"/>
      <c r="JI51" s="251"/>
    </row>
    <row r="52" spans="1:269" ht="16.5" thickTop="1" thickBot="1">
      <c r="A52" s="251"/>
      <c r="B52" s="251"/>
      <c r="C52" s="251"/>
      <c r="D52" s="128">
        <f>Sociala!C22-'Soctjänst data'!D50</f>
        <v>-1.5839999541640282E-2</v>
      </c>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1"/>
      <c r="IK52" s="251"/>
      <c r="IL52" s="251"/>
      <c r="IM52" s="251"/>
      <c r="IN52" s="251"/>
      <c r="IO52" s="251"/>
      <c r="IP52" s="251"/>
      <c r="IQ52" s="251"/>
      <c r="IR52" s="251"/>
      <c r="IS52" s="251"/>
      <c r="IT52" s="251"/>
      <c r="IU52" s="251"/>
      <c r="IV52" s="251"/>
      <c r="IW52" s="251"/>
      <c r="IX52" s="251"/>
      <c r="IY52" s="251"/>
      <c r="IZ52" s="251"/>
      <c r="JA52" s="251"/>
      <c r="JB52" s="251"/>
      <c r="JC52" s="251"/>
      <c r="JD52" s="251"/>
      <c r="JE52" s="251"/>
      <c r="JF52" s="251"/>
      <c r="JG52" s="251"/>
      <c r="JH52" s="251"/>
      <c r="JI52" s="251"/>
    </row>
    <row r="53" spans="1:269" ht="16" thickTop="1">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1"/>
      <c r="IK53" s="251"/>
      <c r="IL53" s="251"/>
      <c r="IM53" s="251"/>
      <c r="IN53" s="251"/>
      <c r="IO53" s="251"/>
      <c r="IP53" s="251"/>
      <c r="IQ53" s="251"/>
      <c r="IR53" s="251"/>
      <c r="IS53" s="251"/>
      <c r="IT53" s="251"/>
      <c r="IU53" s="251"/>
      <c r="IV53" s="251"/>
      <c r="IW53" s="251"/>
      <c r="IX53" s="251"/>
      <c r="IY53" s="251"/>
      <c r="IZ53" s="251"/>
      <c r="JA53" s="251"/>
      <c r="JB53" s="251"/>
      <c r="JC53" s="251"/>
      <c r="JD53" s="251"/>
      <c r="JE53" s="251"/>
      <c r="JF53" s="251"/>
      <c r="JG53" s="251"/>
      <c r="JH53" s="251"/>
      <c r="JI53" s="251"/>
    </row>
    <row r="54" spans="1:269">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1"/>
      <c r="IK54" s="251"/>
      <c r="IL54" s="251"/>
      <c r="IM54" s="251"/>
      <c r="IN54" s="251"/>
      <c r="IO54" s="251"/>
      <c r="IP54" s="251"/>
      <c r="IQ54" s="251"/>
      <c r="IR54" s="251"/>
      <c r="IS54" s="251"/>
      <c r="IT54" s="251"/>
      <c r="IU54" s="251"/>
      <c r="IV54" s="251"/>
      <c r="IW54" s="251"/>
      <c r="IX54" s="251"/>
      <c r="IY54" s="251"/>
      <c r="IZ54" s="251"/>
      <c r="JA54" s="251"/>
      <c r="JB54" s="251"/>
      <c r="JC54" s="251"/>
      <c r="JD54" s="251"/>
      <c r="JE54" s="251"/>
      <c r="JF54" s="251"/>
      <c r="JG54" s="251"/>
      <c r="JH54" s="251"/>
      <c r="JI54" s="251"/>
    </row>
    <row r="55" spans="1:269">
      <c r="A55" s="264"/>
      <c r="B55" s="251"/>
      <c r="C55" s="263"/>
      <c r="D55" s="263"/>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1"/>
      <c r="IK55" s="251"/>
      <c r="IL55" s="251"/>
      <c r="IM55" s="251"/>
      <c r="IN55" s="251"/>
      <c r="IO55" s="251"/>
      <c r="IP55" s="251"/>
      <c r="IQ55" s="251"/>
      <c r="IR55" s="251"/>
      <c r="IS55" s="251"/>
      <c r="IT55" s="251"/>
      <c r="IU55" s="251"/>
      <c r="IV55" s="251"/>
      <c r="IW55" s="251"/>
      <c r="IX55" s="251"/>
      <c r="IY55" s="251"/>
      <c r="IZ55" s="251"/>
      <c r="JA55" s="251"/>
      <c r="JB55" s="251"/>
      <c r="JC55" s="251"/>
      <c r="JD55" s="251"/>
      <c r="JE55" s="251"/>
      <c r="JF55" s="251"/>
      <c r="JG55" s="251"/>
      <c r="JH55" s="251"/>
      <c r="JI55" s="251"/>
    </row>
    <row r="56" spans="1:269">
      <c r="A56" s="252"/>
      <c r="B56" s="189"/>
      <c r="C56" s="265"/>
      <c r="D56" s="266"/>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1"/>
      <c r="IK56" s="251"/>
      <c r="IL56" s="251"/>
      <c r="IM56" s="251"/>
      <c r="IN56" s="251"/>
      <c r="IO56" s="251"/>
      <c r="IP56" s="251"/>
      <c r="IQ56" s="251"/>
      <c r="IR56" s="251"/>
      <c r="IS56" s="251"/>
      <c r="IT56" s="251"/>
      <c r="IU56" s="251"/>
      <c r="IV56" s="251"/>
      <c r="IW56" s="251"/>
      <c r="IX56" s="251"/>
      <c r="IY56" s="251"/>
      <c r="IZ56" s="251"/>
      <c r="JA56" s="251"/>
      <c r="JB56" s="251"/>
      <c r="JC56" s="251"/>
      <c r="JD56" s="251"/>
      <c r="JE56" s="251"/>
      <c r="JF56" s="251"/>
      <c r="JG56" s="251"/>
      <c r="JH56" s="251"/>
      <c r="JI56" s="251"/>
    </row>
    <row r="57" spans="1:269">
      <c r="A57" s="183"/>
      <c r="B57" s="191"/>
      <c r="C57" s="191"/>
      <c r="D57" s="522"/>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1"/>
      <c r="IK57" s="251"/>
      <c r="IL57" s="251"/>
      <c r="IM57" s="251"/>
      <c r="IN57" s="251"/>
      <c r="IO57" s="251"/>
      <c r="IP57" s="251"/>
      <c r="IQ57" s="251"/>
      <c r="IR57" s="251"/>
      <c r="IS57" s="251"/>
      <c r="IT57" s="251"/>
      <c r="IU57" s="251"/>
      <c r="IV57" s="251"/>
      <c r="IW57" s="251"/>
      <c r="IX57" s="251"/>
      <c r="IY57" s="251"/>
      <c r="IZ57" s="251"/>
      <c r="JA57" s="251"/>
      <c r="JB57" s="251"/>
      <c r="JC57" s="251"/>
      <c r="JD57" s="251"/>
      <c r="JE57" s="251"/>
      <c r="JF57" s="251"/>
      <c r="JG57" s="251"/>
      <c r="JH57" s="251"/>
      <c r="JI57" s="251"/>
    </row>
    <row r="58" spans="1:269">
      <c r="A58" s="183"/>
      <c r="B58" s="186"/>
      <c r="C58" s="186"/>
      <c r="D58" s="367"/>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1"/>
      <c r="IK58" s="251"/>
      <c r="IL58" s="251"/>
      <c r="IM58" s="251"/>
      <c r="IN58" s="251"/>
      <c r="IO58" s="251"/>
      <c r="IP58" s="251"/>
      <c r="IQ58" s="251"/>
      <c r="IR58" s="251"/>
      <c r="IS58" s="251"/>
      <c r="IT58" s="251"/>
      <c r="IU58" s="251"/>
      <c r="IV58" s="251"/>
      <c r="IW58" s="251"/>
      <c r="IX58" s="251"/>
      <c r="IY58" s="251"/>
      <c r="IZ58" s="251"/>
      <c r="JA58" s="251"/>
      <c r="JB58" s="251"/>
      <c r="JC58" s="251"/>
      <c r="JD58" s="251"/>
      <c r="JE58" s="251"/>
      <c r="JF58" s="251"/>
      <c r="JG58" s="251"/>
      <c r="JH58" s="251"/>
      <c r="JI58" s="251"/>
    </row>
    <row r="59" spans="1:269">
      <c r="A59" s="183"/>
      <c r="B59" s="186"/>
      <c r="C59" s="186"/>
      <c r="D59" s="367"/>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1"/>
      <c r="IK59" s="251"/>
      <c r="IL59" s="251"/>
      <c r="IM59" s="251"/>
      <c r="IN59" s="251"/>
      <c r="IO59" s="251"/>
      <c r="IP59" s="251"/>
      <c r="IQ59" s="251"/>
      <c r="IR59" s="251"/>
      <c r="IS59" s="251"/>
      <c r="IT59" s="251"/>
      <c r="IU59" s="251"/>
      <c r="IV59" s="251"/>
      <c r="IW59" s="251"/>
      <c r="IX59" s="251"/>
      <c r="IY59" s="251"/>
      <c r="IZ59" s="251"/>
      <c r="JA59" s="251"/>
      <c r="JB59" s="251"/>
      <c r="JC59" s="251"/>
      <c r="JD59" s="251"/>
      <c r="JE59" s="251"/>
      <c r="JF59" s="251"/>
      <c r="JG59" s="251"/>
      <c r="JH59" s="251"/>
      <c r="JI59" s="251"/>
    </row>
    <row r="60" spans="1:269">
      <c r="A60" s="183"/>
      <c r="B60" s="186"/>
      <c r="C60" s="186"/>
      <c r="D60" s="367"/>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1"/>
      <c r="IK60" s="251"/>
      <c r="IL60" s="251"/>
      <c r="IM60" s="251"/>
      <c r="IN60" s="251"/>
      <c r="IO60" s="251"/>
      <c r="IP60" s="251"/>
      <c r="IQ60" s="251"/>
      <c r="IR60" s="251"/>
      <c r="IS60" s="251"/>
      <c r="IT60" s="251"/>
      <c r="IU60" s="251"/>
      <c r="IV60" s="251"/>
      <c r="IW60" s="251"/>
      <c r="IX60" s="251"/>
      <c r="IY60" s="251"/>
      <c r="IZ60" s="251"/>
      <c r="JA60" s="251"/>
      <c r="JB60" s="251"/>
      <c r="JC60" s="251"/>
      <c r="JD60" s="251"/>
      <c r="JE60" s="251"/>
      <c r="JF60" s="251"/>
      <c r="JG60" s="251"/>
      <c r="JH60" s="251"/>
      <c r="JI60" s="251"/>
    </row>
    <row r="61" spans="1:269">
      <c r="A61" s="183"/>
      <c r="B61" s="186"/>
      <c r="C61" s="186"/>
      <c r="D61" s="367"/>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1"/>
      <c r="IK61" s="251"/>
      <c r="IL61" s="251"/>
      <c r="IM61" s="251"/>
      <c r="IN61" s="251"/>
      <c r="IO61" s="251"/>
      <c r="IP61" s="251"/>
      <c r="IQ61" s="251"/>
      <c r="IR61" s="251"/>
      <c r="IS61" s="251"/>
      <c r="IT61" s="251"/>
      <c r="IU61" s="251"/>
      <c r="IV61" s="251"/>
      <c r="IW61" s="251"/>
      <c r="IX61" s="251"/>
      <c r="IY61" s="251"/>
      <c r="IZ61" s="251"/>
      <c r="JA61" s="251"/>
      <c r="JB61" s="251"/>
      <c r="JC61" s="251"/>
      <c r="JD61" s="251"/>
      <c r="JE61" s="251"/>
      <c r="JF61" s="251"/>
      <c r="JG61" s="251"/>
      <c r="JH61" s="251"/>
      <c r="JI61" s="251"/>
    </row>
    <row r="62" spans="1:269">
      <c r="A62" s="183"/>
      <c r="B62" s="186"/>
      <c r="C62" s="186"/>
      <c r="D62" s="367"/>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1"/>
      <c r="IK62" s="251"/>
      <c r="IL62" s="251"/>
      <c r="IM62" s="251"/>
      <c r="IN62" s="251"/>
      <c r="IO62" s="251"/>
      <c r="IP62" s="251"/>
      <c r="IQ62" s="251"/>
      <c r="IR62" s="251"/>
      <c r="IS62" s="251"/>
      <c r="IT62" s="251"/>
      <c r="IU62" s="251"/>
      <c r="IV62" s="251"/>
      <c r="IW62" s="251"/>
      <c r="IX62" s="251"/>
      <c r="IY62" s="251"/>
      <c r="IZ62" s="251"/>
      <c r="JA62" s="251"/>
      <c r="JB62" s="251"/>
      <c r="JC62" s="251"/>
      <c r="JD62" s="251"/>
      <c r="JE62" s="251"/>
      <c r="JF62" s="251"/>
      <c r="JG62" s="251"/>
      <c r="JH62" s="251"/>
      <c r="JI62" s="251"/>
    </row>
    <row r="63" spans="1:269">
      <c r="A63" s="183"/>
      <c r="B63" s="186"/>
      <c r="C63" s="186"/>
      <c r="D63" s="367"/>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1"/>
      <c r="IK63" s="251"/>
      <c r="IL63" s="251"/>
      <c r="IM63" s="251"/>
      <c r="IN63" s="251"/>
      <c r="IO63" s="251"/>
      <c r="IP63" s="251"/>
      <c r="IQ63" s="251"/>
      <c r="IR63" s="251"/>
      <c r="IS63" s="251"/>
      <c r="IT63" s="251"/>
      <c r="IU63" s="251"/>
      <c r="IV63" s="251"/>
      <c r="IW63" s="251"/>
      <c r="IX63" s="251"/>
      <c r="IY63" s="251"/>
      <c r="IZ63" s="251"/>
      <c r="JA63" s="251"/>
      <c r="JB63" s="251"/>
      <c r="JC63" s="251"/>
      <c r="JD63" s="251"/>
      <c r="JE63" s="251"/>
      <c r="JF63" s="251"/>
      <c r="JG63" s="251"/>
      <c r="JH63" s="251"/>
      <c r="JI63" s="251"/>
    </row>
    <row r="64" spans="1:269">
      <c r="A64" s="183"/>
      <c r="B64" s="186"/>
      <c r="C64" s="186"/>
      <c r="D64" s="367"/>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1"/>
      <c r="IK64" s="251"/>
      <c r="IL64" s="251"/>
      <c r="IM64" s="251"/>
      <c r="IN64" s="251"/>
      <c r="IO64" s="251"/>
      <c r="IP64" s="251"/>
      <c r="IQ64" s="251"/>
      <c r="IR64" s="251"/>
      <c r="IS64" s="251"/>
      <c r="IT64" s="251"/>
      <c r="IU64" s="251"/>
      <c r="IV64" s="251"/>
      <c r="IW64" s="251"/>
      <c r="IX64" s="251"/>
      <c r="IY64" s="251"/>
      <c r="IZ64" s="251"/>
      <c r="JA64" s="251"/>
      <c r="JB64" s="251"/>
      <c r="JC64" s="251"/>
      <c r="JD64" s="251"/>
      <c r="JE64" s="251"/>
      <c r="JF64" s="251"/>
      <c r="JG64" s="251"/>
      <c r="JH64" s="251"/>
      <c r="JI64" s="251"/>
    </row>
    <row r="65" spans="1:269">
      <c r="A65" s="183"/>
      <c r="B65" s="186"/>
      <c r="C65" s="186"/>
      <c r="D65" s="367"/>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1"/>
      <c r="IK65" s="251"/>
      <c r="IL65" s="251"/>
      <c r="IM65" s="251"/>
      <c r="IN65" s="251"/>
      <c r="IO65" s="251"/>
      <c r="IP65" s="251"/>
      <c r="IQ65" s="251"/>
      <c r="IR65" s="251"/>
      <c r="IS65" s="251"/>
      <c r="IT65" s="251"/>
      <c r="IU65" s="251"/>
      <c r="IV65" s="251"/>
      <c r="IW65" s="251"/>
      <c r="IX65" s="251"/>
      <c r="IY65" s="251"/>
      <c r="IZ65" s="251"/>
      <c r="JA65" s="251"/>
      <c r="JB65" s="251"/>
      <c r="JC65" s="251"/>
      <c r="JD65" s="251"/>
      <c r="JE65" s="251"/>
      <c r="JF65" s="251"/>
      <c r="JG65" s="251"/>
      <c r="JH65" s="251"/>
      <c r="JI65" s="251"/>
    </row>
    <row r="66" spans="1:269">
      <c r="A66" s="183"/>
      <c r="B66" s="186"/>
      <c r="C66" s="186"/>
      <c r="D66" s="367"/>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1"/>
      <c r="IK66" s="251"/>
      <c r="IL66" s="251"/>
      <c r="IM66" s="251"/>
      <c r="IN66" s="251"/>
      <c r="IO66" s="251"/>
      <c r="IP66" s="251"/>
      <c r="IQ66" s="251"/>
      <c r="IR66" s="251"/>
      <c r="IS66" s="251"/>
      <c r="IT66" s="251"/>
      <c r="IU66" s="251"/>
      <c r="IV66" s="251"/>
      <c r="IW66" s="251"/>
      <c r="IX66" s="251"/>
      <c r="IY66" s="251"/>
      <c r="IZ66" s="251"/>
      <c r="JA66" s="251"/>
      <c r="JB66" s="251"/>
      <c r="JC66" s="251"/>
      <c r="JD66" s="251"/>
      <c r="JE66" s="251"/>
      <c r="JF66" s="251"/>
      <c r="JG66" s="251"/>
      <c r="JH66" s="251"/>
      <c r="JI66" s="251"/>
    </row>
    <row r="67" spans="1:269">
      <c r="A67" s="183"/>
      <c r="B67" s="186"/>
      <c r="C67" s="186"/>
      <c r="D67" s="367"/>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1"/>
      <c r="IK67" s="251"/>
      <c r="IL67" s="251"/>
      <c r="IM67" s="251"/>
      <c r="IN67" s="251"/>
      <c r="IO67" s="251"/>
      <c r="IP67" s="251"/>
      <c r="IQ67" s="251"/>
      <c r="IR67" s="251"/>
      <c r="IS67" s="251"/>
      <c r="IT67" s="251"/>
      <c r="IU67" s="251"/>
      <c r="IV67" s="251"/>
      <c r="IW67" s="251"/>
      <c r="IX67" s="251"/>
      <c r="IY67" s="251"/>
      <c r="IZ67" s="251"/>
      <c r="JA67" s="251"/>
      <c r="JB67" s="251"/>
      <c r="JC67" s="251"/>
      <c r="JD67" s="251"/>
      <c r="JE67" s="251"/>
      <c r="JF67" s="251"/>
      <c r="JG67" s="251"/>
      <c r="JH67" s="251"/>
      <c r="JI67" s="251"/>
    </row>
    <row r="68" spans="1:269">
      <c r="A68" s="183"/>
      <c r="B68" s="186"/>
      <c r="C68" s="186"/>
      <c r="D68" s="367"/>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1"/>
      <c r="IK68" s="251"/>
      <c r="IL68" s="251"/>
      <c r="IM68" s="251"/>
      <c r="IN68" s="251"/>
      <c r="IO68" s="251"/>
      <c r="IP68" s="251"/>
      <c r="IQ68" s="251"/>
      <c r="IR68" s="251"/>
      <c r="IS68" s="251"/>
      <c r="IT68" s="251"/>
      <c r="IU68" s="251"/>
      <c r="IV68" s="251"/>
      <c r="IW68" s="251"/>
      <c r="IX68" s="251"/>
      <c r="IY68" s="251"/>
      <c r="IZ68" s="251"/>
      <c r="JA68" s="251"/>
      <c r="JB68" s="251"/>
      <c r="JC68" s="251"/>
      <c r="JD68" s="251"/>
      <c r="JE68" s="251"/>
      <c r="JF68" s="251"/>
      <c r="JG68" s="251"/>
      <c r="JH68" s="251"/>
      <c r="JI68" s="251"/>
    </row>
    <row r="69" spans="1:269">
      <c r="A69" s="183"/>
      <c r="B69" s="186"/>
      <c r="C69" s="186"/>
      <c r="D69" s="367"/>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1"/>
      <c r="IK69" s="251"/>
      <c r="IL69" s="251"/>
      <c r="IM69" s="251"/>
      <c r="IN69" s="251"/>
      <c r="IO69" s="251"/>
      <c r="IP69" s="251"/>
      <c r="IQ69" s="251"/>
      <c r="IR69" s="251"/>
      <c r="IS69" s="251"/>
      <c r="IT69" s="251"/>
      <c r="IU69" s="251"/>
      <c r="IV69" s="251"/>
      <c r="IW69" s="251"/>
      <c r="IX69" s="251"/>
      <c r="IY69" s="251"/>
      <c r="IZ69" s="251"/>
      <c r="JA69" s="251"/>
      <c r="JB69" s="251"/>
      <c r="JC69" s="251"/>
      <c r="JD69" s="251"/>
      <c r="JE69" s="251"/>
      <c r="JF69" s="251"/>
      <c r="JG69" s="251"/>
      <c r="JH69" s="251"/>
      <c r="JI69" s="251"/>
    </row>
    <row r="70" spans="1:269">
      <c r="A70" s="183"/>
      <c r="B70" s="186"/>
      <c r="C70" s="186"/>
      <c r="D70" s="367"/>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row>
    <row r="71" spans="1:269">
      <c r="A71" s="183"/>
      <c r="B71" s="186"/>
      <c r="C71" s="186"/>
      <c r="D71" s="367"/>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row>
    <row r="72" spans="1:269">
      <c r="A72" s="189"/>
      <c r="B72" s="190"/>
      <c r="C72" s="190"/>
      <c r="D72" s="369"/>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row>
    <row r="73" spans="1:269">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row>
    <row r="74" spans="1:269">
      <c r="A74" s="251"/>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row>
    <row r="75" spans="1:269">
      <c r="A75" s="251"/>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row>
    <row r="76" spans="1:269">
      <c r="A76" s="251"/>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row>
    <row r="77" spans="1:269">
      <c r="A77" s="251"/>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row>
    <row r="78" spans="1:269">
      <c r="A78" s="251"/>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row>
    <row r="79" spans="1:269">
      <c r="A79" s="251"/>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row>
    <row r="80" spans="1:269">
      <c r="A80" s="251"/>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row>
    <row r="81" spans="1:269">
      <c r="A81" s="251"/>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row>
    <row r="82" spans="1:269">
      <c r="A82" s="251"/>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row>
    <row r="83" spans="1:269">
      <c r="A83" s="251"/>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row>
    <row r="84" spans="1:269">
      <c r="A84" s="251"/>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row>
    <row r="85" spans="1:269">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row>
    <row r="86" spans="1:269">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row>
    <row r="87" spans="1:269">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row>
    <row r="88" spans="1:269">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row>
    <row r="89" spans="1:269">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row>
    <row r="90" spans="1:269">
      <c r="A90" s="251"/>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row>
    <row r="91" spans="1:269">
      <c r="A91" s="251"/>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1"/>
      <c r="CT91" s="251"/>
      <c r="CU91" s="251"/>
      <c r="CV91" s="251"/>
      <c r="CW91" s="251"/>
      <c r="CX91" s="251"/>
      <c r="CY91" s="251"/>
      <c r="CZ91" s="251"/>
      <c r="DA91" s="251"/>
      <c r="DB91" s="251"/>
      <c r="DC91" s="251"/>
      <c r="DD91" s="251"/>
      <c r="DE91" s="251"/>
      <c r="DF91" s="251"/>
      <c r="DG91" s="251"/>
      <c r="DH91" s="251"/>
      <c r="DI91" s="251"/>
      <c r="DJ91" s="251"/>
      <c r="DK91" s="251"/>
      <c r="DL91" s="251"/>
      <c r="DM91" s="251"/>
      <c r="DN91" s="251"/>
      <c r="DO91" s="251"/>
      <c r="DP91" s="251"/>
      <c r="DQ91" s="251"/>
      <c r="DR91" s="251"/>
      <c r="DS91" s="251"/>
      <c r="DT91" s="251"/>
      <c r="DU91" s="251"/>
      <c r="DV91" s="251"/>
      <c r="DW91" s="251"/>
      <c r="DX91" s="251"/>
      <c r="DY91" s="251"/>
      <c r="DZ91" s="251"/>
      <c r="EA91" s="251"/>
      <c r="EB91" s="251"/>
      <c r="EC91" s="251"/>
      <c r="ED91" s="251"/>
      <c r="EE91" s="251"/>
      <c r="EF91" s="251"/>
      <c r="EG91" s="251"/>
      <c r="EH91" s="251"/>
      <c r="EI91" s="251"/>
      <c r="EJ91" s="251"/>
      <c r="EK91" s="251"/>
      <c r="EL91" s="251"/>
      <c r="EM91" s="251"/>
      <c r="EN91" s="251"/>
      <c r="EO91" s="251"/>
      <c r="EP91" s="251"/>
      <c r="EQ91" s="251"/>
      <c r="ER91" s="251"/>
      <c r="ES91" s="251"/>
      <c r="ET91" s="251"/>
      <c r="EU91" s="251"/>
      <c r="EV91" s="251"/>
      <c r="EW91" s="251"/>
      <c r="EX91" s="251"/>
      <c r="EY91" s="251"/>
      <c r="EZ91" s="251"/>
      <c r="FA91" s="251"/>
      <c r="FB91" s="251"/>
      <c r="FC91" s="251"/>
      <c r="FD91" s="251"/>
      <c r="FE91" s="251"/>
      <c r="FF91" s="251"/>
      <c r="FG91" s="251"/>
      <c r="FH91" s="251"/>
      <c r="FI91" s="251"/>
      <c r="FJ91" s="251"/>
      <c r="FK91" s="251"/>
      <c r="FL91" s="251"/>
      <c r="FM91" s="251"/>
      <c r="FN91" s="251"/>
      <c r="FO91" s="251"/>
      <c r="FP91" s="251"/>
      <c r="FQ91" s="251"/>
      <c r="FR91" s="251"/>
      <c r="FS91" s="251"/>
      <c r="FT91" s="251"/>
      <c r="FU91" s="251"/>
      <c r="FV91" s="251"/>
      <c r="FW91" s="251"/>
      <c r="FX91" s="251"/>
      <c r="FY91" s="251"/>
      <c r="FZ91" s="251"/>
      <c r="GA91" s="251"/>
      <c r="GB91" s="251"/>
      <c r="GC91" s="251"/>
      <c r="GD91" s="251"/>
      <c r="GE91" s="251"/>
      <c r="GF91" s="251"/>
      <c r="GG91" s="251"/>
      <c r="GH91" s="251"/>
      <c r="GI91" s="251"/>
      <c r="GJ91" s="251"/>
      <c r="GK91" s="251"/>
      <c r="GL91" s="251"/>
      <c r="GM91" s="251"/>
      <c r="GN91" s="251"/>
      <c r="GO91" s="251"/>
      <c r="GP91" s="251"/>
      <c r="GQ91" s="251"/>
      <c r="GR91" s="251"/>
      <c r="GS91" s="251"/>
      <c r="GT91" s="251"/>
      <c r="GU91" s="251"/>
      <c r="GV91" s="251"/>
      <c r="GW91" s="251"/>
      <c r="GX91" s="251"/>
      <c r="GY91" s="251"/>
      <c r="GZ91" s="251"/>
      <c r="HA91" s="251"/>
      <c r="HB91" s="251"/>
      <c r="HC91" s="251"/>
      <c r="HD91" s="251"/>
      <c r="HE91" s="251"/>
      <c r="HF91" s="251"/>
      <c r="HG91" s="251"/>
      <c r="HH91" s="251"/>
      <c r="HI91" s="251"/>
      <c r="HJ91" s="251"/>
      <c r="HK91" s="251"/>
      <c r="HL91" s="251"/>
      <c r="HM91" s="251"/>
      <c r="HN91" s="251"/>
      <c r="HO91" s="251"/>
      <c r="HP91" s="251"/>
      <c r="HQ91" s="251"/>
      <c r="HR91" s="251"/>
      <c r="HS91" s="251"/>
      <c r="HT91" s="251"/>
      <c r="HU91" s="251"/>
      <c r="HV91" s="251"/>
      <c r="HW91" s="251"/>
      <c r="HX91" s="251"/>
      <c r="HY91" s="251"/>
      <c r="HZ91" s="251"/>
      <c r="IA91" s="251"/>
      <c r="IB91" s="251"/>
      <c r="IC91" s="251"/>
      <c r="ID91" s="251"/>
      <c r="IE91" s="251"/>
      <c r="IF91" s="251"/>
      <c r="IG91" s="251"/>
      <c r="IH91" s="251"/>
      <c r="II91" s="251"/>
      <c r="IJ91" s="251"/>
      <c r="IK91" s="251"/>
      <c r="IL91" s="251"/>
      <c r="IM91" s="251"/>
      <c r="IN91" s="251"/>
      <c r="IO91" s="251"/>
      <c r="IP91" s="251"/>
      <c r="IQ91" s="251"/>
      <c r="IR91" s="251"/>
      <c r="IS91" s="251"/>
      <c r="IT91" s="251"/>
      <c r="IU91" s="251"/>
      <c r="IV91" s="251"/>
      <c r="IW91" s="251"/>
      <c r="IX91" s="251"/>
      <c r="IY91" s="251"/>
      <c r="IZ91" s="251"/>
      <c r="JA91" s="251"/>
      <c r="JB91" s="251"/>
      <c r="JC91" s="251"/>
      <c r="JD91" s="251"/>
      <c r="JE91" s="251"/>
      <c r="JF91" s="251"/>
      <c r="JG91" s="251"/>
      <c r="JH91" s="251"/>
      <c r="JI91" s="251"/>
    </row>
    <row r="92" spans="1:269">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251"/>
      <c r="CK92" s="251"/>
      <c r="CL92" s="251"/>
      <c r="CM92" s="251"/>
      <c r="CN92" s="251"/>
      <c r="CO92" s="251"/>
      <c r="CP92" s="251"/>
      <c r="CQ92" s="251"/>
      <c r="CR92" s="251"/>
      <c r="CS92" s="251"/>
      <c r="CT92" s="251"/>
      <c r="CU92" s="251"/>
      <c r="CV92" s="251"/>
      <c r="CW92" s="251"/>
      <c r="CX92" s="251"/>
      <c r="CY92" s="251"/>
      <c r="CZ92" s="251"/>
      <c r="DA92" s="251"/>
      <c r="DB92" s="251"/>
      <c r="DC92" s="251"/>
      <c r="DD92" s="251"/>
      <c r="DE92" s="251"/>
      <c r="DF92" s="251"/>
      <c r="DG92" s="251"/>
      <c r="DH92" s="251"/>
      <c r="DI92" s="251"/>
      <c r="DJ92" s="251"/>
      <c r="DK92" s="251"/>
      <c r="DL92" s="251"/>
      <c r="DM92" s="251"/>
      <c r="DN92" s="251"/>
      <c r="DO92" s="251"/>
      <c r="DP92" s="251"/>
      <c r="DQ92" s="251"/>
      <c r="DR92" s="251"/>
      <c r="DS92" s="251"/>
      <c r="DT92" s="251"/>
      <c r="DU92" s="251"/>
      <c r="DV92" s="251"/>
      <c r="DW92" s="251"/>
      <c r="DX92" s="251"/>
      <c r="DY92" s="251"/>
      <c r="DZ92" s="251"/>
      <c r="EA92" s="251"/>
      <c r="EB92" s="251"/>
      <c r="EC92" s="251"/>
      <c r="ED92" s="251"/>
      <c r="EE92" s="251"/>
      <c r="EF92" s="251"/>
      <c r="EG92" s="251"/>
      <c r="EH92" s="251"/>
      <c r="EI92" s="251"/>
      <c r="EJ92" s="251"/>
      <c r="EK92" s="251"/>
      <c r="EL92" s="251"/>
      <c r="EM92" s="251"/>
      <c r="EN92" s="251"/>
      <c r="EO92" s="251"/>
      <c r="EP92" s="251"/>
      <c r="EQ92" s="251"/>
      <c r="ER92" s="251"/>
      <c r="ES92" s="251"/>
      <c r="ET92" s="251"/>
      <c r="EU92" s="251"/>
      <c r="EV92" s="251"/>
      <c r="EW92" s="251"/>
      <c r="EX92" s="251"/>
      <c r="EY92" s="251"/>
      <c r="EZ92" s="251"/>
      <c r="FA92" s="251"/>
      <c r="FB92" s="251"/>
      <c r="FC92" s="251"/>
      <c r="FD92" s="251"/>
      <c r="FE92" s="251"/>
      <c r="FF92" s="251"/>
      <c r="FG92" s="251"/>
      <c r="FH92" s="251"/>
      <c r="FI92" s="251"/>
      <c r="FJ92" s="251"/>
      <c r="FK92" s="251"/>
      <c r="FL92" s="251"/>
      <c r="FM92" s="251"/>
      <c r="FN92" s="251"/>
      <c r="FO92" s="251"/>
      <c r="FP92" s="251"/>
      <c r="FQ92" s="251"/>
      <c r="FR92" s="251"/>
      <c r="FS92" s="251"/>
      <c r="FT92" s="251"/>
      <c r="FU92" s="251"/>
      <c r="FV92" s="251"/>
      <c r="FW92" s="251"/>
      <c r="FX92" s="251"/>
      <c r="FY92" s="251"/>
      <c r="FZ92" s="251"/>
      <c r="GA92" s="251"/>
      <c r="GB92" s="251"/>
      <c r="GC92" s="251"/>
      <c r="GD92" s="251"/>
      <c r="GE92" s="251"/>
      <c r="GF92" s="251"/>
      <c r="GG92" s="251"/>
      <c r="GH92" s="251"/>
      <c r="GI92" s="251"/>
      <c r="GJ92" s="251"/>
      <c r="GK92" s="251"/>
      <c r="GL92" s="251"/>
      <c r="GM92" s="251"/>
      <c r="GN92" s="251"/>
      <c r="GO92" s="251"/>
      <c r="GP92" s="251"/>
      <c r="GQ92" s="251"/>
      <c r="GR92" s="251"/>
      <c r="GS92" s="251"/>
      <c r="GT92" s="251"/>
      <c r="GU92" s="251"/>
      <c r="GV92" s="251"/>
      <c r="GW92" s="251"/>
      <c r="GX92" s="251"/>
      <c r="GY92" s="251"/>
      <c r="GZ92" s="251"/>
      <c r="HA92" s="251"/>
      <c r="HB92" s="251"/>
      <c r="HC92" s="251"/>
      <c r="HD92" s="251"/>
      <c r="HE92" s="251"/>
      <c r="HF92" s="251"/>
      <c r="HG92" s="251"/>
      <c r="HH92" s="251"/>
      <c r="HI92" s="251"/>
      <c r="HJ92" s="251"/>
      <c r="HK92" s="251"/>
      <c r="HL92" s="251"/>
      <c r="HM92" s="251"/>
      <c r="HN92" s="251"/>
      <c r="HO92" s="251"/>
      <c r="HP92" s="251"/>
      <c r="HQ92" s="251"/>
      <c r="HR92" s="251"/>
      <c r="HS92" s="251"/>
      <c r="HT92" s="251"/>
      <c r="HU92" s="251"/>
      <c r="HV92" s="251"/>
      <c r="HW92" s="251"/>
      <c r="HX92" s="251"/>
      <c r="HY92" s="251"/>
      <c r="HZ92" s="251"/>
      <c r="IA92" s="251"/>
      <c r="IB92" s="251"/>
      <c r="IC92" s="251"/>
      <c r="ID92" s="251"/>
      <c r="IE92" s="251"/>
      <c r="IF92" s="251"/>
      <c r="IG92" s="251"/>
      <c r="IH92" s="251"/>
      <c r="II92" s="251"/>
      <c r="IJ92" s="251"/>
      <c r="IK92" s="251"/>
      <c r="IL92" s="251"/>
      <c r="IM92" s="251"/>
      <c r="IN92" s="251"/>
      <c r="IO92" s="251"/>
      <c r="IP92" s="251"/>
      <c r="IQ92" s="251"/>
      <c r="IR92" s="251"/>
      <c r="IS92" s="251"/>
      <c r="IT92" s="251"/>
      <c r="IU92" s="251"/>
      <c r="IV92" s="251"/>
      <c r="IW92" s="251"/>
      <c r="IX92" s="251"/>
      <c r="IY92" s="251"/>
      <c r="IZ92" s="251"/>
      <c r="JA92" s="251"/>
      <c r="JB92" s="251"/>
      <c r="JC92" s="251"/>
      <c r="JD92" s="251"/>
      <c r="JE92" s="251"/>
      <c r="JF92" s="251"/>
      <c r="JG92" s="251"/>
      <c r="JH92" s="251"/>
      <c r="JI92" s="251"/>
    </row>
    <row r="93" spans="1:269">
      <c r="A93" s="251"/>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1"/>
      <c r="DI93" s="251"/>
      <c r="DJ93" s="251"/>
      <c r="DK93" s="251"/>
      <c r="DL93" s="251"/>
      <c r="DM93" s="251"/>
      <c r="DN93" s="251"/>
      <c r="DO93" s="251"/>
      <c r="DP93" s="251"/>
      <c r="DQ93" s="251"/>
      <c r="DR93" s="251"/>
      <c r="DS93" s="251"/>
      <c r="DT93" s="251"/>
      <c r="DU93" s="251"/>
      <c r="DV93" s="251"/>
      <c r="DW93" s="251"/>
      <c r="DX93" s="251"/>
      <c r="DY93" s="251"/>
      <c r="DZ93" s="251"/>
      <c r="EA93" s="251"/>
      <c r="EB93" s="251"/>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1"/>
      <c r="FF93" s="251"/>
      <c r="FG93" s="251"/>
      <c r="FH93" s="251"/>
      <c r="FI93" s="251"/>
      <c r="FJ93" s="251"/>
      <c r="FK93" s="251"/>
      <c r="FL93" s="251"/>
      <c r="FM93" s="251"/>
      <c r="FN93" s="251"/>
      <c r="FO93" s="251"/>
      <c r="FP93" s="251"/>
      <c r="FQ93" s="251"/>
      <c r="FR93" s="251"/>
      <c r="FS93" s="251"/>
      <c r="FT93" s="251"/>
      <c r="FU93" s="251"/>
      <c r="FV93" s="251"/>
      <c r="FW93" s="251"/>
      <c r="FX93" s="251"/>
      <c r="FY93" s="251"/>
      <c r="FZ93" s="251"/>
      <c r="GA93" s="251"/>
      <c r="GB93" s="251"/>
      <c r="GC93" s="251"/>
      <c r="GD93" s="251"/>
      <c r="GE93" s="251"/>
      <c r="GF93" s="251"/>
      <c r="GG93" s="251"/>
      <c r="GH93" s="251"/>
      <c r="GI93" s="251"/>
      <c r="GJ93" s="251"/>
      <c r="GK93" s="251"/>
      <c r="GL93" s="251"/>
      <c r="GM93" s="251"/>
      <c r="GN93" s="251"/>
      <c r="GO93" s="251"/>
      <c r="GP93" s="251"/>
      <c r="GQ93" s="251"/>
      <c r="GR93" s="251"/>
      <c r="GS93" s="251"/>
      <c r="GT93" s="251"/>
      <c r="GU93" s="251"/>
      <c r="GV93" s="251"/>
      <c r="GW93" s="251"/>
      <c r="GX93" s="251"/>
      <c r="GY93" s="251"/>
      <c r="GZ93" s="251"/>
      <c r="HA93" s="251"/>
      <c r="HB93" s="251"/>
      <c r="HC93" s="251"/>
      <c r="HD93" s="251"/>
      <c r="HE93" s="251"/>
      <c r="HF93" s="251"/>
      <c r="HG93" s="251"/>
      <c r="HH93" s="251"/>
      <c r="HI93" s="251"/>
      <c r="HJ93" s="251"/>
      <c r="HK93" s="251"/>
      <c r="HL93" s="251"/>
      <c r="HM93" s="251"/>
      <c r="HN93" s="251"/>
      <c r="HO93" s="251"/>
      <c r="HP93" s="251"/>
      <c r="HQ93" s="251"/>
      <c r="HR93" s="251"/>
      <c r="HS93" s="251"/>
      <c r="HT93" s="251"/>
      <c r="HU93" s="251"/>
      <c r="HV93" s="251"/>
      <c r="HW93" s="251"/>
      <c r="HX93" s="251"/>
      <c r="HY93" s="251"/>
      <c r="HZ93" s="251"/>
      <c r="IA93" s="251"/>
      <c r="IB93" s="251"/>
      <c r="IC93" s="251"/>
      <c r="ID93" s="251"/>
      <c r="IE93" s="251"/>
      <c r="IF93" s="251"/>
      <c r="IG93" s="251"/>
      <c r="IH93" s="251"/>
      <c r="II93" s="251"/>
      <c r="IJ93" s="251"/>
      <c r="IK93" s="251"/>
      <c r="IL93" s="251"/>
      <c r="IM93" s="251"/>
      <c r="IN93" s="251"/>
      <c r="IO93" s="251"/>
      <c r="IP93" s="251"/>
      <c r="IQ93" s="251"/>
      <c r="IR93" s="251"/>
      <c r="IS93" s="251"/>
      <c r="IT93" s="251"/>
      <c r="IU93" s="251"/>
      <c r="IV93" s="251"/>
      <c r="IW93" s="251"/>
      <c r="IX93" s="251"/>
      <c r="IY93" s="251"/>
      <c r="IZ93" s="251"/>
      <c r="JA93" s="251"/>
      <c r="JB93" s="251"/>
      <c r="JC93" s="251"/>
      <c r="JD93" s="251"/>
      <c r="JE93" s="251"/>
      <c r="JF93" s="251"/>
      <c r="JG93" s="251"/>
      <c r="JH93" s="251"/>
      <c r="JI93" s="251"/>
    </row>
    <row r="94" spans="1:269">
      <c r="A94" s="251"/>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1"/>
      <c r="DE94" s="251"/>
      <c r="DF94" s="251"/>
      <c r="DG94" s="251"/>
      <c r="DH94" s="251"/>
      <c r="DI94" s="251"/>
      <c r="DJ94" s="251"/>
      <c r="DK94" s="251"/>
      <c r="DL94" s="251"/>
      <c r="DM94" s="251"/>
      <c r="DN94" s="251"/>
      <c r="DO94" s="251"/>
      <c r="DP94" s="251"/>
      <c r="DQ94" s="251"/>
      <c r="DR94" s="251"/>
      <c r="DS94" s="251"/>
      <c r="DT94" s="251"/>
      <c r="DU94" s="251"/>
      <c r="DV94" s="251"/>
      <c r="DW94" s="251"/>
      <c r="DX94" s="251"/>
      <c r="DY94" s="251"/>
      <c r="DZ94" s="251"/>
      <c r="EA94" s="251"/>
      <c r="EB94" s="251"/>
      <c r="EC94" s="251"/>
      <c r="ED94" s="251"/>
      <c r="EE94" s="251"/>
      <c r="EF94" s="251"/>
      <c r="EG94" s="251"/>
      <c r="EH94" s="251"/>
      <c r="EI94" s="251"/>
      <c r="EJ94" s="251"/>
      <c r="EK94" s="251"/>
      <c r="EL94" s="251"/>
      <c r="EM94" s="251"/>
      <c r="EN94" s="251"/>
      <c r="EO94" s="251"/>
      <c r="EP94" s="251"/>
      <c r="EQ94" s="251"/>
      <c r="ER94" s="251"/>
      <c r="ES94" s="251"/>
      <c r="ET94" s="251"/>
      <c r="EU94" s="251"/>
      <c r="EV94" s="251"/>
      <c r="EW94" s="251"/>
      <c r="EX94" s="251"/>
      <c r="EY94" s="251"/>
      <c r="EZ94" s="251"/>
      <c r="FA94" s="251"/>
      <c r="FB94" s="251"/>
      <c r="FC94" s="251"/>
      <c r="FD94" s="251"/>
      <c r="FE94" s="251"/>
      <c r="FF94" s="251"/>
      <c r="FG94" s="251"/>
      <c r="FH94" s="251"/>
      <c r="FI94" s="251"/>
      <c r="FJ94" s="251"/>
      <c r="FK94" s="251"/>
      <c r="FL94" s="251"/>
      <c r="FM94" s="251"/>
      <c r="FN94" s="251"/>
      <c r="FO94" s="251"/>
      <c r="FP94" s="251"/>
      <c r="FQ94" s="251"/>
      <c r="FR94" s="251"/>
      <c r="FS94" s="251"/>
      <c r="FT94" s="251"/>
      <c r="FU94" s="251"/>
      <c r="FV94" s="251"/>
      <c r="FW94" s="251"/>
      <c r="FX94" s="251"/>
      <c r="FY94" s="251"/>
      <c r="FZ94" s="251"/>
      <c r="GA94" s="251"/>
      <c r="GB94" s="251"/>
      <c r="GC94" s="251"/>
      <c r="GD94" s="251"/>
      <c r="GE94" s="251"/>
      <c r="GF94" s="251"/>
      <c r="GG94" s="251"/>
      <c r="GH94" s="251"/>
      <c r="GI94" s="251"/>
      <c r="GJ94" s="251"/>
      <c r="GK94" s="251"/>
      <c r="GL94" s="251"/>
      <c r="GM94" s="251"/>
      <c r="GN94" s="251"/>
      <c r="GO94" s="251"/>
      <c r="GP94" s="251"/>
      <c r="GQ94" s="251"/>
      <c r="GR94" s="251"/>
      <c r="GS94" s="251"/>
      <c r="GT94" s="251"/>
      <c r="GU94" s="251"/>
      <c r="GV94" s="251"/>
      <c r="GW94" s="251"/>
      <c r="GX94" s="251"/>
      <c r="GY94" s="251"/>
      <c r="GZ94" s="251"/>
      <c r="HA94" s="251"/>
      <c r="HB94" s="251"/>
      <c r="HC94" s="251"/>
      <c r="HD94" s="251"/>
      <c r="HE94" s="251"/>
      <c r="HF94" s="251"/>
      <c r="HG94" s="251"/>
      <c r="HH94" s="251"/>
      <c r="HI94" s="251"/>
      <c r="HJ94" s="251"/>
      <c r="HK94" s="251"/>
      <c r="HL94" s="251"/>
      <c r="HM94" s="251"/>
      <c r="HN94" s="251"/>
      <c r="HO94" s="251"/>
      <c r="HP94" s="251"/>
      <c r="HQ94" s="251"/>
      <c r="HR94" s="251"/>
      <c r="HS94" s="251"/>
      <c r="HT94" s="251"/>
      <c r="HU94" s="251"/>
      <c r="HV94" s="251"/>
      <c r="HW94" s="251"/>
      <c r="HX94" s="251"/>
      <c r="HY94" s="251"/>
      <c r="HZ94" s="251"/>
      <c r="IA94" s="251"/>
      <c r="IB94" s="251"/>
      <c r="IC94" s="251"/>
      <c r="ID94" s="251"/>
      <c r="IE94" s="251"/>
      <c r="IF94" s="251"/>
      <c r="IG94" s="251"/>
      <c r="IH94" s="251"/>
      <c r="II94" s="251"/>
      <c r="IJ94" s="251"/>
      <c r="IK94" s="251"/>
      <c r="IL94" s="251"/>
      <c r="IM94" s="251"/>
      <c r="IN94" s="251"/>
      <c r="IO94" s="251"/>
      <c r="IP94" s="251"/>
      <c r="IQ94" s="251"/>
      <c r="IR94" s="251"/>
      <c r="IS94" s="251"/>
      <c r="IT94" s="251"/>
      <c r="IU94" s="251"/>
      <c r="IV94" s="251"/>
      <c r="IW94" s="251"/>
      <c r="IX94" s="251"/>
      <c r="IY94" s="251"/>
      <c r="IZ94" s="251"/>
      <c r="JA94" s="251"/>
      <c r="JB94" s="251"/>
      <c r="JC94" s="251"/>
      <c r="JD94" s="251"/>
      <c r="JE94" s="251"/>
      <c r="JF94" s="251"/>
      <c r="JG94" s="251"/>
      <c r="JH94" s="251"/>
      <c r="JI94" s="251"/>
    </row>
    <row r="95" spans="1:269">
      <c r="A95" s="251"/>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1"/>
      <c r="DF95" s="251"/>
      <c r="DG95" s="251"/>
      <c r="DH95" s="251"/>
      <c r="DI95" s="251"/>
      <c r="DJ95" s="251"/>
      <c r="DK95" s="251"/>
      <c r="DL95" s="251"/>
      <c r="DM95" s="251"/>
      <c r="DN95" s="251"/>
      <c r="DO95" s="251"/>
      <c r="DP95" s="251"/>
      <c r="DQ95" s="251"/>
      <c r="DR95" s="251"/>
      <c r="DS95" s="251"/>
      <c r="DT95" s="251"/>
      <c r="DU95" s="251"/>
      <c r="DV95" s="251"/>
      <c r="DW95" s="251"/>
      <c r="DX95" s="251"/>
      <c r="DY95" s="251"/>
      <c r="DZ95" s="251"/>
      <c r="EA95" s="251"/>
      <c r="EB95" s="251"/>
      <c r="EC95" s="251"/>
      <c r="ED95" s="251"/>
      <c r="EE95" s="251"/>
      <c r="EF95" s="251"/>
      <c r="EG95" s="251"/>
      <c r="EH95" s="251"/>
      <c r="EI95" s="251"/>
      <c r="EJ95" s="251"/>
      <c r="EK95" s="251"/>
      <c r="EL95" s="251"/>
      <c r="EM95" s="251"/>
      <c r="EN95" s="251"/>
      <c r="EO95" s="251"/>
      <c r="EP95" s="251"/>
      <c r="EQ95" s="251"/>
      <c r="ER95" s="251"/>
      <c r="ES95" s="251"/>
      <c r="ET95" s="251"/>
      <c r="EU95" s="251"/>
      <c r="EV95" s="251"/>
      <c r="EW95" s="251"/>
      <c r="EX95" s="251"/>
      <c r="EY95" s="251"/>
      <c r="EZ95" s="251"/>
      <c r="FA95" s="251"/>
      <c r="FB95" s="251"/>
      <c r="FC95" s="251"/>
      <c r="FD95" s="251"/>
      <c r="FE95" s="251"/>
      <c r="FF95" s="251"/>
      <c r="FG95" s="251"/>
      <c r="FH95" s="251"/>
      <c r="FI95" s="251"/>
      <c r="FJ95" s="251"/>
      <c r="FK95" s="251"/>
      <c r="FL95" s="251"/>
      <c r="FM95" s="251"/>
      <c r="FN95" s="251"/>
      <c r="FO95" s="251"/>
      <c r="FP95" s="251"/>
      <c r="FQ95" s="251"/>
      <c r="FR95" s="251"/>
      <c r="FS95" s="251"/>
      <c r="FT95" s="251"/>
      <c r="FU95" s="251"/>
      <c r="FV95" s="251"/>
      <c r="FW95" s="251"/>
      <c r="FX95" s="251"/>
      <c r="FY95" s="251"/>
      <c r="FZ95" s="251"/>
      <c r="GA95" s="251"/>
      <c r="GB95" s="251"/>
      <c r="GC95" s="251"/>
      <c r="GD95" s="251"/>
      <c r="GE95" s="251"/>
      <c r="GF95" s="251"/>
      <c r="GG95" s="251"/>
      <c r="GH95" s="251"/>
      <c r="GI95" s="251"/>
      <c r="GJ95" s="251"/>
      <c r="GK95" s="251"/>
      <c r="GL95" s="251"/>
      <c r="GM95" s="251"/>
      <c r="GN95" s="251"/>
      <c r="GO95" s="251"/>
      <c r="GP95" s="251"/>
      <c r="GQ95" s="251"/>
      <c r="GR95" s="251"/>
      <c r="GS95" s="251"/>
      <c r="GT95" s="251"/>
      <c r="GU95" s="251"/>
      <c r="GV95" s="251"/>
      <c r="GW95" s="251"/>
      <c r="GX95" s="251"/>
      <c r="GY95" s="251"/>
      <c r="GZ95" s="251"/>
      <c r="HA95" s="251"/>
      <c r="HB95" s="251"/>
      <c r="HC95" s="251"/>
      <c r="HD95" s="251"/>
      <c r="HE95" s="251"/>
      <c r="HF95" s="251"/>
      <c r="HG95" s="251"/>
      <c r="HH95" s="251"/>
      <c r="HI95" s="251"/>
      <c r="HJ95" s="251"/>
      <c r="HK95" s="251"/>
      <c r="HL95" s="251"/>
      <c r="HM95" s="251"/>
      <c r="HN95" s="251"/>
      <c r="HO95" s="251"/>
      <c r="HP95" s="251"/>
      <c r="HQ95" s="251"/>
      <c r="HR95" s="251"/>
      <c r="HS95" s="251"/>
      <c r="HT95" s="251"/>
      <c r="HU95" s="251"/>
      <c r="HV95" s="251"/>
      <c r="HW95" s="251"/>
      <c r="HX95" s="251"/>
      <c r="HY95" s="251"/>
      <c r="HZ95" s="251"/>
      <c r="IA95" s="251"/>
      <c r="IB95" s="251"/>
      <c r="IC95" s="251"/>
      <c r="ID95" s="251"/>
      <c r="IE95" s="251"/>
      <c r="IF95" s="251"/>
      <c r="IG95" s="251"/>
      <c r="IH95" s="251"/>
      <c r="II95" s="251"/>
      <c r="IJ95" s="251"/>
      <c r="IK95" s="251"/>
      <c r="IL95" s="251"/>
      <c r="IM95" s="251"/>
      <c r="IN95" s="251"/>
      <c r="IO95" s="251"/>
      <c r="IP95" s="251"/>
      <c r="IQ95" s="251"/>
      <c r="IR95" s="251"/>
      <c r="IS95" s="251"/>
      <c r="IT95" s="251"/>
      <c r="IU95" s="251"/>
      <c r="IV95" s="251"/>
      <c r="IW95" s="251"/>
      <c r="IX95" s="251"/>
      <c r="IY95" s="251"/>
      <c r="IZ95" s="251"/>
      <c r="JA95" s="251"/>
      <c r="JB95" s="251"/>
      <c r="JC95" s="251"/>
      <c r="JD95" s="251"/>
      <c r="JE95" s="251"/>
      <c r="JF95" s="251"/>
      <c r="JG95" s="251"/>
      <c r="JH95" s="251"/>
      <c r="JI95" s="251"/>
    </row>
    <row r="96" spans="1:269">
      <c r="A96" s="251"/>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251"/>
      <c r="DI96" s="251"/>
      <c r="DJ96" s="251"/>
      <c r="DK96" s="251"/>
      <c r="DL96" s="251"/>
      <c r="DM96" s="251"/>
      <c r="DN96" s="251"/>
      <c r="DO96" s="251"/>
      <c r="DP96" s="251"/>
      <c r="DQ96" s="251"/>
      <c r="DR96" s="251"/>
      <c r="DS96" s="251"/>
      <c r="DT96" s="251"/>
      <c r="DU96" s="251"/>
      <c r="DV96" s="251"/>
      <c r="DW96" s="251"/>
      <c r="DX96" s="251"/>
      <c r="DY96" s="251"/>
      <c r="DZ96" s="251"/>
      <c r="EA96" s="251"/>
      <c r="EB96" s="251"/>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1"/>
      <c r="FF96" s="251"/>
      <c r="FG96" s="251"/>
      <c r="FH96" s="251"/>
      <c r="FI96" s="251"/>
      <c r="FJ96" s="251"/>
      <c r="FK96" s="251"/>
      <c r="FL96" s="251"/>
      <c r="FM96" s="251"/>
      <c r="FN96" s="251"/>
      <c r="FO96" s="251"/>
      <c r="FP96" s="251"/>
      <c r="FQ96" s="251"/>
      <c r="FR96" s="251"/>
      <c r="FS96" s="251"/>
      <c r="FT96" s="251"/>
      <c r="FU96" s="251"/>
      <c r="FV96" s="251"/>
      <c r="FW96" s="251"/>
      <c r="FX96" s="251"/>
      <c r="FY96" s="251"/>
      <c r="FZ96" s="251"/>
      <c r="GA96" s="251"/>
      <c r="GB96" s="251"/>
      <c r="GC96" s="251"/>
      <c r="GD96" s="251"/>
      <c r="GE96" s="251"/>
      <c r="GF96" s="251"/>
      <c r="GG96" s="251"/>
      <c r="GH96" s="251"/>
      <c r="GI96" s="251"/>
      <c r="GJ96" s="251"/>
      <c r="GK96" s="251"/>
      <c r="GL96" s="251"/>
      <c r="GM96" s="251"/>
      <c r="GN96" s="251"/>
      <c r="GO96" s="251"/>
      <c r="GP96" s="251"/>
      <c r="GQ96" s="251"/>
      <c r="GR96" s="251"/>
      <c r="GS96" s="251"/>
      <c r="GT96" s="251"/>
      <c r="GU96" s="251"/>
      <c r="GV96" s="251"/>
      <c r="GW96" s="251"/>
      <c r="GX96" s="251"/>
      <c r="GY96" s="251"/>
      <c r="GZ96" s="251"/>
      <c r="HA96" s="251"/>
      <c r="HB96" s="251"/>
      <c r="HC96" s="251"/>
      <c r="HD96" s="251"/>
      <c r="HE96" s="251"/>
      <c r="HF96" s="251"/>
      <c r="HG96" s="251"/>
      <c r="HH96" s="251"/>
      <c r="HI96" s="251"/>
      <c r="HJ96" s="251"/>
      <c r="HK96" s="251"/>
      <c r="HL96" s="251"/>
      <c r="HM96" s="251"/>
      <c r="HN96" s="251"/>
      <c r="HO96" s="251"/>
      <c r="HP96" s="251"/>
      <c r="HQ96" s="251"/>
      <c r="HR96" s="251"/>
      <c r="HS96" s="251"/>
      <c r="HT96" s="251"/>
      <c r="HU96" s="251"/>
      <c r="HV96" s="251"/>
      <c r="HW96" s="251"/>
      <c r="HX96" s="251"/>
      <c r="HY96" s="251"/>
      <c r="HZ96" s="251"/>
      <c r="IA96" s="251"/>
      <c r="IB96" s="251"/>
      <c r="IC96" s="251"/>
      <c r="ID96" s="251"/>
      <c r="IE96" s="251"/>
      <c r="IF96" s="251"/>
      <c r="IG96" s="251"/>
      <c r="IH96" s="251"/>
      <c r="II96" s="251"/>
      <c r="IJ96" s="251"/>
      <c r="IK96" s="251"/>
      <c r="IL96" s="251"/>
      <c r="IM96" s="251"/>
      <c r="IN96" s="251"/>
      <c r="IO96" s="251"/>
      <c r="IP96" s="251"/>
      <c r="IQ96" s="251"/>
      <c r="IR96" s="251"/>
      <c r="IS96" s="251"/>
      <c r="IT96" s="251"/>
      <c r="IU96" s="251"/>
      <c r="IV96" s="251"/>
      <c r="IW96" s="251"/>
      <c r="IX96" s="251"/>
      <c r="IY96" s="251"/>
      <c r="IZ96" s="251"/>
      <c r="JA96" s="251"/>
      <c r="JB96" s="251"/>
      <c r="JC96" s="251"/>
      <c r="JD96" s="251"/>
      <c r="JE96" s="251"/>
      <c r="JF96" s="251"/>
      <c r="JG96" s="251"/>
      <c r="JH96" s="251"/>
      <c r="JI96" s="251"/>
    </row>
    <row r="97" spans="1:269">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251"/>
      <c r="DC97" s="251"/>
      <c r="DD97" s="251"/>
      <c r="DE97" s="251"/>
      <c r="DF97" s="251"/>
      <c r="DG97" s="251"/>
      <c r="DH97" s="251"/>
      <c r="DI97" s="251"/>
      <c r="DJ97" s="251"/>
      <c r="DK97" s="251"/>
      <c r="DL97" s="251"/>
      <c r="DM97" s="251"/>
      <c r="DN97" s="251"/>
      <c r="DO97" s="251"/>
      <c r="DP97" s="251"/>
      <c r="DQ97" s="251"/>
      <c r="DR97" s="251"/>
      <c r="DS97" s="251"/>
      <c r="DT97" s="251"/>
      <c r="DU97" s="251"/>
      <c r="DV97" s="251"/>
      <c r="DW97" s="251"/>
      <c r="DX97" s="251"/>
      <c r="DY97" s="251"/>
      <c r="DZ97" s="251"/>
      <c r="EA97" s="251"/>
      <c r="EB97" s="251"/>
      <c r="EC97" s="251"/>
      <c r="ED97" s="251"/>
      <c r="EE97" s="251"/>
      <c r="EF97" s="251"/>
      <c r="EG97" s="251"/>
      <c r="EH97" s="251"/>
      <c r="EI97" s="251"/>
      <c r="EJ97" s="251"/>
      <c r="EK97" s="251"/>
      <c r="EL97" s="251"/>
      <c r="EM97" s="251"/>
      <c r="EN97" s="251"/>
      <c r="EO97" s="251"/>
      <c r="EP97" s="251"/>
      <c r="EQ97" s="251"/>
      <c r="ER97" s="251"/>
      <c r="ES97" s="251"/>
      <c r="ET97" s="251"/>
      <c r="EU97" s="251"/>
      <c r="EV97" s="251"/>
      <c r="EW97" s="251"/>
      <c r="EX97" s="251"/>
      <c r="EY97" s="251"/>
      <c r="EZ97" s="251"/>
      <c r="FA97" s="251"/>
      <c r="FB97" s="251"/>
      <c r="FC97" s="251"/>
      <c r="FD97" s="251"/>
      <c r="FE97" s="251"/>
      <c r="FF97" s="251"/>
      <c r="FG97" s="251"/>
      <c r="FH97" s="251"/>
      <c r="FI97" s="251"/>
      <c r="FJ97" s="251"/>
      <c r="FK97" s="251"/>
      <c r="FL97" s="251"/>
      <c r="FM97" s="251"/>
      <c r="FN97" s="251"/>
      <c r="FO97" s="251"/>
      <c r="FP97" s="251"/>
      <c r="FQ97" s="251"/>
      <c r="FR97" s="251"/>
      <c r="FS97" s="251"/>
      <c r="FT97" s="251"/>
      <c r="FU97" s="251"/>
      <c r="FV97" s="251"/>
      <c r="FW97" s="251"/>
      <c r="FX97" s="251"/>
      <c r="FY97" s="251"/>
      <c r="FZ97" s="251"/>
      <c r="GA97" s="251"/>
      <c r="GB97" s="251"/>
      <c r="GC97" s="251"/>
      <c r="GD97" s="251"/>
      <c r="GE97" s="251"/>
      <c r="GF97" s="251"/>
      <c r="GG97" s="251"/>
      <c r="GH97" s="251"/>
      <c r="GI97" s="251"/>
      <c r="GJ97" s="251"/>
      <c r="GK97" s="251"/>
      <c r="GL97" s="251"/>
      <c r="GM97" s="251"/>
      <c r="GN97" s="251"/>
      <c r="GO97" s="251"/>
      <c r="GP97" s="251"/>
      <c r="GQ97" s="251"/>
      <c r="GR97" s="251"/>
      <c r="GS97" s="251"/>
      <c r="GT97" s="251"/>
      <c r="GU97" s="251"/>
      <c r="GV97" s="251"/>
      <c r="GW97" s="251"/>
      <c r="GX97" s="251"/>
      <c r="GY97" s="251"/>
      <c r="GZ97" s="251"/>
      <c r="HA97" s="251"/>
      <c r="HB97" s="251"/>
      <c r="HC97" s="251"/>
      <c r="HD97" s="251"/>
      <c r="HE97" s="251"/>
      <c r="HF97" s="251"/>
      <c r="HG97" s="251"/>
      <c r="HH97" s="251"/>
      <c r="HI97" s="251"/>
      <c r="HJ97" s="251"/>
      <c r="HK97" s="251"/>
      <c r="HL97" s="251"/>
      <c r="HM97" s="251"/>
      <c r="HN97" s="251"/>
      <c r="HO97" s="251"/>
      <c r="HP97" s="251"/>
      <c r="HQ97" s="251"/>
      <c r="HR97" s="251"/>
      <c r="HS97" s="251"/>
      <c r="HT97" s="251"/>
      <c r="HU97" s="251"/>
      <c r="HV97" s="251"/>
      <c r="HW97" s="251"/>
      <c r="HX97" s="251"/>
      <c r="HY97" s="251"/>
      <c r="HZ97" s="251"/>
      <c r="IA97" s="251"/>
      <c r="IB97" s="251"/>
      <c r="IC97" s="251"/>
      <c r="ID97" s="251"/>
      <c r="IE97" s="251"/>
      <c r="IF97" s="251"/>
      <c r="IG97" s="251"/>
      <c r="IH97" s="251"/>
      <c r="II97" s="251"/>
      <c r="IJ97" s="251"/>
      <c r="IK97" s="251"/>
      <c r="IL97" s="251"/>
      <c r="IM97" s="251"/>
      <c r="IN97" s="251"/>
      <c r="IO97" s="251"/>
      <c r="IP97" s="251"/>
      <c r="IQ97" s="251"/>
      <c r="IR97" s="251"/>
      <c r="IS97" s="251"/>
      <c r="IT97" s="251"/>
      <c r="IU97" s="251"/>
      <c r="IV97" s="251"/>
      <c r="IW97" s="251"/>
      <c r="IX97" s="251"/>
      <c r="IY97" s="251"/>
      <c r="IZ97" s="251"/>
      <c r="JA97" s="251"/>
      <c r="JB97" s="251"/>
      <c r="JC97" s="251"/>
      <c r="JD97" s="251"/>
      <c r="JE97" s="251"/>
      <c r="JF97" s="251"/>
      <c r="JG97" s="251"/>
      <c r="JH97" s="251"/>
      <c r="JI97" s="251"/>
    </row>
    <row r="98" spans="1:269">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251"/>
      <c r="CK98" s="251"/>
      <c r="CL98" s="251"/>
      <c r="CM98" s="251"/>
      <c r="CN98" s="251"/>
      <c r="CO98" s="251"/>
      <c r="CP98" s="251"/>
      <c r="CQ98" s="251"/>
      <c r="CR98" s="251"/>
      <c r="CS98" s="251"/>
      <c r="CT98" s="251"/>
      <c r="CU98" s="251"/>
      <c r="CV98" s="251"/>
      <c r="CW98" s="251"/>
      <c r="CX98" s="251"/>
      <c r="CY98" s="251"/>
      <c r="CZ98" s="251"/>
      <c r="DA98" s="251"/>
      <c r="DB98" s="251"/>
      <c r="DC98" s="251"/>
      <c r="DD98" s="251"/>
      <c r="DE98" s="251"/>
      <c r="DF98" s="251"/>
      <c r="DG98" s="251"/>
      <c r="DH98" s="251"/>
      <c r="DI98" s="251"/>
      <c r="DJ98" s="251"/>
      <c r="DK98" s="251"/>
      <c r="DL98" s="251"/>
      <c r="DM98" s="251"/>
      <c r="DN98" s="251"/>
      <c r="DO98" s="251"/>
      <c r="DP98" s="251"/>
      <c r="DQ98" s="251"/>
      <c r="DR98" s="251"/>
      <c r="DS98" s="251"/>
      <c r="DT98" s="251"/>
      <c r="DU98" s="251"/>
      <c r="DV98" s="251"/>
      <c r="DW98" s="251"/>
      <c r="DX98" s="251"/>
      <c r="DY98" s="251"/>
      <c r="DZ98" s="251"/>
      <c r="EA98" s="251"/>
      <c r="EB98" s="251"/>
      <c r="EC98" s="251"/>
      <c r="ED98" s="251"/>
      <c r="EE98" s="251"/>
      <c r="EF98" s="251"/>
      <c r="EG98" s="251"/>
      <c r="EH98" s="251"/>
      <c r="EI98" s="251"/>
      <c r="EJ98" s="251"/>
      <c r="EK98" s="251"/>
      <c r="EL98" s="251"/>
      <c r="EM98" s="251"/>
      <c r="EN98" s="251"/>
      <c r="EO98" s="251"/>
      <c r="EP98" s="251"/>
      <c r="EQ98" s="251"/>
      <c r="ER98" s="251"/>
      <c r="ES98" s="251"/>
      <c r="ET98" s="251"/>
      <c r="EU98" s="251"/>
      <c r="EV98" s="251"/>
      <c r="EW98" s="251"/>
      <c r="EX98" s="251"/>
      <c r="EY98" s="251"/>
      <c r="EZ98" s="251"/>
      <c r="FA98" s="251"/>
      <c r="FB98" s="251"/>
      <c r="FC98" s="251"/>
      <c r="FD98" s="251"/>
      <c r="FE98" s="251"/>
      <c r="FF98" s="251"/>
      <c r="FG98" s="251"/>
      <c r="FH98" s="251"/>
      <c r="FI98" s="251"/>
      <c r="FJ98" s="251"/>
      <c r="FK98" s="251"/>
      <c r="FL98" s="251"/>
      <c r="FM98" s="251"/>
      <c r="FN98" s="251"/>
      <c r="FO98" s="251"/>
      <c r="FP98" s="251"/>
      <c r="FQ98" s="251"/>
      <c r="FR98" s="251"/>
      <c r="FS98" s="251"/>
      <c r="FT98" s="251"/>
      <c r="FU98" s="251"/>
      <c r="FV98" s="251"/>
      <c r="FW98" s="251"/>
      <c r="FX98" s="251"/>
      <c r="FY98" s="251"/>
      <c r="FZ98" s="251"/>
      <c r="GA98" s="251"/>
      <c r="GB98" s="251"/>
      <c r="GC98" s="251"/>
      <c r="GD98" s="251"/>
      <c r="GE98" s="251"/>
      <c r="GF98" s="251"/>
      <c r="GG98" s="251"/>
      <c r="GH98" s="251"/>
      <c r="GI98" s="251"/>
      <c r="GJ98" s="251"/>
      <c r="GK98" s="251"/>
      <c r="GL98" s="251"/>
      <c r="GM98" s="251"/>
      <c r="GN98" s="251"/>
      <c r="GO98" s="251"/>
      <c r="GP98" s="251"/>
      <c r="GQ98" s="251"/>
      <c r="GR98" s="251"/>
      <c r="GS98" s="251"/>
      <c r="GT98" s="251"/>
      <c r="GU98" s="251"/>
      <c r="GV98" s="251"/>
      <c r="GW98" s="251"/>
      <c r="GX98" s="251"/>
      <c r="GY98" s="251"/>
      <c r="GZ98" s="251"/>
      <c r="HA98" s="251"/>
      <c r="HB98" s="251"/>
      <c r="HC98" s="251"/>
      <c r="HD98" s="251"/>
      <c r="HE98" s="251"/>
      <c r="HF98" s="251"/>
      <c r="HG98" s="251"/>
      <c r="HH98" s="251"/>
      <c r="HI98" s="251"/>
      <c r="HJ98" s="251"/>
      <c r="HK98" s="251"/>
      <c r="HL98" s="251"/>
      <c r="HM98" s="251"/>
      <c r="HN98" s="251"/>
      <c r="HO98" s="251"/>
      <c r="HP98" s="251"/>
      <c r="HQ98" s="251"/>
      <c r="HR98" s="251"/>
      <c r="HS98" s="251"/>
      <c r="HT98" s="251"/>
      <c r="HU98" s="251"/>
      <c r="HV98" s="251"/>
      <c r="HW98" s="251"/>
      <c r="HX98" s="251"/>
      <c r="HY98" s="251"/>
      <c r="HZ98" s="251"/>
      <c r="IA98" s="251"/>
      <c r="IB98" s="251"/>
      <c r="IC98" s="251"/>
      <c r="ID98" s="251"/>
      <c r="IE98" s="251"/>
      <c r="IF98" s="251"/>
      <c r="IG98" s="251"/>
      <c r="IH98" s="251"/>
      <c r="II98" s="251"/>
      <c r="IJ98" s="251"/>
      <c r="IK98" s="251"/>
      <c r="IL98" s="251"/>
      <c r="IM98" s="251"/>
      <c r="IN98" s="251"/>
      <c r="IO98" s="251"/>
      <c r="IP98" s="251"/>
      <c r="IQ98" s="251"/>
      <c r="IR98" s="251"/>
      <c r="IS98" s="251"/>
      <c r="IT98" s="251"/>
      <c r="IU98" s="251"/>
      <c r="IV98" s="251"/>
      <c r="IW98" s="251"/>
      <c r="IX98" s="251"/>
      <c r="IY98" s="251"/>
      <c r="IZ98" s="251"/>
      <c r="JA98" s="251"/>
      <c r="JB98" s="251"/>
      <c r="JC98" s="251"/>
      <c r="JD98" s="251"/>
      <c r="JE98" s="251"/>
      <c r="JF98" s="251"/>
      <c r="JG98" s="251"/>
      <c r="JH98" s="251"/>
      <c r="JI98" s="251"/>
    </row>
    <row r="99" spans="1:269">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1"/>
      <c r="DI99" s="251"/>
      <c r="DJ99" s="251"/>
      <c r="DK99" s="251"/>
      <c r="DL99" s="251"/>
      <c r="DM99" s="251"/>
      <c r="DN99" s="251"/>
      <c r="DO99" s="251"/>
      <c r="DP99" s="251"/>
      <c r="DQ99" s="251"/>
      <c r="DR99" s="251"/>
      <c r="DS99" s="251"/>
      <c r="DT99" s="251"/>
      <c r="DU99" s="251"/>
      <c r="DV99" s="251"/>
      <c r="DW99" s="251"/>
      <c r="DX99" s="251"/>
      <c r="DY99" s="251"/>
      <c r="DZ99" s="251"/>
      <c r="EA99" s="251"/>
      <c r="EB99" s="251"/>
      <c r="EC99" s="251"/>
      <c r="ED99" s="251"/>
      <c r="EE99" s="251"/>
      <c r="EF99" s="251"/>
      <c r="EG99" s="251"/>
      <c r="EH99" s="251"/>
      <c r="EI99" s="251"/>
      <c r="EJ99" s="251"/>
      <c r="EK99" s="251"/>
      <c r="EL99" s="251"/>
      <c r="EM99" s="251"/>
      <c r="EN99" s="251"/>
      <c r="EO99" s="251"/>
      <c r="EP99" s="251"/>
      <c r="EQ99" s="251"/>
      <c r="ER99" s="251"/>
      <c r="ES99" s="251"/>
      <c r="ET99" s="251"/>
      <c r="EU99" s="251"/>
      <c r="EV99" s="251"/>
      <c r="EW99" s="251"/>
      <c r="EX99" s="251"/>
      <c r="EY99" s="251"/>
      <c r="EZ99" s="251"/>
      <c r="FA99" s="251"/>
      <c r="FB99" s="251"/>
      <c r="FC99" s="251"/>
      <c r="FD99" s="251"/>
      <c r="FE99" s="251"/>
      <c r="FF99" s="251"/>
      <c r="FG99" s="251"/>
      <c r="FH99" s="251"/>
      <c r="FI99" s="251"/>
      <c r="FJ99" s="251"/>
      <c r="FK99" s="251"/>
      <c r="FL99" s="251"/>
      <c r="FM99" s="251"/>
      <c r="FN99" s="251"/>
      <c r="FO99" s="251"/>
      <c r="FP99" s="251"/>
      <c r="FQ99" s="251"/>
      <c r="FR99" s="251"/>
      <c r="FS99" s="251"/>
      <c r="FT99" s="251"/>
      <c r="FU99" s="251"/>
      <c r="FV99" s="251"/>
      <c r="FW99" s="251"/>
      <c r="FX99" s="251"/>
      <c r="FY99" s="251"/>
      <c r="FZ99" s="251"/>
      <c r="GA99" s="251"/>
      <c r="GB99" s="251"/>
      <c r="GC99" s="251"/>
      <c r="GD99" s="251"/>
      <c r="GE99" s="251"/>
      <c r="GF99" s="251"/>
      <c r="GG99" s="251"/>
      <c r="GH99" s="251"/>
      <c r="GI99" s="251"/>
      <c r="GJ99" s="251"/>
      <c r="GK99" s="251"/>
      <c r="GL99" s="251"/>
      <c r="GM99" s="251"/>
      <c r="GN99" s="251"/>
      <c r="GO99" s="251"/>
      <c r="GP99" s="251"/>
      <c r="GQ99" s="251"/>
      <c r="GR99" s="251"/>
      <c r="GS99" s="251"/>
      <c r="GT99" s="251"/>
      <c r="GU99" s="251"/>
      <c r="GV99" s="251"/>
      <c r="GW99" s="251"/>
      <c r="GX99" s="251"/>
      <c r="GY99" s="251"/>
      <c r="GZ99" s="251"/>
      <c r="HA99" s="251"/>
      <c r="HB99" s="251"/>
      <c r="HC99" s="251"/>
      <c r="HD99" s="251"/>
      <c r="HE99" s="251"/>
      <c r="HF99" s="251"/>
      <c r="HG99" s="251"/>
      <c r="HH99" s="251"/>
      <c r="HI99" s="251"/>
      <c r="HJ99" s="251"/>
      <c r="HK99" s="251"/>
      <c r="HL99" s="251"/>
      <c r="HM99" s="251"/>
      <c r="HN99" s="251"/>
      <c r="HO99" s="251"/>
      <c r="HP99" s="251"/>
      <c r="HQ99" s="251"/>
      <c r="HR99" s="251"/>
      <c r="HS99" s="251"/>
      <c r="HT99" s="251"/>
      <c r="HU99" s="251"/>
      <c r="HV99" s="251"/>
      <c r="HW99" s="251"/>
      <c r="HX99" s="251"/>
      <c r="HY99" s="251"/>
      <c r="HZ99" s="251"/>
      <c r="IA99" s="251"/>
      <c r="IB99" s="251"/>
      <c r="IC99" s="251"/>
      <c r="ID99" s="251"/>
      <c r="IE99" s="251"/>
      <c r="IF99" s="251"/>
      <c r="IG99" s="251"/>
      <c r="IH99" s="251"/>
      <c r="II99" s="251"/>
      <c r="IJ99" s="251"/>
      <c r="IK99" s="251"/>
      <c r="IL99" s="251"/>
      <c r="IM99" s="251"/>
      <c r="IN99" s="251"/>
      <c r="IO99" s="251"/>
      <c r="IP99" s="251"/>
      <c r="IQ99" s="251"/>
      <c r="IR99" s="251"/>
      <c r="IS99" s="251"/>
      <c r="IT99" s="251"/>
      <c r="IU99" s="251"/>
      <c r="IV99" s="251"/>
      <c r="IW99" s="251"/>
      <c r="IX99" s="251"/>
      <c r="IY99" s="251"/>
      <c r="IZ99" s="251"/>
      <c r="JA99" s="251"/>
      <c r="JB99" s="251"/>
      <c r="JC99" s="251"/>
      <c r="JD99" s="251"/>
      <c r="JE99" s="251"/>
      <c r="JF99" s="251"/>
      <c r="JG99" s="251"/>
      <c r="JH99" s="251"/>
      <c r="JI99" s="251"/>
    </row>
    <row r="100" spans="1:269">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1"/>
      <c r="DI100" s="251"/>
      <c r="DJ100" s="251"/>
      <c r="DK100" s="251"/>
      <c r="DL100" s="251"/>
      <c r="DM100" s="251"/>
      <c r="DN100" s="251"/>
      <c r="DO100" s="251"/>
      <c r="DP100" s="251"/>
      <c r="DQ100" s="251"/>
      <c r="DR100" s="251"/>
      <c r="DS100" s="251"/>
      <c r="DT100" s="251"/>
      <c r="DU100" s="251"/>
      <c r="DV100" s="251"/>
      <c r="DW100" s="251"/>
      <c r="DX100" s="251"/>
      <c r="DY100" s="251"/>
      <c r="DZ100" s="251"/>
      <c r="EA100" s="251"/>
      <c r="EB100" s="251"/>
      <c r="EC100" s="251"/>
      <c r="ED100" s="251"/>
      <c r="EE100" s="251"/>
      <c r="EF100" s="251"/>
      <c r="EG100" s="251"/>
      <c r="EH100" s="251"/>
      <c r="EI100" s="251"/>
      <c r="EJ100" s="251"/>
      <c r="EK100" s="251"/>
      <c r="EL100" s="251"/>
      <c r="EM100" s="251"/>
      <c r="EN100" s="251"/>
      <c r="EO100" s="251"/>
      <c r="EP100" s="251"/>
      <c r="EQ100" s="251"/>
      <c r="ER100" s="251"/>
      <c r="ES100" s="251"/>
      <c r="ET100" s="251"/>
      <c r="EU100" s="251"/>
      <c r="EV100" s="251"/>
      <c r="EW100" s="251"/>
      <c r="EX100" s="251"/>
      <c r="EY100" s="251"/>
      <c r="EZ100" s="251"/>
      <c r="FA100" s="251"/>
      <c r="FB100" s="251"/>
      <c r="FC100" s="251"/>
      <c r="FD100" s="251"/>
      <c r="FE100" s="251"/>
      <c r="FF100" s="251"/>
      <c r="FG100" s="251"/>
      <c r="FH100" s="251"/>
      <c r="FI100" s="251"/>
      <c r="FJ100" s="251"/>
      <c r="FK100" s="251"/>
      <c r="FL100" s="251"/>
      <c r="FM100" s="251"/>
      <c r="FN100" s="251"/>
      <c r="FO100" s="251"/>
      <c r="FP100" s="251"/>
      <c r="FQ100" s="251"/>
      <c r="FR100" s="251"/>
      <c r="FS100" s="251"/>
      <c r="FT100" s="251"/>
      <c r="FU100" s="251"/>
      <c r="FV100" s="251"/>
      <c r="FW100" s="251"/>
      <c r="FX100" s="251"/>
      <c r="FY100" s="251"/>
      <c r="FZ100" s="251"/>
      <c r="GA100" s="251"/>
      <c r="GB100" s="251"/>
      <c r="GC100" s="251"/>
      <c r="GD100" s="251"/>
      <c r="GE100" s="251"/>
      <c r="GF100" s="251"/>
      <c r="GG100" s="251"/>
      <c r="GH100" s="251"/>
      <c r="GI100" s="251"/>
      <c r="GJ100" s="251"/>
      <c r="GK100" s="251"/>
      <c r="GL100" s="251"/>
      <c r="GM100" s="251"/>
      <c r="GN100" s="251"/>
      <c r="GO100" s="251"/>
      <c r="GP100" s="251"/>
      <c r="GQ100" s="251"/>
      <c r="GR100" s="251"/>
      <c r="GS100" s="251"/>
      <c r="GT100" s="251"/>
      <c r="GU100" s="251"/>
      <c r="GV100" s="251"/>
      <c r="GW100" s="251"/>
      <c r="GX100" s="251"/>
      <c r="GY100" s="251"/>
      <c r="GZ100" s="251"/>
      <c r="HA100" s="251"/>
      <c r="HB100" s="251"/>
      <c r="HC100" s="251"/>
      <c r="HD100" s="251"/>
      <c r="HE100" s="251"/>
      <c r="HF100" s="251"/>
      <c r="HG100" s="251"/>
      <c r="HH100" s="251"/>
      <c r="HI100" s="251"/>
      <c r="HJ100" s="251"/>
      <c r="HK100" s="251"/>
      <c r="HL100" s="251"/>
      <c r="HM100" s="251"/>
      <c r="HN100" s="251"/>
      <c r="HO100" s="251"/>
      <c r="HP100" s="251"/>
      <c r="HQ100" s="251"/>
      <c r="HR100" s="251"/>
      <c r="HS100" s="251"/>
      <c r="HT100" s="251"/>
      <c r="HU100" s="251"/>
      <c r="HV100" s="251"/>
      <c r="HW100" s="251"/>
      <c r="HX100" s="251"/>
      <c r="HY100" s="251"/>
      <c r="HZ100" s="251"/>
      <c r="IA100" s="251"/>
      <c r="IB100" s="251"/>
      <c r="IC100" s="251"/>
      <c r="ID100" s="251"/>
      <c r="IE100" s="251"/>
      <c r="IF100" s="251"/>
      <c r="IG100" s="251"/>
      <c r="IH100" s="251"/>
      <c r="II100" s="251"/>
      <c r="IJ100" s="251"/>
      <c r="IK100" s="251"/>
      <c r="IL100" s="251"/>
      <c r="IM100" s="251"/>
      <c r="IN100" s="251"/>
      <c r="IO100" s="251"/>
      <c r="IP100" s="251"/>
      <c r="IQ100" s="251"/>
      <c r="IR100" s="251"/>
      <c r="IS100" s="251"/>
      <c r="IT100" s="251"/>
      <c r="IU100" s="251"/>
      <c r="IV100" s="251"/>
      <c r="IW100" s="251"/>
      <c r="IX100" s="251"/>
      <c r="IY100" s="251"/>
      <c r="IZ100" s="251"/>
      <c r="JA100" s="251"/>
      <c r="JB100" s="251"/>
      <c r="JC100" s="251"/>
      <c r="JD100" s="251"/>
      <c r="JE100" s="251"/>
      <c r="JF100" s="251"/>
      <c r="JG100" s="251"/>
      <c r="JH100" s="251"/>
      <c r="JI100" s="251"/>
    </row>
    <row r="101" spans="1:269">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S101" s="251"/>
      <c r="CT101" s="251"/>
      <c r="CU101" s="251"/>
      <c r="CV101" s="251"/>
      <c r="CW101" s="251"/>
      <c r="CX101" s="251"/>
      <c r="CY101" s="251"/>
      <c r="CZ101" s="251"/>
      <c r="DA101" s="251"/>
      <c r="DB101" s="251"/>
      <c r="DC101" s="251"/>
      <c r="DD101" s="251"/>
      <c r="DE101" s="251"/>
      <c r="DF101" s="251"/>
      <c r="DG101" s="251"/>
      <c r="DH101" s="251"/>
      <c r="DI101" s="251"/>
      <c r="DJ101" s="251"/>
      <c r="DK101" s="251"/>
      <c r="DL101" s="251"/>
      <c r="DM101" s="251"/>
      <c r="DN101" s="251"/>
      <c r="DO101" s="251"/>
      <c r="DP101" s="251"/>
      <c r="DQ101" s="251"/>
      <c r="DR101" s="251"/>
      <c r="DS101" s="251"/>
      <c r="DT101" s="251"/>
      <c r="DU101" s="251"/>
      <c r="DV101" s="251"/>
      <c r="DW101" s="251"/>
      <c r="DX101" s="251"/>
      <c r="DY101" s="251"/>
      <c r="DZ101" s="251"/>
      <c r="EA101" s="251"/>
      <c r="EB101" s="251"/>
      <c r="EC101" s="251"/>
      <c r="ED101" s="251"/>
      <c r="EE101" s="251"/>
      <c r="EF101" s="251"/>
      <c r="EG101" s="251"/>
      <c r="EH101" s="251"/>
      <c r="EI101" s="251"/>
      <c r="EJ101" s="251"/>
      <c r="EK101" s="251"/>
      <c r="EL101" s="251"/>
      <c r="EM101" s="251"/>
      <c r="EN101" s="251"/>
      <c r="EO101" s="251"/>
      <c r="EP101" s="251"/>
      <c r="EQ101" s="251"/>
      <c r="ER101" s="251"/>
      <c r="ES101" s="251"/>
      <c r="ET101" s="251"/>
      <c r="EU101" s="251"/>
      <c r="EV101" s="251"/>
      <c r="EW101" s="251"/>
      <c r="EX101" s="251"/>
      <c r="EY101" s="251"/>
      <c r="EZ101" s="251"/>
      <c r="FA101" s="251"/>
      <c r="FB101" s="251"/>
      <c r="FC101" s="251"/>
      <c r="FD101" s="251"/>
      <c r="FE101" s="251"/>
      <c r="FF101" s="251"/>
      <c r="FG101" s="251"/>
      <c r="FH101" s="251"/>
      <c r="FI101" s="251"/>
      <c r="FJ101" s="251"/>
      <c r="FK101" s="251"/>
      <c r="FL101" s="251"/>
      <c r="FM101" s="251"/>
      <c r="FN101" s="251"/>
      <c r="FO101" s="251"/>
      <c r="FP101" s="251"/>
      <c r="FQ101" s="251"/>
      <c r="FR101" s="251"/>
      <c r="FS101" s="251"/>
      <c r="FT101" s="251"/>
      <c r="FU101" s="251"/>
      <c r="FV101" s="251"/>
      <c r="FW101" s="251"/>
      <c r="FX101" s="251"/>
      <c r="FY101" s="251"/>
      <c r="FZ101" s="251"/>
      <c r="GA101" s="251"/>
      <c r="GB101" s="251"/>
      <c r="GC101" s="251"/>
      <c r="GD101" s="251"/>
      <c r="GE101" s="251"/>
      <c r="GF101" s="251"/>
      <c r="GG101" s="251"/>
      <c r="GH101" s="251"/>
      <c r="GI101" s="251"/>
      <c r="GJ101" s="251"/>
      <c r="GK101" s="251"/>
      <c r="GL101" s="251"/>
      <c r="GM101" s="251"/>
      <c r="GN101" s="251"/>
      <c r="GO101" s="251"/>
      <c r="GP101" s="251"/>
      <c r="GQ101" s="251"/>
      <c r="GR101" s="251"/>
      <c r="GS101" s="251"/>
      <c r="GT101" s="251"/>
      <c r="GU101" s="251"/>
      <c r="GV101" s="251"/>
      <c r="GW101" s="251"/>
      <c r="GX101" s="251"/>
      <c r="GY101" s="251"/>
      <c r="GZ101" s="251"/>
      <c r="HA101" s="251"/>
      <c r="HB101" s="251"/>
      <c r="HC101" s="251"/>
      <c r="HD101" s="251"/>
      <c r="HE101" s="251"/>
      <c r="HF101" s="251"/>
      <c r="HG101" s="251"/>
      <c r="HH101" s="251"/>
      <c r="HI101" s="251"/>
      <c r="HJ101" s="251"/>
      <c r="HK101" s="251"/>
      <c r="HL101" s="251"/>
      <c r="HM101" s="251"/>
      <c r="HN101" s="251"/>
      <c r="HO101" s="251"/>
      <c r="HP101" s="251"/>
      <c r="HQ101" s="251"/>
      <c r="HR101" s="251"/>
      <c r="HS101" s="251"/>
      <c r="HT101" s="251"/>
      <c r="HU101" s="251"/>
      <c r="HV101" s="251"/>
      <c r="HW101" s="251"/>
      <c r="HX101" s="251"/>
      <c r="HY101" s="251"/>
      <c r="HZ101" s="251"/>
      <c r="IA101" s="251"/>
      <c r="IB101" s="251"/>
      <c r="IC101" s="251"/>
      <c r="ID101" s="251"/>
      <c r="IE101" s="251"/>
      <c r="IF101" s="251"/>
      <c r="IG101" s="251"/>
      <c r="IH101" s="251"/>
      <c r="II101" s="251"/>
      <c r="IJ101" s="251"/>
      <c r="IK101" s="251"/>
      <c r="IL101" s="251"/>
      <c r="IM101" s="251"/>
      <c r="IN101" s="251"/>
      <c r="IO101" s="251"/>
      <c r="IP101" s="251"/>
      <c r="IQ101" s="251"/>
      <c r="IR101" s="251"/>
      <c r="IS101" s="251"/>
      <c r="IT101" s="251"/>
      <c r="IU101" s="251"/>
      <c r="IV101" s="251"/>
      <c r="IW101" s="251"/>
      <c r="IX101" s="251"/>
      <c r="IY101" s="251"/>
      <c r="IZ101" s="251"/>
      <c r="JA101" s="251"/>
      <c r="JB101" s="251"/>
      <c r="JC101" s="251"/>
      <c r="JD101" s="251"/>
      <c r="JE101" s="251"/>
      <c r="JF101" s="251"/>
      <c r="JG101" s="251"/>
      <c r="JH101" s="251"/>
      <c r="JI101" s="251"/>
    </row>
    <row r="102" spans="1:269">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1"/>
      <c r="DI102" s="251"/>
      <c r="DJ102" s="251"/>
      <c r="DK102" s="251"/>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c r="FZ102" s="251"/>
      <c r="GA102" s="251"/>
      <c r="GB102" s="251"/>
      <c r="GC102" s="251"/>
      <c r="GD102" s="251"/>
      <c r="GE102" s="251"/>
      <c r="GF102" s="251"/>
      <c r="GG102" s="251"/>
      <c r="GH102" s="251"/>
      <c r="GI102" s="251"/>
      <c r="GJ102" s="251"/>
      <c r="GK102" s="251"/>
      <c r="GL102" s="251"/>
      <c r="GM102" s="251"/>
      <c r="GN102" s="251"/>
      <c r="GO102" s="251"/>
      <c r="GP102" s="251"/>
      <c r="GQ102" s="251"/>
      <c r="GR102" s="251"/>
      <c r="GS102" s="251"/>
      <c r="GT102" s="251"/>
      <c r="GU102" s="251"/>
      <c r="GV102" s="251"/>
      <c r="GW102" s="251"/>
      <c r="GX102" s="251"/>
      <c r="GY102" s="251"/>
      <c r="GZ102" s="251"/>
      <c r="HA102" s="251"/>
      <c r="HB102" s="251"/>
      <c r="HC102" s="251"/>
      <c r="HD102" s="251"/>
      <c r="HE102" s="251"/>
      <c r="HF102" s="251"/>
      <c r="HG102" s="251"/>
      <c r="HH102" s="251"/>
      <c r="HI102" s="251"/>
      <c r="HJ102" s="251"/>
      <c r="HK102" s="251"/>
      <c r="HL102" s="251"/>
      <c r="HM102" s="251"/>
      <c r="HN102" s="251"/>
      <c r="HO102" s="251"/>
      <c r="HP102" s="251"/>
      <c r="HQ102" s="251"/>
      <c r="HR102" s="251"/>
      <c r="HS102" s="251"/>
      <c r="HT102" s="251"/>
      <c r="HU102" s="251"/>
      <c r="HV102" s="251"/>
      <c r="HW102" s="251"/>
      <c r="HX102" s="251"/>
      <c r="HY102" s="251"/>
      <c r="HZ102" s="251"/>
      <c r="IA102" s="251"/>
      <c r="IB102" s="251"/>
      <c r="IC102" s="251"/>
      <c r="ID102" s="251"/>
      <c r="IE102" s="251"/>
      <c r="IF102" s="251"/>
      <c r="IG102" s="251"/>
      <c r="IH102" s="251"/>
      <c r="II102" s="251"/>
      <c r="IJ102" s="251"/>
      <c r="IK102" s="251"/>
      <c r="IL102" s="251"/>
      <c r="IM102" s="251"/>
      <c r="IN102" s="251"/>
      <c r="IO102" s="251"/>
      <c r="IP102" s="251"/>
      <c r="IQ102" s="251"/>
      <c r="IR102" s="251"/>
      <c r="IS102" s="251"/>
      <c r="IT102" s="251"/>
      <c r="IU102" s="251"/>
      <c r="IV102" s="251"/>
      <c r="IW102" s="251"/>
      <c r="IX102" s="251"/>
      <c r="IY102" s="251"/>
      <c r="IZ102" s="251"/>
      <c r="JA102" s="251"/>
      <c r="JB102" s="251"/>
      <c r="JC102" s="251"/>
      <c r="JD102" s="251"/>
      <c r="JE102" s="251"/>
      <c r="JF102" s="251"/>
      <c r="JG102" s="251"/>
      <c r="JH102" s="251"/>
      <c r="JI102" s="251"/>
    </row>
    <row r="103" spans="1:269">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251"/>
      <c r="CK103" s="251"/>
      <c r="CL103" s="251"/>
      <c r="CM103" s="251"/>
      <c r="CN103" s="251"/>
      <c r="CO103" s="251"/>
      <c r="CP103" s="251"/>
      <c r="CQ103" s="251"/>
      <c r="CR103" s="251"/>
      <c r="CS103" s="251"/>
      <c r="CT103" s="251"/>
      <c r="CU103" s="251"/>
      <c r="CV103" s="251"/>
      <c r="CW103" s="251"/>
      <c r="CX103" s="251"/>
      <c r="CY103" s="251"/>
      <c r="CZ103" s="251"/>
      <c r="DA103" s="251"/>
      <c r="DB103" s="251"/>
      <c r="DC103" s="251"/>
      <c r="DD103" s="251"/>
      <c r="DE103" s="251"/>
      <c r="DF103" s="251"/>
      <c r="DG103" s="251"/>
      <c r="DH103" s="251"/>
      <c r="DI103" s="251"/>
      <c r="DJ103" s="251"/>
      <c r="DK103" s="251"/>
      <c r="DL103" s="251"/>
      <c r="DM103" s="251"/>
      <c r="DN103" s="251"/>
      <c r="DO103" s="251"/>
      <c r="DP103" s="251"/>
      <c r="DQ103" s="251"/>
      <c r="DR103" s="251"/>
      <c r="DS103" s="251"/>
      <c r="DT103" s="251"/>
      <c r="DU103" s="251"/>
      <c r="DV103" s="251"/>
      <c r="DW103" s="251"/>
      <c r="DX103" s="251"/>
      <c r="DY103" s="251"/>
      <c r="DZ103" s="251"/>
      <c r="EA103" s="251"/>
      <c r="EB103" s="251"/>
      <c r="EC103" s="251"/>
      <c r="ED103" s="251"/>
      <c r="EE103" s="251"/>
      <c r="EF103" s="251"/>
      <c r="EG103" s="251"/>
      <c r="EH103" s="251"/>
      <c r="EI103" s="251"/>
      <c r="EJ103" s="251"/>
      <c r="EK103" s="251"/>
      <c r="EL103" s="251"/>
      <c r="EM103" s="251"/>
      <c r="EN103" s="251"/>
      <c r="EO103" s="251"/>
      <c r="EP103" s="251"/>
      <c r="EQ103" s="251"/>
      <c r="ER103" s="251"/>
      <c r="ES103" s="251"/>
      <c r="ET103" s="251"/>
      <c r="EU103" s="251"/>
      <c r="EV103" s="251"/>
      <c r="EW103" s="251"/>
      <c r="EX103" s="251"/>
      <c r="EY103" s="251"/>
      <c r="EZ103" s="251"/>
      <c r="FA103" s="251"/>
      <c r="FB103" s="251"/>
      <c r="FC103" s="251"/>
      <c r="FD103" s="251"/>
      <c r="FE103" s="251"/>
      <c r="FF103" s="251"/>
      <c r="FG103" s="251"/>
      <c r="FH103" s="251"/>
      <c r="FI103" s="251"/>
      <c r="FJ103" s="251"/>
      <c r="FK103" s="251"/>
      <c r="FL103" s="251"/>
      <c r="FM103" s="251"/>
      <c r="FN103" s="251"/>
      <c r="FO103" s="251"/>
      <c r="FP103" s="251"/>
      <c r="FQ103" s="251"/>
      <c r="FR103" s="251"/>
      <c r="FS103" s="251"/>
      <c r="FT103" s="251"/>
      <c r="FU103" s="251"/>
      <c r="FV103" s="251"/>
      <c r="FW103" s="251"/>
      <c r="FX103" s="251"/>
      <c r="FY103" s="251"/>
      <c r="FZ103" s="251"/>
      <c r="GA103" s="251"/>
      <c r="GB103" s="251"/>
      <c r="GC103" s="251"/>
      <c r="GD103" s="251"/>
      <c r="GE103" s="251"/>
      <c r="GF103" s="251"/>
      <c r="GG103" s="251"/>
      <c r="GH103" s="251"/>
      <c r="GI103" s="251"/>
      <c r="GJ103" s="251"/>
      <c r="GK103" s="251"/>
      <c r="GL103" s="251"/>
      <c r="GM103" s="251"/>
      <c r="GN103" s="251"/>
      <c r="GO103" s="251"/>
      <c r="GP103" s="251"/>
      <c r="GQ103" s="251"/>
      <c r="GR103" s="251"/>
      <c r="GS103" s="251"/>
      <c r="GT103" s="251"/>
      <c r="GU103" s="251"/>
      <c r="GV103" s="251"/>
      <c r="GW103" s="251"/>
      <c r="GX103" s="251"/>
      <c r="GY103" s="251"/>
      <c r="GZ103" s="251"/>
      <c r="HA103" s="251"/>
      <c r="HB103" s="251"/>
      <c r="HC103" s="251"/>
      <c r="HD103" s="251"/>
      <c r="HE103" s="251"/>
      <c r="HF103" s="251"/>
      <c r="HG103" s="251"/>
      <c r="HH103" s="251"/>
      <c r="HI103" s="251"/>
      <c r="HJ103" s="251"/>
      <c r="HK103" s="251"/>
      <c r="HL103" s="251"/>
      <c r="HM103" s="251"/>
      <c r="HN103" s="251"/>
      <c r="HO103" s="251"/>
      <c r="HP103" s="251"/>
      <c r="HQ103" s="251"/>
      <c r="HR103" s="251"/>
      <c r="HS103" s="251"/>
      <c r="HT103" s="251"/>
      <c r="HU103" s="251"/>
      <c r="HV103" s="251"/>
      <c r="HW103" s="251"/>
      <c r="HX103" s="251"/>
      <c r="HY103" s="251"/>
      <c r="HZ103" s="251"/>
      <c r="IA103" s="251"/>
      <c r="IB103" s="251"/>
      <c r="IC103" s="251"/>
      <c r="ID103" s="251"/>
      <c r="IE103" s="251"/>
      <c r="IF103" s="251"/>
      <c r="IG103" s="251"/>
      <c r="IH103" s="251"/>
      <c r="II103" s="251"/>
      <c r="IJ103" s="251"/>
      <c r="IK103" s="251"/>
      <c r="IL103" s="251"/>
      <c r="IM103" s="251"/>
      <c r="IN103" s="251"/>
      <c r="IO103" s="251"/>
      <c r="IP103" s="251"/>
      <c r="IQ103" s="251"/>
      <c r="IR103" s="251"/>
      <c r="IS103" s="251"/>
      <c r="IT103" s="251"/>
      <c r="IU103" s="251"/>
      <c r="IV103" s="251"/>
      <c r="IW103" s="251"/>
      <c r="IX103" s="251"/>
      <c r="IY103" s="251"/>
      <c r="IZ103" s="251"/>
      <c r="JA103" s="251"/>
      <c r="JB103" s="251"/>
      <c r="JC103" s="251"/>
      <c r="JD103" s="251"/>
      <c r="JE103" s="251"/>
      <c r="JF103" s="251"/>
      <c r="JG103" s="251"/>
      <c r="JH103" s="251"/>
      <c r="JI103" s="251"/>
    </row>
    <row r="104" spans="1:269">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G104" s="251"/>
      <c r="CH104" s="251"/>
      <c r="CI104" s="251"/>
      <c r="CJ104" s="251"/>
      <c r="CK104" s="251"/>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251"/>
      <c r="DI104" s="251"/>
      <c r="DJ104" s="251"/>
      <c r="DK104" s="251"/>
      <c r="DL104" s="251"/>
      <c r="DM104" s="251"/>
      <c r="DN104" s="251"/>
      <c r="DO104" s="251"/>
      <c r="DP104" s="251"/>
      <c r="DQ104" s="251"/>
      <c r="DR104" s="251"/>
      <c r="DS104" s="251"/>
      <c r="DT104" s="251"/>
      <c r="DU104" s="251"/>
      <c r="DV104" s="251"/>
      <c r="DW104" s="251"/>
      <c r="DX104" s="251"/>
      <c r="DY104" s="251"/>
      <c r="DZ104" s="251"/>
      <c r="EA104" s="251"/>
      <c r="EB104" s="251"/>
      <c r="EC104" s="251"/>
      <c r="ED104" s="251"/>
      <c r="EE104" s="251"/>
      <c r="EF104" s="251"/>
      <c r="EG104" s="251"/>
      <c r="EH104" s="251"/>
      <c r="EI104" s="251"/>
      <c r="EJ104" s="251"/>
      <c r="EK104" s="251"/>
      <c r="EL104" s="251"/>
      <c r="EM104" s="251"/>
      <c r="EN104" s="251"/>
      <c r="EO104" s="251"/>
      <c r="EP104" s="251"/>
      <c r="EQ104" s="251"/>
      <c r="ER104" s="251"/>
      <c r="ES104" s="251"/>
      <c r="ET104" s="251"/>
      <c r="EU104" s="251"/>
      <c r="EV104" s="251"/>
      <c r="EW104" s="251"/>
      <c r="EX104" s="251"/>
      <c r="EY104" s="251"/>
      <c r="EZ104" s="251"/>
      <c r="FA104" s="251"/>
      <c r="FB104" s="251"/>
      <c r="FC104" s="251"/>
      <c r="FD104" s="251"/>
      <c r="FE104" s="251"/>
      <c r="FF104" s="251"/>
      <c r="FG104" s="251"/>
      <c r="FH104" s="251"/>
      <c r="FI104" s="251"/>
      <c r="FJ104" s="251"/>
      <c r="FK104" s="251"/>
      <c r="FL104" s="251"/>
      <c r="FM104" s="251"/>
      <c r="FN104" s="251"/>
      <c r="FO104" s="251"/>
      <c r="FP104" s="251"/>
      <c r="FQ104" s="251"/>
      <c r="FR104" s="251"/>
      <c r="FS104" s="251"/>
      <c r="FT104" s="251"/>
      <c r="FU104" s="251"/>
      <c r="FV104" s="251"/>
      <c r="FW104" s="251"/>
      <c r="FX104" s="251"/>
      <c r="FY104" s="251"/>
      <c r="FZ104" s="251"/>
      <c r="GA104" s="251"/>
      <c r="GB104" s="251"/>
      <c r="GC104" s="251"/>
      <c r="GD104" s="251"/>
      <c r="GE104" s="251"/>
      <c r="GF104" s="251"/>
      <c r="GG104" s="251"/>
      <c r="GH104" s="251"/>
      <c r="GI104" s="251"/>
      <c r="GJ104" s="251"/>
      <c r="GK104" s="251"/>
      <c r="GL104" s="251"/>
      <c r="GM104" s="251"/>
      <c r="GN104" s="251"/>
      <c r="GO104" s="251"/>
      <c r="GP104" s="251"/>
      <c r="GQ104" s="251"/>
      <c r="GR104" s="251"/>
      <c r="GS104" s="251"/>
      <c r="GT104" s="251"/>
      <c r="GU104" s="251"/>
      <c r="GV104" s="251"/>
      <c r="GW104" s="251"/>
      <c r="GX104" s="251"/>
      <c r="GY104" s="251"/>
      <c r="GZ104" s="251"/>
      <c r="HA104" s="251"/>
      <c r="HB104" s="251"/>
      <c r="HC104" s="251"/>
      <c r="HD104" s="251"/>
      <c r="HE104" s="251"/>
      <c r="HF104" s="251"/>
      <c r="HG104" s="251"/>
      <c r="HH104" s="251"/>
      <c r="HI104" s="251"/>
      <c r="HJ104" s="251"/>
      <c r="HK104" s="251"/>
      <c r="HL104" s="251"/>
      <c r="HM104" s="251"/>
      <c r="HN104" s="251"/>
      <c r="HO104" s="251"/>
      <c r="HP104" s="251"/>
      <c r="HQ104" s="251"/>
      <c r="HR104" s="251"/>
      <c r="HS104" s="251"/>
      <c r="HT104" s="251"/>
      <c r="HU104" s="251"/>
      <c r="HV104" s="251"/>
      <c r="HW104" s="251"/>
      <c r="HX104" s="251"/>
      <c r="HY104" s="251"/>
      <c r="HZ104" s="251"/>
      <c r="IA104" s="251"/>
      <c r="IB104" s="251"/>
      <c r="IC104" s="251"/>
      <c r="ID104" s="251"/>
      <c r="IE104" s="251"/>
      <c r="IF104" s="251"/>
      <c r="IG104" s="251"/>
      <c r="IH104" s="251"/>
      <c r="II104" s="251"/>
      <c r="IJ104" s="251"/>
      <c r="IK104" s="251"/>
      <c r="IL104" s="251"/>
      <c r="IM104" s="251"/>
      <c r="IN104" s="251"/>
      <c r="IO104" s="251"/>
      <c r="IP104" s="251"/>
      <c r="IQ104" s="251"/>
      <c r="IR104" s="251"/>
      <c r="IS104" s="251"/>
      <c r="IT104" s="251"/>
      <c r="IU104" s="251"/>
      <c r="IV104" s="251"/>
      <c r="IW104" s="251"/>
      <c r="IX104" s="251"/>
      <c r="IY104" s="251"/>
      <c r="IZ104" s="251"/>
      <c r="JA104" s="251"/>
      <c r="JB104" s="251"/>
      <c r="JC104" s="251"/>
      <c r="JD104" s="251"/>
      <c r="JE104" s="251"/>
      <c r="JF104" s="251"/>
      <c r="JG104" s="251"/>
      <c r="JH104" s="251"/>
      <c r="JI104" s="251"/>
    </row>
    <row r="105" spans="1:269">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A105" s="251"/>
      <c r="EB105" s="251"/>
      <c r="EC105" s="251"/>
      <c r="ED105" s="251"/>
      <c r="EE105" s="251"/>
      <c r="EF105" s="251"/>
      <c r="EG105" s="251"/>
      <c r="EH105" s="251"/>
      <c r="EI105" s="251"/>
      <c r="EJ105" s="251"/>
      <c r="EK105" s="251"/>
      <c r="EL105" s="251"/>
      <c r="EM105" s="251"/>
      <c r="EN105" s="251"/>
      <c r="EO105" s="251"/>
      <c r="EP105" s="251"/>
      <c r="EQ105" s="251"/>
      <c r="ER105" s="251"/>
      <c r="ES105" s="251"/>
      <c r="ET105" s="251"/>
      <c r="EU105" s="251"/>
      <c r="EV105" s="251"/>
      <c r="EW105" s="251"/>
      <c r="EX105" s="251"/>
      <c r="EY105" s="251"/>
      <c r="EZ105" s="251"/>
      <c r="FA105" s="251"/>
      <c r="FB105" s="251"/>
      <c r="FC105" s="251"/>
      <c r="FD105" s="251"/>
      <c r="FE105" s="251"/>
      <c r="FF105" s="251"/>
      <c r="FG105" s="251"/>
      <c r="FH105" s="251"/>
      <c r="FI105" s="251"/>
      <c r="FJ105" s="251"/>
      <c r="FK105" s="251"/>
      <c r="FL105" s="251"/>
      <c r="FM105" s="251"/>
      <c r="FN105" s="251"/>
      <c r="FO105" s="251"/>
      <c r="FP105" s="251"/>
      <c r="FQ105" s="251"/>
      <c r="FR105" s="251"/>
      <c r="FS105" s="251"/>
      <c r="FT105" s="251"/>
      <c r="FU105" s="251"/>
      <c r="FV105" s="251"/>
      <c r="FW105" s="251"/>
      <c r="FX105" s="251"/>
      <c r="FY105" s="251"/>
      <c r="FZ105" s="251"/>
      <c r="GA105" s="251"/>
      <c r="GB105" s="251"/>
      <c r="GC105" s="251"/>
      <c r="GD105" s="251"/>
      <c r="GE105" s="251"/>
      <c r="GF105" s="251"/>
      <c r="GG105" s="251"/>
      <c r="GH105" s="251"/>
      <c r="GI105" s="251"/>
      <c r="GJ105" s="251"/>
      <c r="GK105" s="251"/>
      <c r="GL105" s="251"/>
      <c r="GM105" s="251"/>
      <c r="GN105" s="251"/>
      <c r="GO105" s="251"/>
      <c r="GP105" s="251"/>
      <c r="GQ105" s="251"/>
      <c r="GR105" s="251"/>
      <c r="GS105" s="251"/>
      <c r="GT105" s="251"/>
      <c r="GU105" s="251"/>
      <c r="GV105" s="251"/>
      <c r="GW105" s="251"/>
      <c r="GX105" s="251"/>
      <c r="GY105" s="251"/>
      <c r="GZ105" s="251"/>
      <c r="HA105" s="251"/>
      <c r="HB105" s="251"/>
      <c r="HC105" s="251"/>
      <c r="HD105" s="251"/>
      <c r="HE105" s="251"/>
      <c r="HF105" s="251"/>
      <c r="HG105" s="251"/>
      <c r="HH105" s="251"/>
      <c r="HI105" s="251"/>
      <c r="HJ105" s="251"/>
      <c r="HK105" s="251"/>
      <c r="HL105" s="251"/>
      <c r="HM105" s="251"/>
      <c r="HN105" s="251"/>
      <c r="HO105" s="251"/>
      <c r="HP105" s="251"/>
      <c r="HQ105" s="251"/>
      <c r="HR105" s="251"/>
      <c r="HS105" s="251"/>
      <c r="HT105" s="251"/>
      <c r="HU105" s="251"/>
      <c r="HV105" s="251"/>
      <c r="HW105" s="251"/>
      <c r="HX105" s="251"/>
      <c r="HY105" s="251"/>
      <c r="HZ105" s="251"/>
      <c r="IA105" s="251"/>
      <c r="IB105" s="251"/>
      <c r="IC105" s="251"/>
      <c r="ID105" s="251"/>
      <c r="IE105" s="251"/>
      <c r="IF105" s="251"/>
      <c r="IG105" s="251"/>
      <c r="IH105" s="251"/>
      <c r="II105" s="251"/>
      <c r="IJ105" s="251"/>
      <c r="IK105" s="251"/>
      <c r="IL105" s="251"/>
      <c r="IM105" s="251"/>
      <c r="IN105" s="251"/>
      <c r="IO105" s="251"/>
      <c r="IP105" s="251"/>
      <c r="IQ105" s="251"/>
      <c r="IR105" s="251"/>
      <c r="IS105" s="251"/>
      <c r="IT105" s="251"/>
      <c r="IU105" s="251"/>
      <c r="IV105" s="251"/>
      <c r="IW105" s="251"/>
      <c r="IX105" s="251"/>
      <c r="IY105" s="251"/>
      <c r="IZ105" s="251"/>
      <c r="JA105" s="251"/>
      <c r="JB105" s="251"/>
      <c r="JC105" s="251"/>
      <c r="JD105" s="251"/>
      <c r="JE105" s="251"/>
      <c r="JF105" s="251"/>
      <c r="JG105" s="251"/>
      <c r="JH105" s="251"/>
      <c r="JI105" s="251"/>
    </row>
    <row r="106" spans="1:269">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51"/>
      <c r="EB106" s="251"/>
      <c r="EC106" s="251"/>
      <c r="ED106" s="251"/>
      <c r="EE106" s="251"/>
      <c r="EF106" s="251"/>
      <c r="EG106" s="251"/>
      <c r="EH106" s="251"/>
      <c r="EI106" s="251"/>
      <c r="EJ106" s="251"/>
      <c r="EK106" s="251"/>
      <c r="EL106" s="251"/>
      <c r="EM106" s="251"/>
      <c r="EN106" s="251"/>
      <c r="EO106" s="251"/>
      <c r="EP106" s="251"/>
      <c r="EQ106" s="251"/>
      <c r="ER106" s="251"/>
      <c r="ES106" s="251"/>
      <c r="ET106" s="251"/>
      <c r="EU106" s="251"/>
      <c r="EV106" s="251"/>
      <c r="EW106" s="251"/>
      <c r="EX106" s="251"/>
      <c r="EY106" s="251"/>
      <c r="EZ106" s="251"/>
      <c r="FA106" s="251"/>
      <c r="FB106" s="251"/>
      <c r="FC106" s="251"/>
      <c r="FD106" s="251"/>
      <c r="FE106" s="251"/>
      <c r="FF106" s="251"/>
      <c r="FG106" s="251"/>
      <c r="FH106" s="251"/>
      <c r="FI106" s="251"/>
      <c r="FJ106" s="251"/>
      <c r="FK106" s="251"/>
      <c r="FL106" s="251"/>
      <c r="FM106" s="251"/>
      <c r="FN106" s="251"/>
      <c r="FO106" s="251"/>
      <c r="FP106" s="251"/>
      <c r="FQ106" s="251"/>
      <c r="FR106" s="251"/>
      <c r="FS106" s="251"/>
      <c r="FT106" s="251"/>
      <c r="FU106" s="251"/>
      <c r="FV106" s="251"/>
      <c r="FW106" s="251"/>
      <c r="FX106" s="251"/>
      <c r="FY106" s="251"/>
      <c r="FZ106" s="251"/>
      <c r="GA106" s="251"/>
      <c r="GB106" s="251"/>
      <c r="GC106" s="251"/>
      <c r="GD106" s="251"/>
      <c r="GE106" s="251"/>
      <c r="GF106" s="251"/>
      <c r="GG106" s="251"/>
      <c r="GH106" s="251"/>
      <c r="GI106" s="251"/>
      <c r="GJ106" s="251"/>
      <c r="GK106" s="251"/>
      <c r="GL106" s="251"/>
      <c r="GM106" s="251"/>
      <c r="GN106" s="251"/>
      <c r="GO106" s="251"/>
      <c r="GP106" s="251"/>
      <c r="GQ106" s="251"/>
      <c r="GR106" s="251"/>
      <c r="GS106" s="251"/>
      <c r="GT106" s="251"/>
      <c r="GU106" s="251"/>
      <c r="GV106" s="251"/>
      <c r="GW106" s="251"/>
      <c r="GX106" s="251"/>
      <c r="GY106" s="251"/>
      <c r="GZ106" s="251"/>
      <c r="HA106" s="251"/>
      <c r="HB106" s="251"/>
      <c r="HC106" s="251"/>
      <c r="HD106" s="251"/>
      <c r="HE106" s="251"/>
      <c r="HF106" s="251"/>
      <c r="HG106" s="251"/>
      <c r="HH106" s="251"/>
      <c r="HI106" s="251"/>
      <c r="HJ106" s="251"/>
      <c r="HK106" s="251"/>
      <c r="HL106" s="251"/>
      <c r="HM106" s="251"/>
      <c r="HN106" s="251"/>
      <c r="HO106" s="251"/>
      <c r="HP106" s="251"/>
      <c r="HQ106" s="251"/>
      <c r="HR106" s="251"/>
      <c r="HS106" s="251"/>
      <c r="HT106" s="251"/>
      <c r="HU106" s="251"/>
      <c r="HV106" s="251"/>
      <c r="HW106" s="251"/>
      <c r="HX106" s="251"/>
      <c r="HY106" s="251"/>
      <c r="HZ106" s="251"/>
      <c r="IA106" s="251"/>
      <c r="IB106" s="251"/>
      <c r="IC106" s="251"/>
      <c r="ID106" s="251"/>
      <c r="IE106" s="251"/>
      <c r="IF106" s="251"/>
      <c r="IG106" s="251"/>
      <c r="IH106" s="251"/>
      <c r="II106" s="251"/>
      <c r="IJ106" s="251"/>
      <c r="IK106" s="251"/>
      <c r="IL106" s="251"/>
      <c r="IM106" s="251"/>
      <c r="IN106" s="251"/>
      <c r="IO106" s="251"/>
      <c r="IP106" s="251"/>
      <c r="IQ106" s="251"/>
      <c r="IR106" s="251"/>
      <c r="IS106" s="251"/>
      <c r="IT106" s="251"/>
      <c r="IU106" s="251"/>
      <c r="IV106" s="251"/>
      <c r="IW106" s="251"/>
      <c r="IX106" s="251"/>
      <c r="IY106" s="251"/>
      <c r="IZ106" s="251"/>
      <c r="JA106" s="251"/>
      <c r="JB106" s="251"/>
      <c r="JC106" s="251"/>
      <c r="JD106" s="251"/>
      <c r="JE106" s="251"/>
      <c r="JF106" s="251"/>
      <c r="JG106" s="251"/>
      <c r="JH106" s="251"/>
      <c r="JI106" s="251"/>
    </row>
    <row r="107" spans="1:269">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A107" s="251"/>
      <c r="EB107" s="251"/>
      <c r="EC107" s="251"/>
      <c r="ED107" s="251"/>
      <c r="EE107" s="251"/>
      <c r="EF107" s="251"/>
      <c r="EG107" s="251"/>
      <c r="EH107" s="251"/>
      <c r="EI107" s="251"/>
      <c r="EJ107" s="251"/>
      <c r="EK107" s="251"/>
      <c r="EL107" s="251"/>
      <c r="EM107" s="251"/>
      <c r="EN107" s="251"/>
      <c r="EO107" s="251"/>
      <c r="EP107" s="251"/>
      <c r="EQ107" s="251"/>
      <c r="ER107" s="251"/>
      <c r="ES107" s="251"/>
      <c r="ET107" s="251"/>
      <c r="EU107" s="251"/>
      <c r="EV107" s="251"/>
      <c r="EW107" s="251"/>
      <c r="EX107" s="251"/>
      <c r="EY107" s="251"/>
      <c r="EZ107" s="251"/>
      <c r="FA107" s="251"/>
      <c r="FB107" s="251"/>
      <c r="FC107" s="251"/>
      <c r="FD107" s="251"/>
      <c r="FE107" s="251"/>
      <c r="FF107" s="251"/>
      <c r="FG107" s="251"/>
      <c r="FH107" s="251"/>
      <c r="FI107" s="251"/>
      <c r="FJ107" s="251"/>
      <c r="FK107" s="251"/>
      <c r="FL107" s="251"/>
      <c r="FM107" s="251"/>
      <c r="FN107" s="251"/>
      <c r="FO107" s="251"/>
      <c r="FP107" s="251"/>
      <c r="FQ107" s="251"/>
      <c r="FR107" s="251"/>
      <c r="FS107" s="251"/>
      <c r="FT107" s="251"/>
      <c r="FU107" s="251"/>
      <c r="FV107" s="251"/>
      <c r="FW107" s="251"/>
      <c r="FX107" s="251"/>
      <c r="FY107" s="251"/>
      <c r="FZ107" s="251"/>
      <c r="GA107" s="251"/>
      <c r="GB107" s="251"/>
      <c r="GC107" s="251"/>
      <c r="GD107" s="251"/>
      <c r="GE107" s="251"/>
      <c r="GF107" s="251"/>
      <c r="GG107" s="251"/>
      <c r="GH107" s="251"/>
      <c r="GI107" s="251"/>
      <c r="GJ107" s="251"/>
      <c r="GK107" s="251"/>
      <c r="GL107" s="251"/>
      <c r="GM107" s="251"/>
      <c r="GN107" s="251"/>
      <c r="GO107" s="251"/>
      <c r="GP107" s="251"/>
      <c r="GQ107" s="251"/>
      <c r="GR107" s="251"/>
      <c r="GS107" s="251"/>
      <c r="GT107" s="251"/>
      <c r="GU107" s="251"/>
      <c r="GV107" s="251"/>
      <c r="GW107" s="251"/>
      <c r="GX107" s="251"/>
      <c r="GY107" s="251"/>
      <c r="GZ107" s="251"/>
      <c r="HA107" s="251"/>
      <c r="HB107" s="251"/>
      <c r="HC107" s="251"/>
      <c r="HD107" s="251"/>
      <c r="HE107" s="251"/>
      <c r="HF107" s="251"/>
      <c r="HG107" s="251"/>
      <c r="HH107" s="251"/>
      <c r="HI107" s="251"/>
      <c r="HJ107" s="251"/>
      <c r="HK107" s="251"/>
      <c r="HL107" s="251"/>
      <c r="HM107" s="251"/>
      <c r="HN107" s="251"/>
      <c r="HO107" s="251"/>
      <c r="HP107" s="251"/>
      <c r="HQ107" s="251"/>
      <c r="HR107" s="251"/>
      <c r="HS107" s="251"/>
      <c r="HT107" s="251"/>
      <c r="HU107" s="251"/>
      <c r="HV107" s="251"/>
      <c r="HW107" s="251"/>
      <c r="HX107" s="251"/>
      <c r="HY107" s="251"/>
      <c r="HZ107" s="251"/>
      <c r="IA107" s="251"/>
      <c r="IB107" s="251"/>
      <c r="IC107" s="251"/>
      <c r="ID107" s="251"/>
      <c r="IE107" s="251"/>
      <c r="IF107" s="251"/>
      <c r="IG107" s="251"/>
      <c r="IH107" s="251"/>
      <c r="II107" s="251"/>
      <c r="IJ107" s="251"/>
      <c r="IK107" s="251"/>
      <c r="IL107" s="251"/>
      <c r="IM107" s="251"/>
      <c r="IN107" s="251"/>
      <c r="IO107" s="251"/>
      <c r="IP107" s="251"/>
      <c r="IQ107" s="251"/>
      <c r="IR107" s="251"/>
      <c r="IS107" s="251"/>
      <c r="IT107" s="251"/>
      <c r="IU107" s="251"/>
      <c r="IV107" s="251"/>
      <c r="IW107" s="251"/>
      <c r="IX107" s="251"/>
      <c r="IY107" s="251"/>
      <c r="IZ107" s="251"/>
      <c r="JA107" s="251"/>
      <c r="JB107" s="251"/>
      <c r="JC107" s="251"/>
      <c r="JD107" s="251"/>
      <c r="JE107" s="251"/>
      <c r="JF107" s="251"/>
      <c r="JG107" s="251"/>
      <c r="JH107" s="251"/>
      <c r="JI107" s="251"/>
    </row>
    <row r="108" spans="1:269">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251"/>
      <c r="DP108" s="251"/>
      <c r="DQ108" s="251"/>
      <c r="DR108" s="251"/>
      <c r="DS108" s="251"/>
      <c r="DT108" s="251"/>
      <c r="DU108" s="251"/>
      <c r="DV108" s="251"/>
      <c r="DW108" s="251"/>
      <c r="DX108" s="251"/>
      <c r="DY108" s="251"/>
      <c r="DZ108" s="251"/>
      <c r="EA108" s="251"/>
      <c r="EB108" s="251"/>
      <c r="EC108" s="251"/>
      <c r="ED108" s="251"/>
      <c r="EE108" s="251"/>
      <c r="EF108" s="251"/>
      <c r="EG108" s="251"/>
      <c r="EH108" s="251"/>
      <c r="EI108" s="251"/>
      <c r="EJ108" s="251"/>
      <c r="EK108" s="251"/>
      <c r="EL108" s="251"/>
      <c r="EM108" s="251"/>
      <c r="EN108" s="251"/>
      <c r="EO108" s="251"/>
      <c r="EP108" s="251"/>
      <c r="EQ108" s="251"/>
      <c r="ER108" s="251"/>
      <c r="ES108" s="251"/>
      <c r="ET108" s="251"/>
      <c r="EU108" s="251"/>
      <c r="EV108" s="251"/>
      <c r="EW108" s="251"/>
      <c r="EX108" s="251"/>
      <c r="EY108" s="251"/>
      <c r="EZ108" s="251"/>
      <c r="FA108" s="251"/>
      <c r="FB108" s="251"/>
      <c r="FC108" s="251"/>
      <c r="FD108" s="251"/>
      <c r="FE108" s="251"/>
      <c r="FF108" s="251"/>
      <c r="FG108" s="251"/>
      <c r="FH108" s="251"/>
      <c r="FI108" s="251"/>
      <c r="FJ108" s="251"/>
      <c r="FK108" s="251"/>
      <c r="FL108" s="251"/>
      <c r="FM108" s="251"/>
      <c r="FN108" s="251"/>
      <c r="FO108" s="251"/>
      <c r="FP108" s="251"/>
      <c r="FQ108" s="251"/>
      <c r="FR108" s="251"/>
      <c r="FS108" s="251"/>
      <c r="FT108" s="251"/>
      <c r="FU108" s="251"/>
      <c r="FV108" s="251"/>
      <c r="FW108" s="251"/>
      <c r="FX108" s="251"/>
      <c r="FY108" s="251"/>
      <c r="FZ108" s="251"/>
      <c r="GA108" s="251"/>
      <c r="GB108" s="251"/>
      <c r="GC108" s="251"/>
      <c r="GD108" s="251"/>
      <c r="GE108" s="251"/>
      <c r="GF108" s="251"/>
      <c r="GG108" s="251"/>
      <c r="GH108" s="251"/>
      <c r="GI108" s="251"/>
      <c r="GJ108" s="251"/>
      <c r="GK108" s="251"/>
      <c r="GL108" s="251"/>
      <c r="GM108" s="251"/>
      <c r="GN108" s="251"/>
      <c r="GO108" s="251"/>
      <c r="GP108" s="251"/>
      <c r="GQ108" s="251"/>
      <c r="GR108" s="251"/>
      <c r="GS108" s="251"/>
      <c r="GT108" s="251"/>
      <c r="GU108" s="251"/>
      <c r="GV108" s="251"/>
      <c r="GW108" s="251"/>
      <c r="GX108" s="251"/>
      <c r="GY108" s="251"/>
      <c r="GZ108" s="251"/>
      <c r="HA108" s="251"/>
      <c r="HB108" s="251"/>
      <c r="HC108" s="251"/>
      <c r="HD108" s="251"/>
      <c r="HE108" s="251"/>
      <c r="HF108" s="251"/>
      <c r="HG108" s="251"/>
      <c r="HH108" s="251"/>
      <c r="HI108" s="251"/>
      <c r="HJ108" s="251"/>
      <c r="HK108" s="251"/>
      <c r="HL108" s="251"/>
      <c r="HM108" s="251"/>
      <c r="HN108" s="251"/>
      <c r="HO108" s="251"/>
      <c r="HP108" s="251"/>
      <c r="HQ108" s="251"/>
      <c r="HR108" s="251"/>
      <c r="HS108" s="251"/>
      <c r="HT108" s="251"/>
      <c r="HU108" s="251"/>
      <c r="HV108" s="251"/>
      <c r="HW108" s="251"/>
      <c r="HX108" s="251"/>
      <c r="HY108" s="251"/>
      <c r="HZ108" s="251"/>
      <c r="IA108" s="251"/>
      <c r="IB108" s="251"/>
      <c r="IC108" s="251"/>
      <c r="ID108" s="251"/>
      <c r="IE108" s="251"/>
      <c r="IF108" s="251"/>
      <c r="IG108" s="251"/>
      <c r="IH108" s="251"/>
      <c r="II108" s="251"/>
      <c r="IJ108" s="251"/>
      <c r="IK108" s="251"/>
      <c r="IL108" s="251"/>
      <c r="IM108" s="251"/>
      <c r="IN108" s="251"/>
      <c r="IO108" s="251"/>
      <c r="IP108" s="251"/>
      <c r="IQ108" s="251"/>
      <c r="IR108" s="251"/>
      <c r="IS108" s="251"/>
      <c r="IT108" s="251"/>
      <c r="IU108" s="251"/>
      <c r="IV108" s="251"/>
      <c r="IW108" s="251"/>
      <c r="IX108" s="251"/>
      <c r="IY108" s="251"/>
      <c r="IZ108" s="251"/>
      <c r="JA108" s="251"/>
      <c r="JB108" s="251"/>
      <c r="JC108" s="251"/>
      <c r="JD108" s="251"/>
      <c r="JE108" s="251"/>
      <c r="JF108" s="251"/>
      <c r="JG108" s="251"/>
      <c r="JH108" s="251"/>
      <c r="JI108" s="251"/>
    </row>
    <row r="109" spans="1:269">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M109" s="251"/>
      <c r="BN109" s="251"/>
      <c r="BO109" s="251"/>
      <c r="BP109" s="251"/>
      <c r="BQ109" s="251"/>
      <c r="BR109" s="251"/>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251"/>
      <c r="CR109" s="251"/>
      <c r="CS109" s="251"/>
      <c r="CT109" s="251"/>
      <c r="CU109" s="251"/>
      <c r="CV109" s="251"/>
      <c r="CW109" s="251"/>
      <c r="CX109" s="251"/>
      <c r="CY109" s="251"/>
      <c r="CZ109" s="251"/>
      <c r="DA109" s="251"/>
      <c r="DB109" s="251"/>
      <c r="DC109" s="251"/>
      <c r="DD109" s="251"/>
      <c r="DE109" s="251"/>
      <c r="DF109" s="251"/>
      <c r="DG109" s="251"/>
      <c r="DH109" s="251"/>
      <c r="DI109" s="251"/>
      <c r="DJ109" s="251"/>
      <c r="DK109" s="251"/>
      <c r="DL109" s="251"/>
      <c r="DM109" s="251"/>
      <c r="DN109" s="251"/>
      <c r="DO109" s="251"/>
      <c r="DP109" s="251"/>
      <c r="DQ109" s="251"/>
      <c r="DR109" s="251"/>
      <c r="DS109" s="251"/>
      <c r="DT109" s="251"/>
      <c r="DU109" s="251"/>
      <c r="DV109" s="251"/>
      <c r="DW109" s="251"/>
      <c r="DX109" s="251"/>
      <c r="DY109" s="251"/>
      <c r="DZ109" s="251"/>
      <c r="EA109" s="251"/>
      <c r="EB109" s="251"/>
      <c r="EC109" s="251"/>
      <c r="ED109" s="251"/>
      <c r="EE109" s="251"/>
      <c r="EF109" s="251"/>
      <c r="EG109" s="251"/>
      <c r="EH109" s="251"/>
      <c r="EI109" s="251"/>
      <c r="EJ109" s="251"/>
      <c r="EK109" s="251"/>
      <c r="EL109" s="251"/>
      <c r="EM109" s="251"/>
      <c r="EN109" s="251"/>
      <c r="EO109" s="251"/>
      <c r="EP109" s="251"/>
      <c r="EQ109" s="251"/>
      <c r="ER109" s="251"/>
      <c r="ES109" s="251"/>
      <c r="ET109" s="251"/>
      <c r="EU109" s="251"/>
      <c r="EV109" s="251"/>
      <c r="EW109" s="251"/>
      <c r="EX109" s="251"/>
      <c r="EY109" s="251"/>
      <c r="EZ109" s="251"/>
      <c r="FA109" s="251"/>
      <c r="FB109" s="251"/>
      <c r="FC109" s="251"/>
      <c r="FD109" s="251"/>
      <c r="FE109" s="251"/>
      <c r="FF109" s="251"/>
      <c r="FG109" s="251"/>
      <c r="FH109" s="251"/>
      <c r="FI109" s="251"/>
      <c r="FJ109" s="251"/>
      <c r="FK109" s="251"/>
      <c r="FL109" s="251"/>
      <c r="FM109" s="251"/>
      <c r="FN109" s="251"/>
      <c r="FO109" s="251"/>
      <c r="FP109" s="251"/>
      <c r="FQ109" s="251"/>
      <c r="FR109" s="251"/>
      <c r="FS109" s="251"/>
      <c r="FT109" s="251"/>
      <c r="FU109" s="251"/>
      <c r="FV109" s="251"/>
      <c r="FW109" s="251"/>
      <c r="FX109" s="251"/>
      <c r="FY109" s="251"/>
      <c r="FZ109" s="251"/>
      <c r="GA109" s="251"/>
      <c r="GB109" s="251"/>
      <c r="GC109" s="251"/>
      <c r="GD109" s="251"/>
      <c r="GE109" s="251"/>
      <c r="GF109" s="251"/>
      <c r="GG109" s="251"/>
      <c r="GH109" s="251"/>
      <c r="GI109" s="251"/>
      <c r="GJ109" s="251"/>
      <c r="GK109" s="251"/>
      <c r="GL109" s="251"/>
      <c r="GM109" s="251"/>
      <c r="GN109" s="251"/>
      <c r="GO109" s="251"/>
      <c r="GP109" s="251"/>
      <c r="GQ109" s="251"/>
      <c r="GR109" s="251"/>
      <c r="GS109" s="251"/>
      <c r="GT109" s="251"/>
      <c r="GU109" s="251"/>
      <c r="GV109" s="251"/>
      <c r="GW109" s="251"/>
      <c r="GX109" s="251"/>
      <c r="GY109" s="251"/>
      <c r="GZ109" s="251"/>
      <c r="HA109" s="251"/>
      <c r="HB109" s="251"/>
      <c r="HC109" s="251"/>
      <c r="HD109" s="251"/>
      <c r="HE109" s="251"/>
      <c r="HF109" s="251"/>
      <c r="HG109" s="251"/>
      <c r="HH109" s="251"/>
      <c r="HI109" s="251"/>
      <c r="HJ109" s="251"/>
      <c r="HK109" s="251"/>
      <c r="HL109" s="251"/>
      <c r="HM109" s="251"/>
      <c r="HN109" s="251"/>
      <c r="HO109" s="251"/>
      <c r="HP109" s="251"/>
      <c r="HQ109" s="251"/>
      <c r="HR109" s="251"/>
      <c r="HS109" s="251"/>
      <c r="HT109" s="251"/>
      <c r="HU109" s="251"/>
      <c r="HV109" s="251"/>
      <c r="HW109" s="251"/>
      <c r="HX109" s="251"/>
      <c r="HY109" s="251"/>
      <c r="HZ109" s="251"/>
      <c r="IA109" s="251"/>
      <c r="IB109" s="251"/>
      <c r="IC109" s="251"/>
      <c r="ID109" s="251"/>
      <c r="IE109" s="251"/>
      <c r="IF109" s="251"/>
      <c r="IG109" s="251"/>
      <c r="IH109" s="251"/>
      <c r="II109" s="251"/>
      <c r="IJ109" s="251"/>
      <c r="IK109" s="251"/>
      <c r="IL109" s="251"/>
      <c r="IM109" s="251"/>
      <c r="IN109" s="251"/>
      <c r="IO109" s="251"/>
      <c r="IP109" s="251"/>
      <c r="IQ109" s="251"/>
      <c r="IR109" s="251"/>
      <c r="IS109" s="251"/>
      <c r="IT109" s="251"/>
      <c r="IU109" s="251"/>
      <c r="IV109" s="251"/>
      <c r="IW109" s="251"/>
      <c r="IX109" s="251"/>
      <c r="IY109" s="251"/>
      <c r="IZ109" s="251"/>
      <c r="JA109" s="251"/>
      <c r="JB109" s="251"/>
      <c r="JC109" s="251"/>
      <c r="JD109" s="251"/>
      <c r="JE109" s="251"/>
      <c r="JF109" s="251"/>
      <c r="JG109" s="251"/>
      <c r="JH109" s="251"/>
      <c r="JI109" s="251"/>
    </row>
    <row r="110" spans="1:269">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1"/>
      <c r="BQ110" s="251"/>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251"/>
      <c r="CR110" s="251"/>
      <c r="CS110" s="251"/>
      <c r="CT110" s="251"/>
      <c r="CU110" s="251"/>
      <c r="CV110" s="251"/>
      <c r="CW110" s="251"/>
      <c r="CX110" s="251"/>
      <c r="CY110" s="251"/>
      <c r="CZ110" s="251"/>
      <c r="DA110" s="251"/>
      <c r="DB110" s="251"/>
      <c r="DC110" s="251"/>
      <c r="DD110" s="251"/>
      <c r="DE110" s="251"/>
      <c r="DF110" s="251"/>
      <c r="DG110" s="251"/>
      <c r="DH110" s="251"/>
      <c r="DI110" s="251"/>
      <c r="DJ110" s="251"/>
      <c r="DK110" s="251"/>
      <c r="DL110" s="251"/>
      <c r="DM110" s="251"/>
      <c r="DN110" s="251"/>
      <c r="DO110" s="251"/>
      <c r="DP110" s="251"/>
      <c r="DQ110" s="251"/>
      <c r="DR110" s="251"/>
      <c r="DS110" s="251"/>
      <c r="DT110" s="251"/>
      <c r="DU110" s="251"/>
      <c r="DV110" s="251"/>
      <c r="DW110" s="251"/>
      <c r="DX110" s="251"/>
      <c r="DY110" s="251"/>
      <c r="DZ110" s="251"/>
      <c r="EA110" s="251"/>
      <c r="EB110" s="251"/>
      <c r="EC110" s="251"/>
      <c r="ED110" s="251"/>
      <c r="EE110" s="251"/>
      <c r="EF110" s="251"/>
      <c r="EG110" s="251"/>
      <c r="EH110" s="251"/>
      <c r="EI110" s="251"/>
      <c r="EJ110" s="251"/>
      <c r="EK110" s="251"/>
      <c r="EL110" s="251"/>
      <c r="EM110" s="251"/>
      <c r="EN110" s="251"/>
      <c r="EO110" s="251"/>
      <c r="EP110" s="251"/>
      <c r="EQ110" s="251"/>
      <c r="ER110" s="251"/>
      <c r="ES110" s="251"/>
      <c r="ET110" s="251"/>
      <c r="EU110" s="251"/>
      <c r="EV110" s="251"/>
      <c r="EW110" s="251"/>
      <c r="EX110" s="251"/>
      <c r="EY110" s="251"/>
      <c r="EZ110" s="251"/>
      <c r="FA110" s="251"/>
      <c r="FB110" s="251"/>
      <c r="FC110" s="251"/>
      <c r="FD110" s="251"/>
      <c r="FE110" s="251"/>
      <c r="FF110" s="251"/>
      <c r="FG110" s="251"/>
      <c r="FH110" s="251"/>
      <c r="FI110" s="251"/>
      <c r="FJ110" s="251"/>
      <c r="FK110" s="251"/>
      <c r="FL110" s="251"/>
      <c r="FM110" s="251"/>
      <c r="FN110" s="251"/>
      <c r="FO110" s="251"/>
      <c r="FP110" s="251"/>
      <c r="FQ110" s="251"/>
      <c r="FR110" s="251"/>
      <c r="FS110" s="251"/>
      <c r="FT110" s="251"/>
      <c r="FU110" s="251"/>
      <c r="FV110" s="251"/>
      <c r="FW110" s="251"/>
      <c r="FX110" s="251"/>
      <c r="FY110" s="251"/>
      <c r="FZ110" s="251"/>
      <c r="GA110" s="251"/>
      <c r="GB110" s="251"/>
      <c r="GC110" s="251"/>
      <c r="GD110" s="251"/>
      <c r="GE110" s="251"/>
      <c r="GF110" s="251"/>
      <c r="GG110" s="251"/>
      <c r="GH110" s="251"/>
      <c r="GI110" s="251"/>
      <c r="GJ110" s="251"/>
      <c r="GK110" s="251"/>
      <c r="GL110" s="251"/>
      <c r="GM110" s="251"/>
      <c r="GN110" s="251"/>
      <c r="GO110" s="251"/>
      <c r="GP110" s="251"/>
      <c r="GQ110" s="251"/>
      <c r="GR110" s="251"/>
      <c r="GS110" s="251"/>
      <c r="GT110" s="251"/>
      <c r="GU110" s="251"/>
      <c r="GV110" s="251"/>
      <c r="GW110" s="251"/>
      <c r="GX110" s="251"/>
      <c r="GY110" s="251"/>
      <c r="GZ110" s="251"/>
      <c r="HA110" s="251"/>
      <c r="HB110" s="251"/>
      <c r="HC110" s="251"/>
      <c r="HD110" s="251"/>
      <c r="HE110" s="251"/>
      <c r="HF110" s="251"/>
      <c r="HG110" s="251"/>
      <c r="HH110" s="251"/>
      <c r="HI110" s="251"/>
      <c r="HJ110" s="251"/>
      <c r="HK110" s="251"/>
      <c r="HL110" s="251"/>
      <c r="HM110" s="251"/>
      <c r="HN110" s="251"/>
      <c r="HO110" s="251"/>
      <c r="HP110" s="251"/>
      <c r="HQ110" s="251"/>
      <c r="HR110" s="251"/>
      <c r="HS110" s="251"/>
      <c r="HT110" s="251"/>
      <c r="HU110" s="251"/>
      <c r="HV110" s="251"/>
      <c r="HW110" s="251"/>
      <c r="HX110" s="251"/>
      <c r="HY110" s="251"/>
      <c r="HZ110" s="251"/>
      <c r="IA110" s="251"/>
      <c r="IB110" s="251"/>
      <c r="IC110" s="251"/>
      <c r="ID110" s="251"/>
      <c r="IE110" s="251"/>
      <c r="IF110" s="251"/>
      <c r="IG110" s="251"/>
      <c r="IH110" s="251"/>
      <c r="II110" s="251"/>
      <c r="IJ110" s="251"/>
      <c r="IK110" s="251"/>
      <c r="IL110" s="251"/>
      <c r="IM110" s="251"/>
      <c r="IN110" s="251"/>
      <c r="IO110" s="251"/>
      <c r="IP110" s="251"/>
      <c r="IQ110" s="251"/>
      <c r="IR110" s="251"/>
      <c r="IS110" s="251"/>
      <c r="IT110" s="251"/>
      <c r="IU110" s="251"/>
      <c r="IV110" s="251"/>
      <c r="IW110" s="251"/>
      <c r="IX110" s="251"/>
      <c r="IY110" s="251"/>
      <c r="IZ110" s="251"/>
      <c r="JA110" s="251"/>
      <c r="JB110" s="251"/>
      <c r="JC110" s="251"/>
      <c r="JD110" s="251"/>
      <c r="JE110" s="251"/>
      <c r="JF110" s="251"/>
      <c r="JG110" s="251"/>
      <c r="JH110" s="251"/>
      <c r="JI110" s="251"/>
    </row>
    <row r="111" spans="1:269">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c r="BL111" s="251"/>
      <c r="BM111" s="251"/>
      <c r="BN111" s="251"/>
      <c r="BO111" s="251"/>
      <c r="BP111" s="251"/>
      <c r="BQ111" s="251"/>
      <c r="BR111" s="251"/>
      <c r="BS111" s="251"/>
      <c r="BT111" s="251"/>
      <c r="BU111" s="251"/>
      <c r="BV111" s="251"/>
      <c r="BW111" s="251"/>
      <c r="BX111" s="251"/>
      <c r="BY111" s="251"/>
      <c r="BZ111" s="251"/>
      <c r="CA111" s="251"/>
      <c r="CB111" s="251"/>
      <c r="CC111" s="251"/>
      <c r="CD111" s="251"/>
      <c r="CE111" s="251"/>
      <c r="CF111" s="251"/>
      <c r="CG111" s="251"/>
      <c r="CH111" s="251"/>
      <c r="CI111" s="251"/>
      <c r="CJ111" s="251"/>
      <c r="CK111" s="251"/>
      <c r="CL111" s="251"/>
      <c r="CM111" s="251"/>
      <c r="CN111" s="251"/>
      <c r="CO111" s="251"/>
      <c r="CP111" s="251"/>
      <c r="CQ111" s="251"/>
      <c r="CR111" s="251"/>
      <c r="CS111" s="251"/>
      <c r="CT111" s="251"/>
      <c r="CU111" s="251"/>
      <c r="CV111" s="251"/>
      <c r="CW111" s="251"/>
      <c r="CX111" s="251"/>
      <c r="CY111" s="251"/>
      <c r="CZ111" s="251"/>
      <c r="DA111" s="251"/>
      <c r="DB111" s="251"/>
      <c r="DC111" s="251"/>
      <c r="DD111" s="251"/>
      <c r="DE111" s="251"/>
      <c r="DF111" s="251"/>
      <c r="DG111" s="251"/>
      <c r="DH111" s="251"/>
      <c r="DI111" s="251"/>
      <c r="DJ111" s="251"/>
      <c r="DK111" s="251"/>
      <c r="DL111" s="251"/>
      <c r="DM111" s="251"/>
      <c r="DN111" s="251"/>
      <c r="DO111" s="251"/>
      <c r="DP111" s="251"/>
      <c r="DQ111" s="251"/>
      <c r="DR111" s="251"/>
      <c r="DS111" s="251"/>
      <c r="DT111" s="251"/>
      <c r="DU111" s="251"/>
      <c r="DV111" s="251"/>
      <c r="DW111" s="251"/>
      <c r="DX111" s="251"/>
      <c r="DY111" s="251"/>
      <c r="DZ111" s="251"/>
      <c r="EA111" s="251"/>
      <c r="EB111" s="251"/>
      <c r="EC111" s="251"/>
      <c r="ED111" s="251"/>
      <c r="EE111" s="251"/>
      <c r="EF111" s="251"/>
      <c r="EG111" s="251"/>
      <c r="EH111" s="251"/>
      <c r="EI111" s="251"/>
      <c r="EJ111" s="251"/>
      <c r="EK111" s="251"/>
      <c r="EL111" s="251"/>
      <c r="EM111" s="251"/>
      <c r="EN111" s="251"/>
      <c r="EO111" s="251"/>
      <c r="EP111" s="251"/>
      <c r="EQ111" s="251"/>
      <c r="ER111" s="251"/>
      <c r="ES111" s="251"/>
      <c r="ET111" s="251"/>
      <c r="EU111" s="251"/>
      <c r="EV111" s="251"/>
      <c r="EW111" s="251"/>
      <c r="EX111" s="251"/>
      <c r="EY111" s="251"/>
      <c r="EZ111" s="251"/>
      <c r="FA111" s="251"/>
      <c r="FB111" s="251"/>
      <c r="FC111" s="251"/>
      <c r="FD111" s="251"/>
      <c r="FE111" s="251"/>
      <c r="FF111" s="251"/>
      <c r="FG111" s="251"/>
      <c r="FH111" s="251"/>
      <c r="FI111" s="251"/>
      <c r="FJ111" s="251"/>
      <c r="FK111" s="251"/>
      <c r="FL111" s="251"/>
      <c r="FM111" s="251"/>
      <c r="FN111" s="251"/>
      <c r="FO111" s="251"/>
      <c r="FP111" s="251"/>
      <c r="FQ111" s="251"/>
      <c r="FR111" s="251"/>
      <c r="FS111" s="251"/>
      <c r="FT111" s="251"/>
      <c r="FU111" s="251"/>
      <c r="FV111" s="251"/>
      <c r="FW111" s="251"/>
      <c r="FX111" s="251"/>
      <c r="FY111" s="251"/>
      <c r="FZ111" s="251"/>
      <c r="GA111" s="251"/>
      <c r="GB111" s="251"/>
      <c r="GC111" s="251"/>
      <c r="GD111" s="251"/>
      <c r="GE111" s="251"/>
      <c r="GF111" s="251"/>
      <c r="GG111" s="251"/>
      <c r="GH111" s="251"/>
      <c r="GI111" s="251"/>
      <c r="GJ111" s="251"/>
      <c r="GK111" s="251"/>
      <c r="GL111" s="251"/>
      <c r="GM111" s="251"/>
      <c r="GN111" s="251"/>
      <c r="GO111" s="251"/>
      <c r="GP111" s="251"/>
      <c r="GQ111" s="251"/>
      <c r="GR111" s="251"/>
      <c r="GS111" s="251"/>
      <c r="GT111" s="251"/>
      <c r="GU111" s="251"/>
      <c r="GV111" s="251"/>
      <c r="GW111" s="251"/>
      <c r="GX111" s="251"/>
      <c r="GY111" s="251"/>
      <c r="GZ111" s="251"/>
      <c r="HA111" s="251"/>
      <c r="HB111" s="251"/>
      <c r="HC111" s="251"/>
      <c r="HD111" s="251"/>
      <c r="HE111" s="251"/>
      <c r="HF111" s="251"/>
      <c r="HG111" s="251"/>
      <c r="HH111" s="251"/>
      <c r="HI111" s="251"/>
      <c r="HJ111" s="251"/>
      <c r="HK111" s="251"/>
      <c r="HL111" s="251"/>
      <c r="HM111" s="251"/>
      <c r="HN111" s="251"/>
      <c r="HO111" s="251"/>
      <c r="HP111" s="251"/>
      <c r="HQ111" s="251"/>
      <c r="HR111" s="251"/>
      <c r="HS111" s="251"/>
      <c r="HT111" s="251"/>
      <c r="HU111" s="251"/>
      <c r="HV111" s="251"/>
      <c r="HW111" s="251"/>
      <c r="HX111" s="251"/>
      <c r="HY111" s="251"/>
      <c r="HZ111" s="251"/>
      <c r="IA111" s="251"/>
      <c r="IB111" s="251"/>
      <c r="IC111" s="251"/>
      <c r="ID111" s="251"/>
      <c r="IE111" s="251"/>
      <c r="IF111" s="251"/>
      <c r="IG111" s="251"/>
      <c r="IH111" s="251"/>
      <c r="II111" s="251"/>
      <c r="IJ111" s="251"/>
      <c r="IK111" s="251"/>
      <c r="IL111" s="251"/>
      <c r="IM111" s="251"/>
      <c r="IN111" s="251"/>
      <c r="IO111" s="251"/>
      <c r="IP111" s="251"/>
      <c r="IQ111" s="251"/>
      <c r="IR111" s="251"/>
      <c r="IS111" s="251"/>
      <c r="IT111" s="251"/>
      <c r="IU111" s="251"/>
      <c r="IV111" s="251"/>
      <c r="IW111" s="251"/>
      <c r="IX111" s="251"/>
      <c r="IY111" s="251"/>
      <c r="IZ111" s="251"/>
      <c r="JA111" s="251"/>
      <c r="JB111" s="251"/>
      <c r="JC111" s="251"/>
      <c r="JD111" s="251"/>
      <c r="JE111" s="251"/>
      <c r="JF111" s="251"/>
      <c r="JG111" s="251"/>
      <c r="JH111" s="251"/>
      <c r="JI111" s="251"/>
    </row>
    <row r="112" spans="1:269">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c r="BL112" s="251"/>
      <c r="BM112" s="251"/>
      <c r="BN112" s="251"/>
      <c r="BO112" s="251"/>
      <c r="BP112" s="251"/>
      <c r="BQ112" s="251"/>
      <c r="BR112" s="251"/>
      <c r="BS112" s="251"/>
      <c r="BT112" s="251"/>
      <c r="BU112" s="251"/>
      <c r="BV112" s="251"/>
      <c r="BW112" s="251"/>
      <c r="BX112" s="251"/>
      <c r="BY112" s="251"/>
      <c r="BZ112" s="251"/>
      <c r="CA112" s="251"/>
      <c r="CB112" s="251"/>
      <c r="CC112" s="251"/>
      <c r="CD112" s="251"/>
      <c r="CE112" s="251"/>
      <c r="CF112" s="251"/>
      <c r="CG112" s="251"/>
      <c r="CH112" s="251"/>
      <c r="CI112" s="251"/>
      <c r="CJ112" s="251"/>
      <c r="CK112" s="251"/>
      <c r="CL112" s="251"/>
      <c r="CM112" s="251"/>
      <c r="CN112" s="251"/>
      <c r="CO112" s="251"/>
      <c r="CP112" s="251"/>
      <c r="CQ112" s="251"/>
      <c r="CR112" s="251"/>
      <c r="CS112" s="251"/>
      <c r="CT112" s="251"/>
      <c r="CU112" s="251"/>
      <c r="CV112" s="251"/>
      <c r="CW112" s="251"/>
      <c r="CX112" s="251"/>
      <c r="CY112" s="251"/>
      <c r="CZ112" s="251"/>
      <c r="DA112" s="251"/>
      <c r="DB112" s="251"/>
      <c r="DC112" s="251"/>
      <c r="DD112" s="251"/>
      <c r="DE112" s="251"/>
      <c r="DF112" s="251"/>
      <c r="DG112" s="251"/>
      <c r="DH112" s="251"/>
      <c r="DI112" s="251"/>
      <c r="DJ112" s="251"/>
      <c r="DK112" s="251"/>
      <c r="DL112" s="251"/>
      <c r="DM112" s="251"/>
      <c r="DN112" s="251"/>
      <c r="DO112" s="251"/>
      <c r="DP112" s="251"/>
      <c r="DQ112" s="251"/>
      <c r="DR112" s="251"/>
      <c r="DS112" s="251"/>
      <c r="DT112" s="251"/>
      <c r="DU112" s="251"/>
      <c r="DV112" s="251"/>
      <c r="DW112" s="251"/>
      <c r="DX112" s="251"/>
      <c r="DY112" s="251"/>
      <c r="DZ112" s="251"/>
      <c r="EA112" s="251"/>
      <c r="EB112" s="251"/>
      <c r="EC112" s="251"/>
      <c r="ED112" s="251"/>
      <c r="EE112" s="251"/>
      <c r="EF112" s="251"/>
      <c r="EG112" s="251"/>
      <c r="EH112" s="251"/>
      <c r="EI112" s="251"/>
      <c r="EJ112" s="251"/>
      <c r="EK112" s="251"/>
      <c r="EL112" s="251"/>
      <c r="EM112" s="251"/>
      <c r="EN112" s="251"/>
      <c r="EO112" s="251"/>
      <c r="EP112" s="251"/>
      <c r="EQ112" s="251"/>
      <c r="ER112" s="251"/>
      <c r="ES112" s="251"/>
      <c r="ET112" s="251"/>
      <c r="EU112" s="251"/>
      <c r="EV112" s="251"/>
      <c r="EW112" s="251"/>
      <c r="EX112" s="251"/>
      <c r="EY112" s="251"/>
      <c r="EZ112" s="251"/>
      <c r="FA112" s="251"/>
      <c r="FB112" s="251"/>
      <c r="FC112" s="251"/>
      <c r="FD112" s="251"/>
      <c r="FE112" s="251"/>
      <c r="FF112" s="251"/>
      <c r="FG112" s="251"/>
      <c r="FH112" s="251"/>
      <c r="FI112" s="251"/>
      <c r="FJ112" s="251"/>
      <c r="FK112" s="251"/>
      <c r="FL112" s="251"/>
      <c r="FM112" s="251"/>
      <c r="FN112" s="251"/>
      <c r="FO112" s="251"/>
      <c r="FP112" s="251"/>
      <c r="FQ112" s="251"/>
      <c r="FR112" s="251"/>
      <c r="FS112" s="251"/>
      <c r="FT112" s="251"/>
      <c r="FU112" s="251"/>
      <c r="FV112" s="251"/>
      <c r="FW112" s="251"/>
      <c r="FX112" s="251"/>
      <c r="FY112" s="251"/>
      <c r="FZ112" s="251"/>
      <c r="GA112" s="251"/>
      <c r="GB112" s="251"/>
      <c r="GC112" s="251"/>
      <c r="GD112" s="251"/>
      <c r="GE112" s="251"/>
      <c r="GF112" s="251"/>
      <c r="GG112" s="251"/>
      <c r="GH112" s="251"/>
      <c r="GI112" s="251"/>
      <c r="GJ112" s="251"/>
      <c r="GK112" s="251"/>
      <c r="GL112" s="251"/>
      <c r="GM112" s="251"/>
      <c r="GN112" s="251"/>
      <c r="GO112" s="251"/>
      <c r="GP112" s="251"/>
      <c r="GQ112" s="251"/>
      <c r="GR112" s="251"/>
      <c r="GS112" s="251"/>
      <c r="GT112" s="251"/>
      <c r="GU112" s="251"/>
      <c r="GV112" s="251"/>
      <c r="GW112" s="251"/>
      <c r="GX112" s="251"/>
      <c r="GY112" s="251"/>
      <c r="GZ112" s="251"/>
      <c r="HA112" s="251"/>
      <c r="HB112" s="251"/>
      <c r="HC112" s="251"/>
      <c r="HD112" s="251"/>
      <c r="HE112" s="251"/>
      <c r="HF112" s="251"/>
      <c r="HG112" s="251"/>
      <c r="HH112" s="251"/>
      <c r="HI112" s="251"/>
      <c r="HJ112" s="251"/>
      <c r="HK112" s="251"/>
      <c r="HL112" s="251"/>
      <c r="HM112" s="251"/>
      <c r="HN112" s="251"/>
      <c r="HO112" s="251"/>
      <c r="HP112" s="251"/>
      <c r="HQ112" s="251"/>
      <c r="HR112" s="251"/>
      <c r="HS112" s="251"/>
      <c r="HT112" s="251"/>
      <c r="HU112" s="251"/>
      <c r="HV112" s="251"/>
      <c r="HW112" s="251"/>
      <c r="HX112" s="251"/>
      <c r="HY112" s="251"/>
      <c r="HZ112" s="251"/>
      <c r="IA112" s="251"/>
      <c r="IB112" s="251"/>
      <c r="IC112" s="251"/>
      <c r="ID112" s="251"/>
      <c r="IE112" s="251"/>
      <c r="IF112" s="251"/>
      <c r="IG112" s="251"/>
      <c r="IH112" s="251"/>
      <c r="II112" s="251"/>
      <c r="IJ112" s="251"/>
      <c r="IK112" s="251"/>
      <c r="IL112" s="251"/>
      <c r="IM112" s="251"/>
      <c r="IN112" s="251"/>
      <c r="IO112" s="251"/>
      <c r="IP112" s="251"/>
      <c r="IQ112" s="251"/>
      <c r="IR112" s="251"/>
      <c r="IS112" s="251"/>
      <c r="IT112" s="251"/>
      <c r="IU112" s="251"/>
      <c r="IV112" s="251"/>
      <c r="IW112" s="251"/>
      <c r="IX112" s="251"/>
      <c r="IY112" s="251"/>
      <c r="IZ112" s="251"/>
      <c r="JA112" s="251"/>
      <c r="JB112" s="251"/>
      <c r="JC112" s="251"/>
      <c r="JD112" s="251"/>
      <c r="JE112" s="251"/>
      <c r="JF112" s="251"/>
      <c r="JG112" s="251"/>
      <c r="JH112" s="251"/>
      <c r="JI112" s="251"/>
    </row>
    <row r="113" spans="1:269">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51"/>
      <c r="BR113" s="251"/>
      <c r="BS113" s="251"/>
      <c r="BT113" s="251"/>
      <c r="BU113" s="251"/>
      <c r="BV113" s="251"/>
      <c r="BW113" s="251"/>
      <c r="BX113" s="251"/>
      <c r="BY113" s="251"/>
      <c r="BZ113" s="251"/>
      <c r="CA113" s="251"/>
      <c r="CB113" s="251"/>
      <c r="CC113" s="251"/>
      <c r="CD113" s="251"/>
      <c r="CE113" s="251"/>
      <c r="CF113" s="251"/>
      <c r="CG113" s="251"/>
      <c r="CH113" s="251"/>
      <c r="CI113" s="251"/>
      <c r="CJ113" s="251"/>
      <c r="CK113" s="251"/>
      <c r="CL113" s="251"/>
      <c r="CM113" s="251"/>
      <c r="CN113" s="251"/>
      <c r="CO113" s="251"/>
      <c r="CP113" s="251"/>
      <c r="CQ113" s="251"/>
      <c r="CR113" s="251"/>
      <c r="CS113" s="251"/>
      <c r="CT113" s="251"/>
      <c r="CU113" s="251"/>
      <c r="CV113" s="251"/>
      <c r="CW113" s="251"/>
      <c r="CX113" s="251"/>
      <c r="CY113" s="251"/>
      <c r="CZ113" s="251"/>
      <c r="DA113" s="251"/>
      <c r="DB113" s="251"/>
      <c r="DC113" s="251"/>
      <c r="DD113" s="251"/>
      <c r="DE113" s="251"/>
      <c r="DF113" s="251"/>
      <c r="DG113" s="251"/>
      <c r="DH113" s="251"/>
      <c r="DI113" s="251"/>
      <c r="DJ113" s="251"/>
      <c r="DK113" s="251"/>
      <c r="DL113" s="251"/>
      <c r="DM113" s="251"/>
      <c r="DN113" s="251"/>
      <c r="DO113" s="251"/>
      <c r="DP113" s="251"/>
      <c r="DQ113" s="251"/>
      <c r="DR113" s="251"/>
      <c r="DS113" s="251"/>
      <c r="DT113" s="251"/>
      <c r="DU113" s="251"/>
      <c r="DV113" s="251"/>
      <c r="DW113" s="251"/>
      <c r="DX113" s="251"/>
      <c r="DY113" s="251"/>
      <c r="DZ113" s="251"/>
      <c r="EA113" s="251"/>
      <c r="EB113" s="251"/>
      <c r="EC113" s="251"/>
      <c r="ED113" s="251"/>
      <c r="EE113" s="251"/>
      <c r="EF113" s="251"/>
      <c r="EG113" s="251"/>
      <c r="EH113" s="251"/>
      <c r="EI113" s="251"/>
      <c r="EJ113" s="251"/>
      <c r="EK113" s="251"/>
      <c r="EL113" s="251"/>
      <c r="EM113" s="251"/>
      <c r="EN113" s="251"/>
      <c r="EO113" s="251"/>
      <c r="EP113" s="251"/>
      <c r="EQ113" s="251"/>
      <c r="ER113" s="251"/>
      <c r="ES113" s="251"/>
      <c r="ET113" s="251"/>
      <c r="EU113" s="251"/>
      <c r="EV113" s="251"/>
      <c r="EW113" s="251"/>
      <c r="EX113" s="251"/>
      <c r="EY113" s="251"/>
      <c r="EZ113" s="251"/>
      <c r="FA113" s="251"/>
      <c r="FB113" s="251"/>
      <c r="FC113" s="251"/>
      <c r="FD113" s="251"/>
      <c r="FE113" s="251"/>
      <c r="FF113" s="251"/>
      <c r="FG113" s="251"/>
      <c r="FH113" s="251"/>
      <c r="FI113" s="251"/>
      <c r="FJ113" s="251"/>
      <c r="FK113" s="251"/>
      <c r="FL113" s="251"/>
      <c r="FM113" s="251"/>
      <c r="FN113" s="251"/>
      <c r="FO113" s="251"/>
      <c r="FP113" s="251"/>
      <c r="FQ113" s="251"/>
      <c r="FR113" s="251"/>
      <c r="FS113" s="251"/>
      <c r="FT113" s="251"/>
      <c r="FU113" s="251"/>
      <c r="FV113" s="251"/>
      <c r="FW113" s="251"/>
      <c r="FX113" s="251"/>
      <c r="FY113" s="251"/>
      <c r="FZ113" s="251"/>
      <c r="GA113" s="251"/>
      <c r="GB113" s="251"/>
      <c r="GC113" s="251"/>
      <c r="GD113" s="251"/>
      <c r="GE113" s="251"/>
      <c r="GF113" s="251"/>
      <c r="GG113" s="251"/>
      <c r="GH113" s="251"/>
      <c r="GI113" s="251"/>
      <c r="GJ113" s="251"/>
      <c r="GK113" s="251"/>
      <c r="GL113" s="251"/>
      <c r="GM113" s="251"/>
      <c r="GN113" s="251"/>
      <c r="GO113" s="251"/>
      <c r="GP113" s="251"/>
      <c r="GQ113" s="251"/>
      <c r="GR113" s="251"/>
      <c r="GS113" s="251"/>
      <c r="GT113" s="251"/>
      <c r="GU113" s="251"/>
      <c r="GV113" s="251"/>
      <c r="GW113" s="251"/>
      <c r="GX113" s="251"/>
      <c r="GY113" s="251"/>
      <c r="GZ113" s="251"/>
      <c r="HA113" s="251"/>
      <c r="HB113" s="251"/>
      <c r="HC113" s="251"/>
      <c r="HD113" s="251"/>
      <c r="HE113" s="251"/>
      <c r="HF113" s="251"/>
      <c r="HG113" s="251"/>
      <c r="HH113" s="251"/>
      <c r="HI113" s="251"/>
      <c r="HJ113" s="251"/>
      <c r="HK113" s="251"/>
      <c r="HL113" s="251"/>
      <c r="HM113" s="251"/>
      <c r="HN113" s="251"/>
      <c r="HO113" s="251"/>
      <c r="HP113" s="251"/>
      <c r="HQ113" s="251"/>
      <c r="HR113" s="251"/>
      <c r="HS113" s="251"/>
      <c r="HT113" s="251"/>
      <c r="HU113" s="251"/>
      <c r="HV113" s="251"/>
      <c r="HW113" s="251"/>
      <c r="HX113" s="251"/>
      <c r="HY113" s="251"/>
      <c r="HZ113" s="251"/>
      <c r="IA113" s="251"/>
      <c r="IB113" s="251"/>
      <c r="IC113" s="251"/>
      <c r="ID113" s="251"/>
      <c r="IE113" s="251"/>
      <c r="IF113" s="251"/>
      <c r="IG113" s="251"/>
      <c r="IH113" s="251"/>
      <c r="II113" s="251"/>
      <c r="IJ113" s="251"/>
      <c r="IK113" s="251"/>
      <c r="IL113" s="251"/>
      <c r="IM113" s="251"/>
      <c r="IN113" s="251"/>
      <c r="IO113" s="251"/>
      <c r="IP113" s="251"/>
      <c r="IQ113" s="251"/>
      <c r="IR113" s="251"/>
      <c r="IS113" s="251"/>
      <c r="IT113" s="251"/>
      <c r="IU113" s="251"/>
      <c r="IV113" s="251"/>
      <c r="IW113" s="251"/>
      <c r="IX113" s="251"/>
      <c r="IY113" s="251"/>
      <c r="IZ113" s="251"/>
      <c r="JA113" s="251"/>
      <c r="JB113" s="251"/>
      <c r="JC113" s="251"/>
      <c r="JD113" s="251"/>
      <c r="JE113" s="251"/>
      <c r="JF113" s="251"/>
      <c r="JG113" s="251"/>
      <c r="JH113" s="251"/>
      <c r="JI113" s="251"/>
    </row>
    <row r="114" spans="1:269">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1"/>
      <c r="BR114" s="251"/>
      <c r="BS114" s="251"/>
      <c r="BT114" s="251"/>
      <c r="BU114" s="251"/>
      <c r="BV114" s="251"/>
      <c r="BW114" s="251"/>
      <c r="BX114" s="251"/>
      <c r="BY114" s="251"/>
      <c r="BZ114" s="251"/>
      <c r="CA114" s="251"/>
      <c r="CB114" s="251"/>
      <c r="CC114" s="251"/>
      <c r="CD114" s="251"/>
      <c r="CE114" s="251"/>
      <c r="CF114" s="251"/>
      <c r="CG114" s="251"/>
      <c r="CH114" s="251"/>
      <c r="CI114" s="251"/>
      <c r="CJ114" s="251"/>
      <c r="CK114" s="251"/>
      <c r="CL114" s="251"/>
      <c r="CM114" s="251"/>
      <c r="CN114" s="251"/>
      <c r="CO114" s="251"/>
      <c r="CP114" s="251"/>
      <c r="CQ114" s="251"/>
      <c r="CR114" s="251"/>
      <c r="CS114" s="251"/>
      <c r="CT114" s="251"/>
      <c r="CU114" s="251"/>
      <c r="CV114" s="251"/>
      <c r="CW114" s="251"/>
      <c r="CX114" s="251"/>
      <c r="CY114" s="251"/>
      <c r="CZ114" s="251"/>
      <c r="DA114" s="251"/>
      <c r="DB114" s="251"/>
      <c r="DC114" s="251"/>
      <c r="DD114" s="251"/>
      <c r="DE114" s="251"/>
      <c r="DF114" s="251"/>
      <c r="DG114" s="251"/>
      <c r="DH114" s="251"/>
      <c r="DI114" s="251"/>
      <c r="DJ114" s="251"/>
      <c r="DK114" s="251"/>
      <c r="DL114" s="251"/>
      <c r="DM114" s="251"/>
      <c r="DN114" s="251"/>
      <c r="DO114" s="251"/>
      <c r="DP114" s="251"/>
      <c r="DQ114" s="251"/>
      <c r="DR114" s="251"/>
      <c r="DS114" s="251"/>
      <c r="DT114" s="251"/>
      <c r="DU114" s="251"/>
      <c r="DV114" s="251"/>
      <c r="DW114" s="251"/>
      <c r="DX114" s="251"/>
      <c r="DY114" s="251"/>
      <c r="DZ114" s="251"/>
      <c r="EA114" s="251"/>
      <c r="EB114" s="251"/>
      <c r="EC114" s="251"/>
      <c r="ED114" s="251"/>
      <c r="EE114" s="251"/>
      <c r="EF114" s="251"/>
      <c r="EG114" s="251"/>
      <c r="EH114" s="251"/>
      <c r="EI114" s="251"/>
      <c r="EJ114" s="251"/>
      <c r="EK114" s="251"/>
      <c r="EL114" s="251"/>
      <c r="EM114" s="251"/>
      <c r="EN114" s="251"/>
      <c r="EO114" s="251"/>
      <c r="EP114" s="251"/>
      <c r="EQ114" s="251"/>
      <c r="ER114" s="251"/>
      <c r="ES114" s="251"/>
      <c r="ET114" s="251"/>
      <c r="EU114" s="251"/>
      <c r="EV114" s="251"/>
      <c r="EW114" s="251"/>
      <c r="EX114" s="251"/>
      <c r="EY114" s="251"/>
      <c r="EZ114" s="251"/>
      <c r="FA114" s="251"/>
      <c r="FB114" s="251"/>
      <c r="FC114" s="251"/>
      <c r="FD114" s="251"/>
      <c r="FE114" s="251"/>
      <c r="FF114" s="251"/>
      <c r="FG114" s="251"/>
      <c r="FH114" s="251"/>
      <c r="FI114" s="251"/>
      <c r="FJ114" s="251"/>
      <c r="FK114" s="251"/>
      <c r="FL114" s="251"/>
      <c r="FM114" s="251"/>
      <c r="FN114" s="251"/>
      <c r="FO114" s="251"/>
      <c r="FP114" s="251"/>
      <c r="FQ114" s="251"/>
      <c r="FR114" s="251"/>
      <c r="FS114" s="251"/>
      <c r="FT114" s="251"/>
      <c r="FU114" s="251"/>
      <c r="FV114" s="251"/>
      <c r="FW114" s="251"/>
      <c r="FX114" s="251"/>
      <c r="FY114" s="251"/>
      <c r="FZ114" s="251"/>
      <c r="GA114" s="251"/>
      <c r="GB114" s="251"/>
      <c r="GC114" s="251"/>
      <c r="GD114" s="251"/>
      <c r="GE114" s="251"/>
      <c r="GF114" s="251"/>
      <c r="GG114" s="251"/>
      <c r="GH114" s="251"/>
      <c r="GI114" s="251"/>
      <c r="GJ114" s="251"/>
      <c r="GK114" s="251"/>
      <c r="GL114" s="251"/>
      <c r="GM114" s="251"/>
      <c r="GN114" s="251"/>
      <c r="GO114" s="251"/>
      <c r="GP114" s="251"/>
      <c r="GQ114" s="251"/>
      <c r="GR114" s="251"/>
      <c r="GS114" s="251"/>
      <c r="GT114" s="251"/>
      <c r="GU114" s="251"/>
      <c r="GV114" s="251"/>
      <c r="GW114" s="251"/>
      <c r="GX114" s="251"/>
      <c r="GY114" s="251"/>
      <c r="GZ114" s="251"/>
      <c r="HA114" s="251"/>
      <c r="HB114" s="251"/>
      <c r="HC114" s="251"/>
      <c r="HD114" s="251"/>
      <c r="HE114" s="251"/>
      <c r="HF114" s="251"/>
      <c r="HG114" s="251"/>
      <c r="HH114" s="251"/>
      <c r="HI114" s="251"/>
      <c r="HJ114" s="251"/>
      <c r="HK114" s="251"/>
      <c r="HL114" s="251"/>
      <c r="HM114" s="251"/>
      <c r="HN114" s="251"/>
      <c r="HO114" s="251"/>
      <c r="HP114" s="251"/>
      <c r="HQ114" s="251"/>
      <c r="HR114" s="251"/>
      <c r="HS114" s="251"/>
      <c r="HT114" s="251"/>
      <c r="HU114" s="251"/>
      <c r="HV114" s="251"/>
      <c r="HW114" s="251"/>
      <c r="HX114" s="251"/>
      <c r="HY114" s="251"/>
      <c r="HZ114" s="251"/>
      <c r="IA114" s="251"/>
      <c r="IB114" s="251"/>
      <c r="IC114" s="251"/>
      <c r="ID114" s="251"/>
      <c r="IE114" s="251"/>
      <c r="IF114" s="251"/>
      <c r="IG114" s="251"/>
      <c r="IH114" s="251"/>
      <c r="II114" s="251"/>
      <c r="IJ114" s="251"/>
      <c r="IK114" s="251"/>
      <c r="IL114" s="251"/>
      <c r="IM114" s="251"/>
      <c r="IN114" s="251"/>
      <c r="IO114" s="251"/>
      <c r="IP114" s="251"/>
      <c r="IQ114" s="251"/>
      <c r="IR114" s="251"/>
      <c r="IS114" s="251"/>
      <c r="IT114" s="251"/>
      <c r="IU114" s="251"/>
      <c r="IV114" s="251"/>
      <c r="IW114" s="251"/>
      <c r="IX114" s="251"/>
      <c r="IY114" s="251"/>
      <c r="IZ114" s="251"/>
      <c r="JA114" s="251"/>
      <c r="JB114" s="251"/>
      <c r="JC114" s="251"/>
      <c r="JD114" s="251"/>
      <c r="JE114" s="251"/>
      <c r="JF114" s="251"/>
      <c r="JG114" s="251"/>
      <c r="JH114" s="251"/>
      <c r="JI114" s="251"/>
    </row>
    <row r="115" spans="1:269">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M115" s="251"/>
      <c r="BN115" s="251"/>
      <c r="BO115" s="251"/>
      <c r="BP115" s="251"/>
      <c r="BQ115" s="251"/>
      <c r="BR115" s="251"/>
      <c r="BS115" s="251"/>
      <c r="BT115" s="251"/>
      <c r="BU115" s="251"/>
      <c r="BV115" s="251"/>
      <c r="BW115" s="251"/>
      <c r="BX115" s="251"/>
      <c r="BY115" s="251"/>
      <c r="BZ115" s="251"/>
      <c r="CA115" s="251"/>
      <c r="CB115" s="251"/>
      <c r="CC115" s="251"/>
      <c r="CD115" s="251"/>
      <c r="CE115" s="251"/>
      <c r="CF115" s="251"/>
      <c r="CG115" s="251"/>
      <c r="CH115" s="251"/>
      <c r="CI115" s="251"/>
      <c r="CJ115" s="251"/>
      <c r="CK115" s="251"/>
      <c r="CL115" s="251"/>
      <c r="CM115" s="251"/>
      <c r="CN115" s="251"/>
      <c r="CO115" s="251"/>
      <c r="CP115" s="251"/>
      <c r="CQ115" s="251"/>
      <c r="CR115" s="251"/>
      <c r="CS115" s="251"/>
      <c r="CT115" s="251"/>
      <c r="CU115" s="251"/>
      <c r="CV115" s="251"/>
      <c r="CW115" s="251"/>
      <c r="CX115" s="251"/>
      <c r="CY115" s="251"/>
      <c r="CZ115" s="251"/>
      <c r="DA115" s="251"/>
      <c r="DB115" s="251"/>
      <c r="DC115" s="251"/>
      <c r="DD115" s="251"/>
      <c r="DE115" s="251"/>
      <c r="DF115" s="251"/>
      <c r="DG115" s="251"/>
      <c r="DH115" s="251"/>
      <c r="DI115" s="251"/>
      <c r="DJ115" s="251"/>
      <c r="DK115" s="251"/>
      <c r="DL115" s="251"/>
      <c r="DM115" s="251"/>
      <c r="DN115" s="251"/>
      <c r="DO115" s="251"/>
      <c r="DP115" s="251"/>
      <c r="DQ115" s="251"/>
      <c r="DR115" s="251"/>
      <c r="DS115" s="251"/>
      <c r="DT115" s="251"/>
      <c r="DU115" s="251"/>
      <c r="DV115" s="251"/>
      <c r="DW115" s="251"/>
      <c r="DX115" s="251"/>
      <c r="DY115" s="251"/>
      <c r="DZ115" s="251"/>
      <c r="EA115" s="251"/>
      <c r="EB115" s="251"/>
      <c r="EC115" s="251"/>
      <c r="ED115" s="251"/>
      <c r="EE115" s="251"/>
      <c r="EF115" s="251"/>
      <c r="EG115" s="251"/>
      <c r="EH115" s="251"/>
      <c r="EI115" s="251"/>
      <c r="EJ115" s="251"/>
      <c r="EK115" s="251"/>
      <c r="EL115" s="251"/>
      <c r="EM115" s="251"/>
      <c r="EN115" s="251"/>
      <c r="EO115" s="251"/>
      <c r="EP115" s="251"/>
      <c r="EQ115" s="251"/>
      <c r="ER115" s="251"/>
      <c r="ES115" s="251"/>
      <c r="ET115" s="251"/>
      <c r="EU115" s="251"/>
      <c r="EV115" s="251"/>
      <c r="EW115" s="251"/>
      <c r="EX115" s="251"/>
      <c r="EY115" s="251"/>
      <c r="EZ115" s="251"/>
      <c r="FA115" s="251"/>
      <c r="FB115" s="251"/>
      <c r="FC115" s="251"/>
      <c r="FD115" s="251"/>
      <c r="FE115" s="251"/>
      <c r="FF115" s="251"/>
      <c r="FG115" s="251"/>
      <c r="FH115" s="251"/>
      <c r="FI115" s="251"/>
      <c r="FJ115" s="251"/>
      <c r="FK115" s="251"/>
      <c r="FL115" s="251"/>
      <c r="FM115" s="251"/>
      <c r="FN115" s="251"/>
      <c r="FO115" s="251"/>
      <c r="FP115" s="251"/>
      <c r="FQ115" s="251"/>
      <c r="FR115" s="251"/>
      <c r="FS115" s="251"/>
      <c r="FT115" s="251"/>
      <c r="FU115" s="251"/>
      <c r="FV115" s="251"/>
      <c r="FW115" s="251"/>
      <c r="FX115" s="251"/>
      <c r="FY115" s="251"/>
      <c r="FZ115" s="251"/>
      <c r="GA115" s="251"/>
      <c r="GB115" s="251"/>
      <c r="GC115" s="251"/>
      <c r="GD115" s="251"/>
      <c r="GE115" s="251"/>
      <c r="GF115" s="251"/>
      <c r="GG115" s="251"/>
      <c r="GH115" s="251"/>
      <c r="GI115" s="251"/>
      <c r="GJ115" s="251"/>
      <c r="GK115" s="251"/>
      <c r="GL115" s="251"/>
      <c r="GM115" s="251"/>
      <c r="GN115" s="251"/>
      <c r="GO115" s="251"/>
      <c r="GP115" s="251"/>
      <c r="GQ115" s="251"/>
      <c r="GR115" s="251"/>
      <c r="GS115" s="251"/>
      <c r="GT115" s="251"/>
      <c r="GU115" s="251"/>
      <c r="GV115" s="251"/>
      <c r="GW115" s="251"/>
      <c r="GX115" s="251"/>
      <c r="GY115" s="251"/>
      <c r="GZ115" s="251"/>
      <c r="HA115" s="251"/>
      <c r="HB115" s="251"/>
      <c r="HC115" s="251"/>
      <c r="HD115" s="251"/>
      <c r="HE115" s="251"/>
      <c r="HF115" s="251"/>
      <c r="HG115" s="251"/>
      <c r="HH115" s="251"/>
      <c r="HI115" s="251"/>
      <c r="HJ115" s="251"/>
      <c r="HK115" s="251"/>
      <c r="HL115" s="251"/>
      <c r="HM115" s="251"/>
      <c r="HN115" s="251"/>
      <c r="HO115" s="251"/>
      <c r="HP115" s="251"/>
      <c r="HQ115" s="251"/>
      <c r="HR115" s="251"/>
      <c r="HS115" s="251"/>
      <c r="HT115" s="251"/>
      <c r="HU115" s="251"/>
      <c r="HV115" s="251"/>
      <c r="HW115" s="251"/>
      <c r="HX115" s="251"/>
      <c r="HY115" s="251"/>
      <c r="HZ115" s="251"/>
      <c r="IA115" s="251"/>
      <c r="IB115" s="251"/>
      <c r="IC115" s="251"/>
      <c r="ID115" s="251"/>
      <c r="IE115" s="251"/>
      <c r="IF115" s="251"/>
      <c r="IG115" s="251"/>
      <c r="IH115" s="251"/>
      <c r="II115" s="251"/>
      <c r="IJ115" s="251"/>
      <c r="IK115" s="251"/>
      <c r="IL115" s="251"/>
      <c r="IM115" s="251"/>
      <c r="IN115" s="251"/>
      <c r="IO115" s="251"/>
      <c r="IP115" s="251"/>
      <c r="IQ115" s="251"/>
      <c r="IR115" s="251"/>
      <c r="IS115" s="251"/>
      <c r="IT115" s="251"/>
      <c r="IU115" s="251"/>
      <c r="IV115" s="251"/>
      <c r="IW115" s="251"/>
      <c r="IX115" s="251"/>
      <c r="IY115" s="251"/>
      <c r="IZ115" s="251"/>
      <c r="JA115" s="251"/>
      <c r="JB115" s="251"/>
      <c r="JC115" s="251"/>
      <c r="JD115" s="251"/>
      <c r="JE115" s="251"/>
      <c r="JF115" s="251"/>
      <c r="JG115" s="251"/>
      <c r="JH115" s="251"/>
      <c r="JI115" s="251"/>
    </row>
    <row r="116" spans="1:269">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c r="BO116" s="251"/>
      <c r="BP116" s="251"/>
      <c r="BQ116" s="251"/>
      <c r="BR116" s="251"/>
      <c r="BS116" s="251"/>
      <c r="BT116" s="251"/>
      <c r="BU116" s="251"/>
      <c r="BV116" s="251"/>
      <c r="BW116" s="251"/>
      <c r="BX116" s="251"/>
      <c r="BY116" s="251"/>
      <c r="BZ116" s="251"/>
      <c r="CA116" s="251"/>
      <c r="CB116" s="251"/>
      <c r="CC116" s="251"/>
      <c r="CD116" s="251"/>
      <c r="CE116" s="251"/>
      <c r="CF116" s="251"/>
      <c r="CG116" s="251"/>
      <c r="CH116" s="251"/>
      <c r="CI116" s="251"/>
      <c r="CJ116" s="251"/>
      <c r="CK116" s="251"/>
      <c r="CL116" s="251"/>
      <c r="CM116" s="251"/>
      <c r="CN116" s="251"/>
      <c r="CO116" s="251"/>
      <c r="CP116" s="251"/>
      <c r="CQ116" s="251"/>
      <c r="CR116" s="251"/>
      <c r="CS116" s="251"/>
      <c r="CT116" s="251"/>
      <c r="CU116" s="251"/>
      <c r="CV116" s="251"/>
      <c r="CW116" s="251"/>
      <c r="CX116" s="251"/>
      <c r="CY116" s="251"/>
      <c r="CZ116" s="251"/>
      <c r="DA116" s="251"/>
      <c r="DB116" s="251"/>
      <c r="DC116" s="251"/>
      <c r="DD116" s="251"/>
      <c r="DE116" s="251"/>
      <c r="DF116" s="251"/>
      <c r="DG116" s="251"/>
      <c r="DH116" s="251"/>
      <c r="DI116" s="251"/>
      <c r="DJ116" s="251"/>
      <c r="DK116" s="251"/>
      <c r="DL116" s="251"/>
      <c r="DM116" s="251"/>
      <c r="DN116" s="251"/>
      <c r="DO116" s="251"/>
      <c r="DP116" s="251"/>
      <c r="DQ116" s="251"/>
      <c r="DR116" s="251"/>
      <c r="DS116" s="251"/>
      <c r="DT116" s="251"/>
      <c r="DU116" s="251"/>
      <c r="DV116" s="251"/>
      <c r="DW116" s="251"/>
      <c r="DX116" s="251"/>
      <c r="DY116" s="251"/>
      <c r="DZ116" s="251"/>
      <c r="EA116" s="251"/>
      <c r="EB116" s="251"/>
      <c r="EC116" s="251"/>
      <c r="ED116" s="251"/>
      <c r="EE116" s="251"/>
      <c r="EF116" s="251"/>
      <c r="EG116" s="251"/>
      <c r="EH116" s="251"/>
      <c r="EI116" s="251"/>
      <c r="EJ116" s="251"/>
      <c r="EK116" s="251"/>
      <c r="EL116" s="251"/>
      <c r="EM116" s="251"/>
      <c r="EN116" s="251"/>
      <c r="EO116" s="251"/>
      <c r="EP116" s="251"/>
      <c r="EQ116" s="251"/>
      <c r="ER116" s="251"/>
      <c r="ES116" s="251"/>
      <c r="ET116" s="251"/>
      <c r="EU116" s="251"/>
      <c r="EV116" s="251"/>
      <c r="EW116" s="251"/>
      <c r="EX116" s="251"/>
      <c r="EY116" s="251"/>
      <c r="EZ116" s="251"/>
      <c r="FA116" s="251"/>
      <c r="FB116" s="251"/>
      <c r="FC116" s="251"/>
      <c r="FD116" s="251"/>
      <c r="FE116" s="251"/>
      <c r="FF116" s="251"/>
      <c r="FG116" s="251"/>
      <c r="FH116" s="251"/>
      <c r="FI116" s="251"/>
      <c r="FJ116" s="251"/>
      <c r="FK116" s="251"/>
      <c r="FL116" s="251"/>
      <c r="FM116" s="251"/>
      <c r="FN116" s="251"/>
      <c r="FO116" s="251"/>
      <c r="FP116" s="251"/>
      <c r="FQ116" s="251"/>
      <c r="FR116" s="251"/>
      <c r="FS116" s="251"/>
      <c r="FT116" s="251"/>
      <c r="FU116" s="251"/>
      <c r="FV116" s="251"/>
      <c r="FW116" s="251"/>
      <c r="FX116" s="251"/>
      <c r="FY116" s="251"/>
      <c r="FZ116" s="251"/>
      <c r="GA116" s="251"/>
      <c r="GB116" s="251"/>
      <c r="GC116" s="251"/>
      <c r="GD116" s="251"/>
      <c r="GE116" s="251"/>
      <c r="GF116" s="251"/>
      <c r="GG116" s="251"/>
      <c r="GH116" s="251"/>
      <c r="GI116" s="251"/>
      <c r="GJ116" s="251"/>
      <c r="GK116" s="251"/>
      <c r="GL116" s="251"/>
      <c r="GM116" s="251"/>
      <c r="GN116" s="251"/>
      <c r="GO116" s="251"/>
      <c r="GP116" s="251"/>
      <c r="GQ116" s="251"/>
      <c r="GR116" s="251"/>
      <c r="GS116" s="251"/>
      <c r="GT116" s="251"/>
      <c r="GU116" s="251"/>
      <c r="GV116" s="251"/>
      <c r="GW116" s="251"/>
      <c r="GX116" s="251"/>
      <c r="GY116" s="251"/>
      <c r="GZ116" s="251"/>
      <c r="HA116" s="251"/>
      <c r="HB116" s="251"/>
      <c r="HC116" s="251"/>
      <c r="HD116" s="251"/>
      <c r="HE116" s="251"/>
      <c r="HF116" s="251"/>
      <c r="HG116" s="251"/>
      <c r="HH116" s="251"/>
      <c r="HI116" s="251"/>
      <c r="HJ116" s="251"/>
      <c r="HK116" s="251"/>
      <c r="HL116" s="251"/>
      <c r="HM116" s="251"/>
      <c r="HN116" s="251"/>
      <c r="HO116" s="251"/>
      <c r="HP116" s="251"/>
      <c r="HQ116" s="251"/>
      <c r="HR116" s="251"/>
      <c r="HS116" s="251"/>
      <c r="HT116" s="251"/>
      <c r="HU116" s="251"/>
      <c r="HV116" s="251"/>
      <c r="HW116" s="251"/>
      <c r="HX116" s="251"/>
      <c r="HY116" s="251"/>
      <c r="HZ116" s="251"/>
      <c r="IA116" s="251"/>
      <c r="IB116" s="251"/>
      <c r="IC116" s="251"/>
      <c r="ID116" s="251"/>
      <c r="IE116" s="251"/>
      <c r="IF116" s="251"/>
      <c r="IG116" s="251"/>
      <c r="IH116" s="251"/>
      <c r="II116" s="251"/>
      <c r="IJ116" s="251"/>
      <c r="IK116" s="251"/>
      <c r="IL116" s="251"/>
      <c r="IM116" s="251"/>
      <c r="IN116" s="251"/>
      <c r="IO116" s="251"/>
      <c r="IP116" s="251"/>
      <c r="IQ116" s="251"/>
      <c r="IR116" s="251"/>
      <c r="IS116" s="251"/>
      <c r="IT116" s="251"/>
      <c r="IU116" s="251"/>
      <c r="IV116" s="251"/>
      <c r="IW116" s="251"/>
      <c r="IX116" s="251"/>
      <c r="IY116" s="251"/>
      <c r="IZ116" s="251"/>
      <c r="JA116" s="251"/>
      <c r="JB116" s="251"/>
      <c r="JC116" s="251"/>
      <c r="JD116" s="251"/>
      <c r="JE116" s="251"/>
      <c r="JF116" s="251"/>
      <c r="JG116" s="251"/>
      <c r="JH116" s="251"/>
      <c r="JI116" s="251"/>
    </row>
    <row r="117" spans="1:269">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c r="CT117" s="251"/>
      <c r="CU117" s="251"/>
      <c r="CV117" s="251"/>
      <c r="CW117" s="251"/>
      <c r="CX117" s="251"/>
      <c r="CY117" s="251"/>
      <c r="CZ117" s="251"/>
      <c r="DA117" s="251"/>
      <c r="DB117" s="251"/>
      <c r="DC117" s="251"/>
      <c r="DD117" s="251"/>
      <c r="DE117" s="251"/>
      <c r="DF117" s="251"/>
      <c r="DG117" s="251"/>
      <c r="DH117" s="251"/>
      <c r="DI117" s="251"/>
      <c r="DJ117" s="251"/>
      <c r="DK117" s="251"/>
      <c r="DL117" s="251"/>
      <c r="DM117" s="251"/>
      <c r="DN117" s="251"/>
      <c r="DO117" s="251"/>
      <c r="DP117" s="251"/>
      <c r="DQ117" s="251"/>
      <c r="DR117" s="251"/>
      <c r="DS117" s="251"/>
      <c r="DT117" s="251"/>
      <c r="DU117" s="251"/>
      <c r="DV117" s="251"/>
      <c r="DW117" s="251"/>
      <c r="DX117" s="251"/>
      <c r="DY117" s="251"/>
      <c r="DZ117" s="251"/>
      <c r="EA117" s="251"/>
      <c r="EB117" s="251"/>
      <c r="EC117" s="251"/>
      <c r="ED117" s="251"/>
      <c r="EE117" s="251"/>
      <c r="EF117" s="251"/>
      <c r="EG117" s="251"/>
      <c r="EH117" s="251"/>
      <c r="EI117" s="251"/>
      <c r="EJ117" s="251"/>
      <c r="EK117" s="251"/>
      <c r="EL117" s="251"/>
      <c r="EM117" s="251"/>
      <c r="EN117" s="251"/>
      <c r="EO117" s="251"/>
      <c r="EP117" s="251"/>
      <c r="EQ117" s="251"/>
      <c r="ER117" s="251"/>
      <c r="ES117" s="251"/>
      <c r="ET117" s="251"/>
      <c r="EU117" s="251"/>
      <c r="EV117" s="251"/>
      <c r="EW117" s="251"/>
      <c r="EX117" s="251"/>
      <c r="EY117" s="251"/>
      <c r="EZ117" s="251"/>
      <c r="FA117" s="251"/>
      <c r="FB117" s="251"/>
      <c r="FC117" s="251"/>
      <c r="FD117" s="251"/>
      <c r="FE117" s="251"/>
      <c r="FF117" s="251"/>
      <c r="FG117" s="251"/>
      <c r="FH117" s="251"/>
      <c r="FI117" s="251"/>
      <c r="FJ117" s="251"/>
      <c r="FK117" s="251"/>
      <c r="FL117" s="251"/>
      <c r="FM117" s="251"/>
      <c r="FN117" s="251"/>
      <c r="FO117" s="251"/>
      <c r="FP117" s="251"/>
      <c r="FQ117" s="251"/>
      <c r="FR117" s="251"/>
      <c r="FS117" s="251"/>
      <c r="FT117" s="251"/>
      <c r="FU117" s="251"/>
      <c r="FV117" s="251"/>
      <c r="FW117" s="251"/>
      <c r="FX117" s="251"/>
      <c r="FY117" s="251"/>
      <c r="FZ117" s="251"/>
      <c r="GA117" s="251"/>
      <c r="GB117" s="251"/>
      <c r="GC117" s="251"/>
      <c r="GD117" s="251"/>
      <c r="GE117" s="251"/>
      <c r="GF117" s="251"/>
      <c r="GG117" s="251"/>
      <c r="GH117" s="251"/>
      <c r="GI117" s="251"/>
      <c r="GJ117" s="251"/>
      <c r="GK117" s="251"/>
      <c r="GL117" s="251"/>
      <c r="GM117" s="251"/>
      <c r="GN117" s="251"/>
      <c r="GO117" s="251"/>
      <c r="GP117" s="251"/>
      <c r="GQ117" s="251"/>
      <c r="GR117" s="251"/>
      <c r="GS117" s="251"/>
      <c r="GT117" s="251"/>
      <c r="GU117" s="251"/>
      <c r="GV117" s="251"/>
      <c r="GW117" s="251"/>
      <c r="GX117" s="251"/>
      <c r="GY117" s="251"/>
      <c r="GZ117" s="251"/>
      <c r="HA117" s="251"/>
      <c r="HB117" s="251"/>
      <c r="HC117" s="251"/>
      <c r="HD117" s="251"/>
      <c r="HE117" s="251"/>
      <c r="HF117" s="251"/>
      <c r="HG117" s="251"/>
      <c r="HH117" s="251"/>
      <c r="HI117" s="251"/>
      <c r="HJ117" s="251"/>
      <c r="HK117" s="251"/>
      <c r="HL117" s="251"/>
      <c r="HM117" s="251"/>
      <c r="HN117" s="251"/>
      <c r="HO117" s="251"/>
      <c r="HP117" s="251"/>
      <c r="HQ117" s="251"/>
      <c r="HR117" s="251"/>
      <c r="HS117" s="251"/>
      <c r="HT117" s="251"/>
      <c r="HU117" s="251"/>
      <c r="HV117" s="251"/>
      <c r="HW117" s="251"/>
      <c r="HX117" s="251"/>
      <c r="HY117" s="251"/>
      <c r="HZ117" s="251"/>
      <c r="IA117" s="251"/>
      <c r="IB117" s="251"/>
      <c r="IC117" s="251"/>
      <c r="ID117" s="251"/>
      <c r="IE117" s="251"/>
      <c r="IF117" s="251"/>
      <c r="IG117" s="251"/>
      <c r="IH117" s="251"/>
      <c r="II117" s="251"/>
      <c r="IJ117" s="251"/>
      <c r="IK117" s="251"/>
      <c r="IL117" s="251"/>
      <c r="IM117" s="251"/>
      <c r="IN117" s="251"/>
      <c r="IO117" s="251"/>
      <c r="IP117" s="251"/>
      <c r="IQ117" s="251"/>
      <c r="IR117" s="251"/>
      <c r="IS117" s="251"/>
      <c r="IT117" s="251"/>
      <c r="IU117" s="251"/>
      <c r="IV117" s="251"/>
      <c r="IW117" s="251"/>
      <c r="IX117" s="251"/>
      <c r="IY117" s="251"/>
      <c r="IZ117" s="251"/>
      <c r="JA117" s="251"/>
      <c r="JB117" s="251"/>
      <c r="JC117" s="251"/>
      <c r="JD117" s="251"/>
      <c r="JE117" s="251"/>
      <c r="JF117" s="251"/>
      <c r="JG117" s="251"/>
      <c r="JH117" s="251"/>
      <c r="JI117" s="251"/>
    </row>
    <row r="118" spans="1:269">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51"/>
      <c r="BJ118" s="251"/>
      <c r="BK118" s="251"/>
      <c r="BL118" s="251"/>
      <c r="BM118" s="251"/>
      <c r="BN118" s="251"/>
      <c r="BO118" s="251"/>
      <c r="BP118" s="251"/>
      <c r="BQ118" s="251"/>
      <c r="BR118" s="251"/>
      <c r="BS118" s="251"/>
      <c r="BT118" s="251"/>
      <c r="BU118" s="251"/>
      <c r="BV118" s="251"/>
      <c r="BW118" s="251"/>
      <c r="BX118" s="251"/>
      <c r="BY118" s="251"/>
      <c r="BZ118" s="251"/>
      <c r="CA118" s="251"/>
      <c r="CB118" s="251"/>
      <c r="CC118" s="251"/>
      <c r="CD118" s="251"/>
      <c r="CE118" s="251"/>
      <c r="CF118" s="251"/>
      <c r="CG118" s="251"/>
      <c r="CH118" s="251"/>
      <c r="CI118" s="251"/>
      <c r="CJ118" s="251"/>
      <c r="CK118" s="251"/>
      <c r="CL118" s="251"/>
      <c r="CM118" s="251"/>
      <c r="CN118" s="251"/>
      <c r="CO118" s="251"/>
      <c r="CP118" s="251"/>
      <c r="CQ118" s="251"/>
      <c r="CR118" s="251"/>
      <c r="CS118" s="251"/>
      <c r="CT118" s="251"/>
      <c r="CU118" s="251"/>
      <c r="CV118" s="251"/>
      <c r="CW118" s="251"/>
      <c r="CX118" s="251"/>
      <c r="CY118" s="251"/>
      <c r="CZ118" s="251"/>
      <c r="DA118" s="251"/>
      <c r="DB118" s="251"/>
      <c r="DC118" s="251"/>
      <c r="DD118" s="251"/>
      <c r="DE118" s="251"/>
      <c r="DF118" s="251"/>
      <c r="DG118" s="251"/>
      <c r="DH118" s="251"/>
      <c r="DI118" s="251"/>
      <c r="DJ118" s="251"/>
      <c r="DK118" s="251"/>
      <c r="DL118" s="251"/>
      <c r="DM118" s="251"/>
      <c r="DN118" s="251"/>
      <c r="DO118" s="251"/>
      <c r="DP118" s="251"/>
      <c r="DQ118" s="251"/>
      <c r="DR118" s="251"/>
      <c r="DS118" s="251"/>
      <c r="DT118" s="251"/>
      <c r="DU118" s="251"/>
      <c r="DV118" s="251"/>
      <c r="DW118" s="251"/>
      <c r="DX118" s="251"/>
      <c r="DY118" s="251"/>
      <c r="DZ118" s="251"/>
      <c r="EA118" s="251"/>
      <c r="EB118" s="251"/>
      <c r="EC118" s="251"/>
      <c r="ED118" s="251"/>
      <c r="EE118" s="251"/>
      <c r="EF118" s="251"/>
      <c r="EG118" s="251"/>
      <c r="EH118" s="251"/>
      <c r="EI118" s="251"/>
      <c r="EJ118" s="251"/>
      <c r="EK118" s="251"/>
      <c r="EL118" s="251"/>
      <c r="EM118" s="251"/>
      <c r="EN118" s="251"/>
      <c r="EO118" s="251"/>
      <c r="EP118" s="251"/>
      <c r="EQ118" s="251"/>
      <c r="ER118" s="251"/>
      <c r="ES118" s="251"/>
      <c r="ET118" s="251"/>
      <c r="EU118" s="251"/>
      <c r="EV118" s="251"/>
      <c r="EW118" s="251"/>
      <c r="EX118" s="251"/>
      <c r="EY118" s="251"/>
      <c r="EZ118" s="251"/>
      <c r="FA118" s="251"/>
      <c r="FB118" s="251"/>
      <c r="FC118" s="251"/>
      <c r="FD118" s="251"/>
      <c r="FE118" s="251"/>
      <c r="FF118" s="251"/>
      <c r="FG118" s="251"/>
      <c r="FH118" s="251"/>
      <c r="FI118" s="251"/>
      <c r="FJ118" s="251"/>
      <c r="FK118" s="251"/>
      <c r="FL118" s="251"/>
      <c r="FM118" s="251"/>
      <c r="FN118" s="251"/>
      <c r="FO118" s="251"/>
      <c r="FP118" s="251"/>
      <c r="FQ118" s="251"/>
      <c r="FR118" s="251"/>
      <c r="FS118" s="251"/>
      <c r="FT118" s="251"/>
      <c r="FU118" s="251"/>
      <c r="FV118" s="251"/>
      <c r="FW118" s="251"/>
      <c r="FX118" s="251"/>
      <c r="FY118" s="251"/>
      <c r="FZ118" s="251"/>
      <c r="GA118" s="251"/>
      <c r="GB118" s="251"/>
      <c r="GC118" s="251"/>
      <c r="GD118" s="251"/>
      <c r="GE118" s="251"/>
      <c r="GF118" s="251"/>
      <c r="GG118" s="251"/>
      <c r="GH118" s="251"/>
      <c r="GI118" s="251"/>
      <c r="GJ118" s="251"/>
      <c r="GK118" s="251"/>
      <c r="GL118" s="251"/>
      <c r="GM118" s="251"/>
      <c r="GN118" s="251"/>
      <c r="GO118" s="251"/>
      <c r="GP118" s="251"/>
      <c r="GQ118" s="251"/>
      <c r="GR118" s="251"/>
      <c r="GS118" s="251"/>
      <c r="GT118" s="251"/>
      <c r="GU118" s="251"/>
      <c r="GV118" s="251"/>
      <c r="GW118" s="251"/>
      <c r="GX118" s="251"/>
      <c r="GY118" s="251"/>
      <c r="GZ118" s="251"/>
      <c r="HA118" s="251"/>
      <c r="HB118" s="251"/>
      <c r="HC118" s="251"/>
      <c r="HD118" s="251"/>
      <c r="HE118" s="251"/>
      <c r="HF118" s="251"/>
      <c r="HG118" s="251"/>
      <c r="HH118" s="251"/>
      <c r="HI118" s="251"/>
      <c r="HJ118" s="251"/>
      <c r="HK118" s="251"/>
      <c r="HL118" s="251"/>
      <c r="HM118" s="251"/>
      <c r="HN118" s="251"/>
      <c r="HO118" s="251"/>
      <c r="HP118" s="251"/>
      <c r="HQ118" s="251"/>
      <c r="HR118" s="251"/>
      <c r="HS118" s="251"/>
      <c r="HT118" s="251"/>
      <c r="HU118" s="251"/>
      <c r="HV118" s="251"/>
      <c r="HW118" s="251"/>
      <c r="HX118" s="251"/>
      <c r="HY118" s="251"/>
      <c r="HZ118" s="251"/>
      <c r="IA118" s="251"/>
      <c r="IB118" s="251"/>
      <c r="IC118" s="251"/>
      <c r="ID118" s="251"/>
      <c r="IE118" s="251"/>
      <c r="IF118" s="251"/>
      <c r="IG118" s="251"/>
      <c r="IH118" s="251"/>
      <c r="II118" s="251"/>
      <c r="IJ118" s="251"/>
      <c r="IK118" s="251"/>
      <c r="IL118" s="251"/>
      <c r="IM118" s="251"/>
      <c r="IN118" s="251"/>
      <c r="IO118" s="251"/>
      <c r="IP118" s="251"/>
      <c r="IQ118" s="251"/>
      <c r="IR118" s="251"/>
      <c r="IS118" s="251"/>
      <c r="IT118" s="251"/>
      <c r="IU118" s="251"/>
      <c r="IV118" s="251"/>
      <c r="IW118" s="251"/>
      <c r="IX118" s="251"/>
      <c r="IY118" s="251"/>
      <c r="IZ118" s="251"/>
      <c r="JA118" s="251"/>
      <c r="JB118" s="251"/>
      <c r="JC118" s="251"/>
      <c r="JD118" s="251"/>
      <c r="JE118" s="251"/>
      <c r="JF118" s="251"/>
      <c r="JG118" s="251"/>
      <c r="JH118" s="251"/>
      <c r="JI118" s="251"/>
    </row>
    <row r="119" spans="1:269">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1"/>
      <c r="BR119" s="251"/>
      <c r="BS119" s="251"/>
      <c r="BT119" s="251"/>
      <c r="BU119" s="251"/>
      <c r="BV119" s="251"/>
      <c r="BW119" s="251"/>
      <c r="BX119" s="251"/>
      <c r="BY119" s="251"/>
      <c r="BZ119" s="251"/>
      <c r="CA119" s="251"/>
      <c r="CB119" s="251"/>
      <c r="CC119" s="251"/>
      <c r="CD119" s="251"/>
      <c r="CE119" s="251"/>
      <c r="CF119" s="251"/>
      <c r="CG119" s="251"/>
      <c r="CH119" s="251"/>
      <c r="CI119" s="251"/>
      <c r="CJ119" s="251"/>
      <c r="CK119" s="251"/>
      <c r="CL119" s="251"/>
      <c r="CM119" s="251"/>
      <c r="CN119" s="251"/>
      <c r="CO119" s="251"/>
      <c r="CP119" s="251"/>
      <c r="CQ119" s="251"/>
      <c r="CR119" s="251"/>
      <c r="CS119" s="251"/>
      <c r="CT119" s="251"/>
      <c r="CU119" s="251"/>
      <c r="CV119" s="251"/>
      <c r="CW119" s="251"/>
      <c r="CX119" s="251"/>
      <c r="CY119" s="251"/>
      <c r="CZ119" s="251"/>
      <c r="DA119" s="251"/>
      <c r="DB119" s="251"/>
      <c r="DC119" s="251"/>
      <c r="DD119" s="251"/>
      <c r="DE119" s="251"/>
      <c r="DF119" s="251"/>
      <c r="DG119" s="251"/>
      <c r="DH119" s="251"/>
      <c r="DI119" s="251"/>
      <c r="DJ119" s="251"/>
      <c r="DK119" s="251"/>
      <c r="DL119" s="251"/>
      <c r="DM119" s="251"/>
      <c r="DN119" s="251"/>
      <c r="DO119" s="251"/>
      <c r="DP119" s="251"/>
      <c r="DQ119" s="251"/>
      <c r="DR119" s="251"/>
      <c r="DS119" s="251"/>
      <c r="DT119" s="251"/>
      <c r="DU119" s="251"/>
      <c r="DV119" s="251"/>
      <c r="DW119" s="251"/>
      <c r="DX119" s="251"/>
      <c r="DY119" s="251"/>
      <c r="DZ119" s="251"/>
      <c r="EA119" s="251"/>
      <c r="EB119" s="251"/>
      <c r="EC119" s="251"/>
      <c r="ED119" s="251"/>
      <c r="EE119" s="251"/>
      <c r="EF119" s="251"/>
      <c r="EG119" s="251"/>
      <c r="EH119" s="251"/>
      <c r="EI119" s="251"/>
      <c r="EJ119" s="251"/>
      <c r="EK119" s="251"/>
      <c r="EL119" s="251"/>
      <c r="EM119" s="251"/>
      <c r="EN119" s="251"/>
      <c r="EO119" s="251"/>
      <c r="EP119" s="251"/>
      <c r="EQ119" s="251"/>
      <c r="ER119" s="251"/>
      <c r="ES119" s="251"/>
      <c r="ET119" s="251"/>
      <c r="EU119" s="251"/>
      <c r="EV119" s="251"/>
      <c r="EW119" s="251"/>
      <c r="EX119" s="251"/>
      <c r="EY119" s="251"/>
      <c r="EZ119" s="251"/>
      <c r="FA119" s="251"/>
      <c r="FB119" s="251"/>
      <c r="FC119" s="251"/>
      <c r="FD119" s="251"/>
      <c r="FE119" s="251"/>
      <c r="FF119" s="251"/>
      <c r="FG119" s="251"/>
      <c r="FH119" s="251"/>
      <c r="FI119" s="251"/>
      <c r="FJ119" s="251"/>
      <c r="FK119" s="251"/>
      <c r="FL119" s="251"/>
      <c r="FM119" s="251"/>
      <c r="FN119" s="251"/>
      <c r="FO119" s="251"/>
      <c r="FP119" s="251"/>
      <c r="FQ119" s="251"/>
      <c r="FR119" s="251"/>
      <c r="FS119" s="251"/>
      <c r="FT119" s="251"/>
      <c r="FU119" s="251"/>
      <c r="FV119" s="251"/>
      <c r="FW119" s="251"/>
      <c r="FX119" s="251"/>
      <c r="FY119" s="251"/>
      <c r="FZ119" s="251"/>
      <c r="GA119" s="251"/>
      <c r="GB119" s="251"/>
      <c r="GC119" s="251"/>
      <c r="GD119" s="251"/>
      <c r="GE119" s="251"/>
      <c r="GF119" s="251"/>
      <c r="GG119" s="251"/>
      <c r="GH119" s="251"/>
      <c r="GI119" s="251"/>
      <c r="GJ119" s="251"/>
      <c r="GK119" s="251"/>
      <c r="GL119" s="251"/>
      <c r="GM119" s="251"/>
      <c r="GN119" s="251"/>
      <c r="GO119" s="251"/>
      <c r="GP119" s="251"/>
      <c r="GQ119" s="251"/>
      <c r="GR119" s="251"/>
      <c r="GS119" s="251"/>
      <c r="GT119" s="251"/>
      <c r="GU119" s="251"/>
      <c r="GV119" s="251"/>
      <c r="GW119" s="251"/>
      <c r="GX119" s="251"/>
      <c r="GY119" s="251"/>
      <c r="GZ119" s="251"/>
      <c r="HA119" s="251"/>
      <c r="HB119" s="251"/>
      <c r="HC119" s="251"/>
      <c r="HD119" s="251"/>
      <c r="HE119" s="251"/>
      <c r="HF119" s="251"/>
      <c r="HG119" s="251"/>
      <c r="HH119" s="251"/>
      <c r="HI119" s="251"/>
      <c r="HJ119" s="251"/>
      <c r="HK119" s="251"/>
      <c r="HL119" s="251"/>
      <c r="HM119" s="251"/>
      <c r="HN119" s="251"/>
      <c r="HO119" s="251"/>
      <c r="HP119" s="251"/>
      <c r="HQ119" s="251"/>
      <c r="HR119" s="251"/>
      <c r="HS119" s="251"/>
      <c r="HT119" s="251"/>
      <c r="HU119" s="251"/>
      <c r="HV119" s="251"/>
      <c r="HW119" s="251"/>
      <c r="HX119" s="251"/>
      <c r="HY119" s="251"/>
      <c r="HZ119" s="251"/>
      <c r="IA119" s="251"/>
      <c r="IB119" s="251"/>
      <c r="IC119" s="251"/>
      <c r="ID119" s="251"/>
      <c r="IE119" s="251"/>
      <c r="IF119" s="251"/>
      <c r="IG119" s="251"/>
      <c r="IH119" s="251"/>
      <c r="II119" s="251"/>
      <c r="IJ119" s="251"/>
      <c r="IK119" s="251"/>
      <c r="IL119" s="251"/>
      <c r="IM119" s="251"/>
      <c r="IN119" s="251"/>
      <c r="IO119" s="251"/>
      <c r="IP119" s="251"/>
      <c r="IQ119" s="251"/>
      <c r="IR119" s="251"/>
      <c r="IS119" s="251"/>
      <c r="IT119" s="251"/>
      <c r="IU119" s="251"/>
      <c r="IV119" s="251"/>
      <c r="IW119" s="251"/>
      <c r="IX119" s="251"/>
      <c r="IY119" s="251"/>
      <c r="IZ119" s="251"/>
      <c r="JA119" s="251"/>
      <c r="JB119" s="251"/>
      <c r="JC119" s="251"/>
      <c r="JD119" s="251"/>
      <c r="JE119" s="251"/>
      <c r="JF119" s="251"/>
      <c r="JG119" s="251"/>
      <c r="JH119" s="251"/>
      <c r="JI119" s="251"/>
    </row>
    <row r="120" spans="1:269">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51"/>
      <c r="BU120" s="251"/>
      <c r="BV120" s="251"/>
      <c r="BW120" s="251"/>
      <c r="BX120" s="251"/>
      <c r="BY120" s="251"/>
      <c r="BZ120" s="251"/>
      <c r="CA120" s="251"/>
      <c r="CB120" s="251"/>
      <c r="CC120" s="251"/>
      <c r="CD120" s="251"/>
      <c r="CE120" s="251"/>
      <c r="CF120" s="251"/>
      <c r="CG120" s="251"/>
      <c r="CH120" s="251"/>
      <c r="CI120" s="251"/>
      <c r="CJ120" s="251"/>
      <c r="CK120" s="251"/>
      <c r="CL120" s="251"/>
      <c r="CM120" s="251"/>
      <c r="CN120" s="251"/>
      <c r="CO120" s="251"/>
      <c r="CP120" s="251"/>
      <c r="CQ120" s="251"/>
      <c r="CR120" s="251"/>
      <c r="CS120" s="251"/>
      <c r="CT120" s="251"/>
      <c r="CU120" s="251"/>
      <c r="CV120" s="251"/>
      <c r="CW120" s="251"/>
      <c r="CX120" s="251"/>
      <c r="CY120" s="251"/>
      <c r="CZ120" s="251"/>
      <c r="DA120" s="251"/>
      <c r="DB120" s="251"/>
      <c r="DC120" s="251"/>
      <c r="DD120" s="251"/>
      <c r="DE120" s="251"/>
      <c r="DF120" s="251"/>
      <c r="DG120" s="251"/>
      <c r="DH120" s="251"/>
      <c r="DI120" s="251"/>
      <c r="DJ120" s="251"/>
      <c r="DK120" s="251"/>
      <c r="DL120" s="251"/>
      <c r="DM120" s="251"/>
      <c r="DN120" s="251"/>
      <c r="DO120" s="251"/>
      <c r="DP120" s="251"/>
      <c r="DQ120" s="251"/>
      <c r="DR120" s="251"/>
      <c r="DS120" s="251"/>
      <c r="DT120" s="251"/>
      <c r="DU120" s="251"/>
      <c r="DV120" s="251"/>
      <c r="DW120" s="251"/>
      <c r="DX120" s="251"/>
      <c r="DY120" s="251"/>
      <c r="DZ120" s="251"/>
      <c r="EA120" s="251"/>
      <c r="EB120" s="251"/>
      <c r="EC120" s="251"/>
      <c r="ED120" s="251"/>
      <c r="EE120" s="251"/>
      <c r="EF120" s="251"/>
      <c r="EG120" s="251"/>
      <c r="EH120" s="251"/>
      <c r="EI120" s="251"/>
      <c r="EJ120" s="251"/>
      <c r="EK120" s="251"/>
      <c r="EL120" s="251"/>
      <c r="EM120" s="251"/>
      <c r="EN120" s="251"/>
      <c r="EO120" s="251"/>
      <c r="EP120" s="251"/>
      <c r="EQ120" s="251"/>
      <c r="ER120" s="251"/>
      <c r="ES120" s="251"/>
      <c r="ET120" s="251"/>
      <c r="EU120" s="251"/>
      <c r="EV120" s="251"/>
      <c r="EW120" s="251"/>
      <c r="EX120" s="251"/>
      <c r="EY120" s="251"/>
      <c r="EZ120" s="251"/>
      <c r="FA120" s="251"/>
      <c r="FB120" s="251"/>
      <c r="FC120" s="251"/>
      <c r="FD120" s="251"/>
      <c r="FE120" s="251"/>
      <c r="FF120" s="251"/>
      <c r="FG120" s="251"/>
      <c r="FH120" s="251"/>
      <c r="FI120" s="251"/>
      <c r="FJ120" s="251"/>
      <c r="FK120" s="251"/>
      <c r="FL120" s="251"/>
      <c r="FM120" s="251"/>
      <c r="FN120" s="251"/>
      <c r="FO120" s="251"/>
      <c r="FP120" s="251"/>
      <c r="FQ120" s="251"/>
      <c r="FR120" s="251"/>
      <c r="FS120" s="251"/>
      <c r="FT120" s="251"/>
      <c r="FU120" s="251"/>
      <c r="FV120" s="251"/>
      <c r="FW120" s="251"/>
      <c r="FX120" s="251"/>
      <c r="FY120" s="251"/>
      <c r="FZ120" s="251"/>
      <c r="GA120" s="251"/>
      <c r="GB120" s="251"/>
      <c r="GC120" s="251"/>
      <c r="GD120" s="251"/>
      <c r="GE120" s="251"/>
      <c r="GF120" s="251"/>
      <c r="GG120" s="251"/>
      <c r="GH120" s="251"/>
      <c r="GI120" s="251"/>
      <c r="GJ120" s="251"/>
      <c r="GK120" s="251"/>
      <c r="GL120" s="251"/>
      <c r="GM120" s="251"/>
      <c r="GN120" s="251"/>
      <c r="GO120" s="251"/>
      <c r="GP120" s="251"/>
      <c r="GQ120" s="251"/>
      <c r="GR120" s="251"/>
      <c r="GS120" s="251"/>
      <c r="GT120" s="251"/>
      <c r="GU120" s="251"/>
      <c r="GV120" s="251"/>
      <c r="GW120" s="251"/>
      <c r="GX120" s="251"/>
      <c r="GY120" s="251"/>
      <c r="GZ120" s="251"/>
      <c r="HA120" s="251"/>
      <c r="HB120" s="251"/>
      <c r="HC120" s="251"/>
      <c r="HD120" s="251"/>
      <c r="HE120" s="251"/>
      <c r="HF120" s="251"/>
      <c r="HG120" s="251"/>
      <c r="HH120" s="251"/>
      <c r="HI120" s="251"/>
      <c r="HJ120" s="251"/>
      <c r="HK120" s="251"/>
      <c r="HL120" s="251"/>
      <c r="HM120" s="251"/>
      <c r="HN120" s="251"/>
      <c r="HO120" s="251"/>
      <c r="HP120" s="251"/>
      <c r="HQ120" s="251"/>
      <c r="HR120" s="251"/>
      <c r="HS120" s="251"/>
      <c r="HT120" s="251"/>
      <c r="HU120" s="251"/>
      <c r="HV120" s="251"/>
      <c r="HW120" s="251"/>
      <c r="HX120" s="251"/>
      <c r="HY120" s="251"/>
      <c r="HZ120" s="251"/>
      <c r="IA120" s="251"/>
      <c r="IB120" s="251"/>
      <c r="IC120" s="251"/>
      <c r="ID120" s="251"/>
      <c r="IE120" s="251"/>
      <c r="IF120" s="251"/>
      <c r="IG120" s="251"/>
      <c r="IH120" s="251"/>
      <c r="II120" s="251"/>
      <c r="IJ120" s="251"/>
      <c r="IK120" s="251"/>
      <c r="IL120" s="251"/>
      <c r="IM120" s="251"/>
      <c r="IN120" s="251"/>
      <c r="IO120" s="251"/>
      <c r="IP120" s="251"/>
      <c r="IQ120" s="251"/>
      <c r="IR120" s="251"/>
      <c r="IS120" s="251"/>
      <c r="IT120" s="251"/>
      <c r="IU120" s="251"/>
      <c r="IV120" s="251"/>
      <c r="IW120" s="251"/>
      <c r="IX120" s="251"/>
      <c r="IY120" s="251"/>
      <c r="IZ120" s="251"/>
      <c r="JA120" s="251"/>
      <c r="JB120" s="251"/>
      <c r="JC120" s="251"/>
      <c r="JD120" s="251"/>
      <c r="JE120" s="251"/>
      <c r="JF120" s="251"/>
      <c r="JG120" s="251"/>
      <c r="JH120" s="251"/>
      <c r="JI120" s="251"/>
    </row>
    <row r="121" spans="1:269">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c r="BY121" s="251"/>
      <c r="BZ121" s="251"/>
      <c r="CA121" s="251"/>
      <c r="CB121" s="251"/>
      <c r="CC121" s="251"/>
      <c r="CD121" s="251"/>
      <c r="CE121" s="251"/>
      <c r="CF121" s="251"/>
      <c r="CG121" s="251"/>
      <c r="CH121" s="251"/>
      <c r="CI121" s="251"/>
      <c r="CJ121" s="251"/>
      <c r="CK121" s="251"/>
      <c r="CL121" s="251"/>
      <c r="CM121" s="251"/>
      <c r="CN121" s="251"/>
      <c r="CO121" s="251"/>
      <c r="CP121" s="251"/>
      <c r="CQ121" s="251"/>
      <c r="CR121" s="251"/>
      <c r="CS121" s="251"/>
      <c r="CT121" s="251"/>
      <c r="CU121" s="251"/>
      <c r="CV121" s="251"/>
      <c r="CW121" s="251"/>
      <c r="CX121" s="251"/>
      <c r="CY121" s="251"/>
      <c r="CZ121" s="251"/>
      <c r="DA121" s="251"/>
      <c r="DB121" s="251"/>
      <c r="DC121" s="251"/>
      <c r="DD121" s="251"/>
      <c r="DE121" s="251"/>
      <c r="DF121" s="251"/>
      <c r="DG121" s="251"/>
      <c r="DH121" s="251"/>
      <c r="DI121" s="251"/>
      <c r="DJ121" s="251"/>
      <c r="DK121" s="251"/>
      <c r="DL121" s="251"/>
      <c r="DM121" s="251"/>
      <c r="DN121" s="251"/>
      <c r="DO121" s="251"/>
      <c r="DP121" s="251"/>
      <c r="DQ121" s="251"/>
      <c r="DR121" s="251"/>
      <c r="DS121" s="251"/>
      <c r="DT121" s="251"/>
      <c r="DU121" s="251"/>
      <c r="DV121" s="251"/>
      <c r="DW121" s="251"/>
      <c r="DX121" s="251"/>
      <c r="DY121" s="251"/>
      <c r="DZ121" s="251"/>
      <c r="EA121" s="251"/>
      <c r="EB121" s="251"/>
      <c r="EC121" s="251"/>
      <c r="ED121" s="251"/>
      <c r="EE121" s="251"/>
      <c r="EF121" s="251"/>
      <c r="EG121" s="251"/>
      <c r="EH121" s="251"/>
      <c r="EI121" s="251"/>
      <c r="EJ121" s="251"/>
      <c r="EK121" s="251"/>
      <c r="EL121" s="251"/>
      <c r="EM121" s="251"/>
      <c r="EN121" s="251"/>
      <c r="EO121" s="251"/>
      <c r="EP121" s="251"/>
      <c r="EQ121" s="251"/>
      <c r="ER121" s="251"/>
      <c r="ES121" s="251"/>
      <c r="ET121" s="251"/>
      <c r="EU121" s="251"/>
      <c r="EV121" s="251"/>
      <c r="EW121" s="251"/>
      <c r="EX121" s="251"/>
      <c r="EY121" s="251"/>
      <c r="EZ121" s="251"/>
      <c r="FA121" s="251"/>
      <c r="FB121" s="251"/>
      <c r="FC121" s="251"/>
      <c r="FD121" s="251"/>
      <c r="FE121" s="251"/>
      <c r="FF121" s="251"/>
      <c r="FG121" s="251"/>
      <c r="FH121" s="251"/>
      <c r="FI121" s="251"/>
      <c r="FJ121" s="251"/>
      <c r="FK121" s="251"/>
      <c r="FL121" s="251"/>
      <c r="FM121" s="251"/>
      <c r="FN121" s="251"/>
      <c r="FO121" s="251"/>
      <c r="FP121" s="251"/>
      <c r="FQ121" s="251"/>
      <c r="FR121" s="251"/>
      <c r="FS121" s="251"/>
      <c r="FT121" s="251"/>
      <c r="FU121" s="251"/>
      <c r="FV121" s="251"/>
      <c r="FW121" s="251"/>
      <c r="FX121" s="251"/>
      <c r="FY121" s="251"/>
      <c r="FZ121" s="251"/>
      <c r="GA121" s="251"/>
      <c r="GB121" s="251"/>
      <c r="GC121" s="251"/>
      <c r="GD121" s="251"/>
      <c r="GE121" s="251"/>
      <c r="GF121" s="251"/>
      <c r="GG121" s="251"/>
      <c r="GH121" s="251"/>
      <c r="GI121" s="251"/>
      <c r="GJ121" s="251"/>
      <c r="GK121" s="251"/>
      <c r="GL121" s="251"/>
      <c r="GM121" s="251"/>
      <c r="GN121" s="251"/>
      <c r="GO121" s="251"/>
      <c r="GP121" s="251"/>
      <c r="GQ121" s="251"/>
      <c r="GR121" s="251"/>
      <c r="GS121" s="251"/>
      <c r="GT121" s="251"/>
      <c r="GU121" s="251"/>
      <c r="GV121" s="251"/>
      <c r="GW121" s="251"/>
      <c r="GX121" s="251"/>
      <c r="GY121" s="251"/>
      <c r="GZ121" s="251"/>
      <c r="HA121" s="251"/>
      <c r="HB121" s="251"/>
      <c r="HC121" s="251"/>
      <c r="HD121" s="251"/>
      <c r="HE121" s="251"/>
      <c r="HF121" s="251"/>
      <c r="HG121" s="251"/>
      <c r="HH121" s="251"/>
      <c r="HI121" s="251"/>
      <c r="HJ121" s="251"/>
      <c r="HK121" s="251"/>
      <c r="HL121" s="251"/>
      <c r="HM121" s="251"/>
      <c r="HN121" s="251"/>
      <c r="HO121" s="251"/>
      <c r="HP121" s="251"/>
      <c r="HQ121" s="251"/>
      <c r="HR121" s="251"/>
      <c r="HS121" s="251"/>
      <c r="HT121" s="251"/>
      <c r="HU121" s="251"/>
      <c r="HV121" s="251"/>
      <c r="HW121" s="251"/>
      <c r="HX121" s="251"/>
      <c r="HY121" s="251"/>
      <c r="HZ121" s="251"/>
      <c r="IA121" s="251"/>
      <c r="IB121" s="251"/>
      <c r="IC121" s="251"/>
      <c r="ID121" s="251"/>
      <c r="IE121" s="251"/>
      <c r="IF121" s="251"/>
      <c r="IG121" s="251"/>
      <c r="IH121" s="251"/>
      <c r="II121" s="251"/>
      <c r="IJ121" s="251"/>
      <c r="IK121" s="251"/>
      <c r="IL121" s="251"/>
      <c r="IM121" s="251"/>
      <c r="IN121" s="251"/>
      <c r="IO121" s="251"/>
      <c r="IP121" s="251"/>
      <c r="IQ121" s="251"/>
      <c r="IR121" s="251"/>
      <c r="IS121" s="251"/>
      <c r="IT121" s="251"/>
      <c r="IU121" s="251"/>
      <c r="IV121" s="251"/>
      <c r="IW121" s="251"/>
      <c r="IX121" s="251"/>
      <c r="IY121" s="251"/>
      <c r="IZ121" s="251"/>
      <c r="JA121" s="251"/>
      <c r="JB121" s="251"/>
      <c r="JC121" s="251"/>
      <c r="JD121" s="251"/>
      <c r="JE121" s="251"/>
      <c r="JF121" s="251"/>
      <c r="JG121" s="251"/>
      <c r="JH121" s="251"/>
      <c r="JI121" s="251"/>
    </row>
    <row r="122" spans="1:269">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c r="BK122" s="251"/>
      <c r="BL122" s="251"/>
      <c r="BM122" s="251"/>
      <c r="BN122" s="251"/>
      <c r="BO122" s="251"/>
      <c r="BP122" s="251"/>
      <c r="BQ122" s="251"/>
      <c r="BR122" s="251"/>
      <c r="BS122" s="251"/>
      <c r="BT122" s="251"/>
      <c r="BU122" s="251"/>
      <c r="BV122" s="251"/>
      <c r="BW122" s="251"/>
      <c r="BX122" s="251"/>
      <c r="BY122" s="251"/>
      <c r="BZ122" s="251"/>
      <c r="CA122" s="251"/>
      <c r="CB122" s="251"/>
      <c r="CC122" s="251"/>
      <c r="CD122" s="251"/>
      <c r="CE122" s="251"/>
      <c r="CF122" s="251"/>
      <c r="CG122" s="251"/>
      <c r="CH122" s="251"/>
      <c r="CI122" s="251"/>
      <c r="CJ122" s="251"/>
      <c r="CK122" s="251"/>
      <c r="CL122" s="251"/>
      <c r="CM122" s="251"/>
      <c r="CN122" s="251"/>
      <c r="CO122" s="251"/>
      <c r="CP122" s="251"/>
      <c r="CQ122" s="251"/>
      <c r="CR122" s="251"/>
      <c r="CS122" s="251"/>
      <c r="CT122" s="251"/>
      <c r="CU122" s="251"/>
      <c r="CV122" s="251"/>
      <c r="CW122" s="251"/>
      <c r="CX122" s="251"/>
      <c r="CY122" s="251"/>
      <c r="CZ122" s="251"/>
      <c r="DA122" s="251"/>
      <c r="DB122" s="251"/>
      <c r="DC122" s="251"/>
      <c r="DD122" s="251"/>
      <c r="DE122" s="251"/>
      <c r="DF122" s="251"/>
      <c r="DG122" s="251"/>
      <c r="DH122" s="251"/>
      <c r="DI122" s="251"/>
      <c r="DJ122" s="251"/>
      <c r="DK122" s="251"/>
      <c r="DL122" s="251"/>
      <c r="DM122" s="251"/>
      <c r="DN122" s="251"/>
      <c r="DO122" s="251"/>
      <c r="DP122" s="251"/>
      <c r="DQ122" s="251"/>
      <c r="DR122" s="251"/>
      <c r="DS122" s="251"/>
      <c r="DT122" s="251"/>
      <c r="DU122" s="251"/>
      <c r="DV122" s="251"/>
      <c r="DW122" s="251"/>
      <c r="DX122" s="251"/>
      <c r="DY122" s="251"/>
      <c r="DZ122" s="251"/>
      <c r="EA122" s="251"/>
      <c r="EB122" s="251"/>
      <c r="EC122" s="251"/>
      <c r="ED122" s="251"/>
      <c r="EE122" s="251"/>
      <c r="EF122" s="251"/>
      <c r="EG122" s="251"/>
      <c r="EH122" s="251"/>
      <c r="EI122" s="251"/>
      <c r="EJ122" s="251"/>
      <c r="EK122" s="251"/>
      <c r="EL122" s="251"/>
      <c r="EM122" s="251"/>
      <c r="EN122" s="251"/>
      <c r="EO122" s="251"/>
      <c r="EP122" s="251"/>
      <c r="EQ122" s="251"/>
      <c r="ER122" s="251"/>
      <c r="ES122" s="251"/>
      <c r="ET122" s="251"/>
      <c r="EU122" s="251"/>
      <c r="EV122" s="251"/>
      <c r="EW122" s="251"/>
      <c r="EX122" s="251"/>
      <c r="EY122" s="251"/>
      <c r="EZ122" s="251"/>
      <c r="FA122" s="251"/>
      <c r="FB122" s="251"/>
      <c r="FC122" s="251"/>
      <c r="FD122" s="251"/>
      <c r="FE122" s="251"/>
      <c r="FF122" s="251"/>
      <c r="FG122" s="251"/>
      <c r="FH122" s="251"/>
      <c r="FI122" s="251"/>
      <c r="FJ122" s="251"/>
      <c r="FK122" s="251"/>
      <c r="FL122" s="251"/>
      <c r="FM122" s="251"/>
      <c r="FN122" s="251"/>
      <c r="FO122" s="251"/>
      <c r="FP122" s="251"/>
      <c r="FQ122" s="251"/>
      <c r="FR122" s="251"/>
      <c r="FS122" s="251"/>
      <c r="FT122" s="251"/>
      <c r="FU122" s="251"/>
      <c r="FV122" s="251"/>
      <c r="FW122" s="251"/>
      <c r="FX122" s="251"/>
      <c r="FY122" s="251"/>
      <c r="FZ122" s="251"/>
      <c r="GA122" s="251"/>
      <c r="GB122" s="251"/>
      <c r="GC122" s="251"/>
      <c r="GD122" s="251"/>
      <c r="GE122" s="251"/>
      <c r="GF122" s="251"/>
      <c r="GG122" s="251"/>
      <c r="GH122" s="251"/>
      <c r="GI122" s="251"/>
      <c r="GJ122" s="251"/>
      <c r="GK122" s="251"/>
      <c r="GL122" s="251"/>
      <c r="GM122" s="251"/>
      <c r="GN122" s="251"/>
      <c r="GO122" s="251"/>
      <c r="GP122" s="251"/>
      <c r="GQ122" s="251"/>
      <c r="GR122" s="251"/>
      <c r="GS122" s="251"/>
      <c r="GT122" s="251"/>
      <c r="GU122" s="251"/>
      <c r="GV122" s="251"/>
      <c r="GW122" s="251"/>
      <c r="GX122" s="251"/>
      <c r="GY122" s="251"/>
      <c r="GZ122" s="251"/>
      <c r="HA122" s="251"/>
      <c r="HB122" s="251"/>
      <c r="HC122" s="251"/>
      <c r="HD122" s="251"/>
      <c r="HE122" s="251"/>
      <c r="HF122" s="251"/>
      <c r="HG122" s="251"/>
      <c r="HH122" s="251"/>
      <c r="HI122" s="251"/>
      <c r="HJ122" s="251"/>
      <c r="HK122" s="251"/>
      <c r="HL122" s="251"/>
      <c r="HM122" s="251"/>
      <c r="HN122" s="251"/>
      <c r="HO122" s="251"/>
      <c r="HP122" s="251"/>
      <c r="HQ122" s="251"/>
      <c r="HR122" s="251"/>
      <c r="HS122" s="251"/>
      <c r="HT122" s="251"/>
      <c r="HU122" s="251"/>
      <c r="HV122" s="251"/>
      <c r="HW122" s="251"/>
      <c r="HX122" s="251"/>
      <c r="HY122" s="251"/>
      <c r="HZ122" s="251"/>
      <c r="IA122" s="251"/>
      <c r="IB122" s="251"/>
      <c r="IC122" s="251"/>
      <c r="ID122" s="251"/>
      <c r="IE122" s="251"/>
      <c r="IF122" s="251"/>
      <c r="IG122" s="251"/>
      <c r="IH122" s="251"/>
      <c r="II122" s="251"/>
      <c r="IJ122" s="251"/>
      <c r="IK122" s="251"/>
      <c r="IL122" s="251"/>
      <c r="IM122" s="251"/>
      <c r="IN122" s="251"/>
      <c r="IO122" s="251"/>
      <c r="IP122" s="251"/>
      <c r="IQ122" s="251"/>
      <c r="IR122" s="251"/>
      <c r="IS122" s="251"/>
      <c r="IT122" s="251"/>
      <c r="IU122" s="251"/>
      <c r="IV122" s="251"/>
      <c r="IW122" s="251"/>
      <c r="IX122" s="251"/>
      <c r="IY122" s="251"/>
      <c r="IZ122" s="251"/>
      <c r="JA122" s="251"/>
      <c r="JB122" s="251"/>
      <c r="JC122" s="251"/>
      <c r="JD122" s="251"/>
      <c r="JE122" s="251"/>
      <c r="JF122" s="251"/>
      <c r="JG122" s="251"/>
      <c r="JH122" s="251"/>
      <c r="JI122" s="251"/>
    </row>
    <row r="123" spans="1:269">
      <c r="A123" s="251"/>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L123" s="251"/>
      <c r="BM123" s="251"/>
      <c r="BN123" s="251"/>
      <c r="BO123" s="251"/>
      <c r="BP123" s="251"/>
      <c r="BQ123" s="251"/>
      <c r="BR123" s="251"/>
      <c r="BS123" s="251"/>
      <c r="BT123" s="251"/>
      <c r="BU123" s="251"/>
      <c r="BV123" s="251"/>
      <c r="BW123" s="251"/>
      <c r="BX123" s="251"/>
      <c r="BY123" s="251"/>
      <c r="BZ123" s="251"/>
      <c r="CA123" s="251"/>
      <c r="CB123" s="251"/>
      <c r="CC123" s="251"/>
      <c r="CD123" s="251"/>
      <c r="CE123" s="251"/>
      <c r="CF123" s="251"/>
      <c r="CG123" s="251"/>
      <c r="CH123" s="251"/>
      <c r="CI123" s="251"/>
      <c r="CJ123" s="251"/>
      <c r="CK123" s="251"/>
      <c r="CL123" s="251"/>
      <c r="CM123" s="251"/>
      <c r="CN123" s="251"/>
      <c r="CO123" s="251"/>
      <c r="CP123" s="251"/>
      <c r="CQ123" s="251"/>
      <c r="CR123" s="251"/>
      <c r="CS123" s="251"/>
      <c r="CT123" s="251"/>
      <c r="CU123" s="251"/>
      <c r="CV123" s="251"/>
      <c r="CW123" s="251"/>
      <c r="CX123" s="251"/>
      <c r="CY123" s="251"/>
      <c r="CZ123" s="251"/>
      <c r="DA123" s="251"/>
      <c r="DB123" s="251"/>
      <c r="DC123" s="251"/>
      <c r="DD123" s="251"/>
      <c r="DE123" s="251"/>
      <c r="DF123" s="251"/>
      <c r="DG123" s="251"/>
      <c r="DH123" s="251"/>
      <c r="DI123" s="251"/>
      <c r="DJ123" s="251"/>
      <c r="DK123" s="251"/>
      <c r="DL123" s="251"/>
      <c r="DM123" s="251"/>
      <c r="DN123" s="251"/>
      <c r="DO123" s="251"/>
      <c r="DP123" s="251"/>
      <c r="DQ123" s="251"/>
      <c r="DR123" s="251"/>
      <c r="DS123" s="251"/>
      <c r="DT123" s="251"/>
      <c r="DU123" s="251"/>
      <c r="DV123" s="251"/>
      <c r="DW123" s="251"/>
      <c r="DX123" s="251"/>
      <c r="DY123" s="251"/>
      <c r="DZ123" s="251"/>
      <c r="EA123" s="251"/>
      <c r="EB123" s="251"/>
      <c r="EC123" s="251"/>
      <c r="ED123" s="251"/>
      <c r="EE123" s="251"/>
      <c r="EF123" s="251"/>
      <c r="EG123" s="251"/>
      <c r="EH123" s="251"/>
      <c r="EI123" s="251"/>
      <c r="EJ123" s="251"/>
      <c r="EK123" s="251"/>
      <c r="EL123" s="251"/>
      <c r="EM123" s="251"/>
      <c r="EN123" s="251"/>
      <c r="EO123" s="251"/>
      <c r="EP123" s="251"/>
      <c r="EQ123" s="251"/>
      <c r="ER123" s="251"/>
      <c r="ES123" s="251"/>
      <c r="ET123" s="251"/>
      <c r="EU123" s="251"/>
      <c r="EV123" s="251"/>
      <c r="EW123" s="251"/>
      <c r="EX123" s="251"/>
      <c r="EY123" s="251"/>
      <c r="EZ123" s="251"/>
      <c r="FA123" s="251"/>
      <c r="FB123" s="251"/>
      <c r="FC123" s="251"/>
      <c r="FD123" s="251"/>
      <c r="FE123" s="251"/>
      <c r="FF123" s="251"/>
      <c r="FG123" s="251"/>
      <c r="FH123" s="251"/>
      <c r="FI123" s="251"/>
      <c r="FJ123" s="251"/>
      <c r="FK123" s="251"/>
      <c r="FL123" s="251"/>
      <c r="FM123" s="251"/>
      <c r="FN123" s="251"/>
      <c r="FO123" s="251"/>
      <c r="FP123" s="251"/>
      <c r="FQ123" s="251"/>
      <c r="FR123" s="251"/>
      <c r="FS123" s="251"/>
      <c r="FT123" s="251"/>
      <c r="FU123" s="251"/>
      <c r="FV123" s="251"/>
      <c r="FW123" s="251"/>
      <c r="FX123" s="251"/>
      <c r="FY123" s="251"/>
      <c r="FZ123" s="251"/>
      <c r="GA123" s="251"/>
      <c r="GB123" s="251"/>
      <c r="GC123" s="251"/>
      <c r="GD123" s="251"/>
      <c r="GE123" s="251"/>
      <c r="GF123" s="251"/>
      <c r="GG123" s="251"/>
      <c r="GH123" s="251"/>
      <c r="GI123" s="251"/>
      <c r="GJ123" s="251"/>
      <c r="GK123" s="251"/>
      <c r="GL123" s="251"/>
      <c r="GM123" s="251"/>
      <c r="GN123" s="251"/>
      <c r="GO123" s="251"/>
      <c r="GP123" s="251"/>
      <c r="GQ123" s="251"/>
      <c r="GR123" s="251"/>
      <c r="GS123" s="251"/>
      <c r="GT123" s="251"/>
      <c r="GU123" s="251"/>
      <c r="GV123" s="251"/>
      <c r="GW123" s="251"/>
      <c r="GX123" s="251"/>
      <c r="GY123" s="251"/>
      <c r="GZ123" s="251"/>
      <c r="HA123" s="251"/>
      <c r="HB123" s="251"/>
      <c r="HC123" s="251"/>
      <c r="HD123" s="251"/>
      <c r="HE123" s="251"/>
      <c r="HF123" s="251"/>
      <c r="HG123" s="251"/>
      <c r="HH123" s="251"/>
      <c r="HI123" s="251"/>
      <c r="HJ123" s="251"/>
      <c r="HK123" s="251"/>
      <c r="HL123" s="251"/>
      <c r="HM123" s="251"/>
      <c r="HN123" s="251"/>
      <c r="HO123" s="251"/>
      <c r="HP123" s="251"/>
      <c r="HQ123" s="251"/>
      <c r="HR123" s="251"/>
      <c r="HS123" s="251"/>
      <c r="HT123" s="251"/>
      <c r="HU123" s="251"/>
      <c r="HV123" s="251"/>
      <c r="HW123" s="251"/>
      <c r="HX123" s="251"/>
      <c r="HY123" s="251"/>
      <c r="HZ123" s="251"/>
      <c r="IA123" s="251"/>
      <c r="IB123" s="251"/>
      <c r="IC123" s="251"/>
      <c r="ID123" s="251"/>
      <c r="IE123" s="251"/>
      <c r="IF123" s="251"/>
      <c r="IG123" s="251"/>
      <c r="IH123" s="251"/>
      <c r="II123" s="251"/>
      <c r="IJ123" s="251"/>
      <c r="IK123" s="251"/>
      <c r="IL123" s="251"/>
      <c r="IM123" s="251"/>
      <c r="IN123" s="251"/>
      <c r="IO123" s="251"/>
      <c r="IP123" s="251"/>
      <c r="IQ123" s="251"/>
      <c r="IR123" s="251"/>
      <c r="IS123" s="251"/>
      <c r="IT123" s="251"/>
      <c r="IU123" s="251"/>
      <c r="IV123" s="251"/>
      <c r="IW123" s="251"/>
      <c r="IX123" s="251"/>
      <c r="IY123" s="251"/>
      <c r="IZ123" s="251"/>
      <c r="JA123" s="251"/>
      <c r="JB123" s="251"/>
      <c r="JC123" s="251"/>
      <c r="JD123" s="251"/>
      <c r="JE123" s="251"/>
      <c r="JF123" s="251"/>
      <c r="JG123" s="251"/>
      <c r="JH123" s="251"/>
      <c r="JI123" s="251"/>
    </row>
    <row r="124" spans="1:269">
      <c r="A124" s="251"/>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c r="BF124" s="251"/>
      <c r="BG124" s="251"/>
      <c r="BH124" s="251"/>
      <c r="BI124" s="251"/>
      <c r="BJ124" s="251"/>
      <c r="BK124" s="251"/>
      <c r="BL124" s="251"/>
      <c r="BM124" s="251"/>
      <c r="BN124" s="251"/>
      <c r="BO124" s="251"/>
      <c r="BP124" s="251"/>
      <c r="BQ124" s="251"/>
      <c r="BR124" s="251"/>
      <c r="BS124" s="251"/>
      <c r="BT124" s="251"/>
      <c r="BU124" s="251"/>
      <c r="BV124" s="251"/>
      <c r="BW124" s="251"/>
      <c r="BX124" s="251"/>
      <c r="BY124" s="251"/>
      <c r="BZ124" s="251"/>
      <c r="CA124" s="251"/>
      <c r="CB124" s="251"/>
      <c r="CC124" s="251"/>
      <c r="CD124" s="251"/>
      <c r="CE124" s="251"/>
      <c r="CF124" s="251"/>
      <c r="CG124" s="251"/>
      <c r="CH124" s="251"/>
      <c r="CI124" s="251"/>
      <c r="CJ124" s="251"/>
      <c r="CK124" s="251"/>
      <c r="CL124" s="251"/>
      <c r="CM124" s="251"/>
      <c r="CN124" s="251"/>
      <c r="CO124" s="251"/>
      <c r="CP124" s="251"/>
      <c r="CQ124" s="251"/>
      <c r="CR124" s="251"/>
      <c r="CS124" s="251"/>
      <c r="CT124" s="251"/>
      <c r="CU124" s="251"/>
      <c r="CV124" s="251"/>
      <c r="CW124" s="251"/>
      <c r="CX124" s="251"/>
      <c r="CY124" s="251"/>
      <c r="CZ124" s="251"/>
      <c r="DA124" s="251"/>
      <c r="DB124" s="251"/>
      <c r="DC124" s="251"/>
      <c r="DD124" s="251"/>
      <c r="DE124" s="251"/>
      <c r="DF124" s="251"/>
      <c r="DG124" s="251"/>
      <c r="DH124" s="251"/>
      <c r="DI124" s="251"/>
      <c r="DJ124" s="251"/>
      <c r="DK124" s="251"/>
      <c r="DL124" s="251"/>
      <c r="DM124" s="251"/>
      <c r="DN124" s="251"/>
      <c r="DO124" s="251"/>
      <c r="DP124" s="251"/>
      <c r="DQ124" s="251"/>
      <c r="DR124" s="251"/>
      <c r="DS124" s="251"/>
      <c r="DT124" s="251"/>
      <c r="DU124" s="251"/>
      <c r="DV124" s="251"/>
      <c r="DW124" s="251"/>
      <c r="DX124" s="251"/>
      <c r="DY124" s="251"/>
      <c r="DZ124" s="251"/>
      <c r="EA124" s="251"/>
      <c r="EB124" s="251"/>
      <c r="EC124" s="251"/>
      <c r="ED124" s="251"/>
      <c r="EE124" s="251"/>
      <c r="EF124" s="251"/>
      <c r="EG124" s="251"/>
      <c r="EH124" s="251"/>
      <c r="EI124" s="251"/>
      <c r="EJ124" s="251"/>
      <c r="EK124" s="251"/>
      <c r="EL124" s="251"/>
      <c r="EM124" s="251"/>
      <c r="EN124" s="251"/>
      <c r="EO124" s="251"/>
      <c r="EP124" s="251"/>
      <c r="EQ124" s="251"/>
      <c r="ER124" s="251"/>
      <c r="ES124" s="251"/>
      <c r="ET124" s="251"/>
      <c r="EU124" s="251"/>
      <c r="EV124" s="251"/>
      <c r="EW124" s="251"/>
      <c r="EX124" s="251"/>
      <c r="EY124" s="251"/>
      <c r="EZ124" s="251"/>
      <c r="FA124" s="251"/>
      <c r="FB124" s="251"/>
      <c r="FC124" s="251"/>
      <c r="FD124" s="251"/>
      <c r="FE124" s="251"/>
      <c r="FF124" s="251"/>
      <c r="FG124" s="251"/>
      <c r="FH124" s="251"/>
      <c r="FI124" s="251"/>
      <c r="FJ124" s="251"/>
      <c r="FK124" s="251"/>
      <c r="FL124" s="251"/>
      <c r="FM124" s="251"/>
      <c r="FN124" s="251"/>
      <c r="FO124" s="251"/>
      <c r="FP124" s="251"/>
      <c r="FQ124" s="251"/>
      <c r="FR124" s="251"/>
      <c r="FS124" s="251"/>
      <c r="FT124" s="251"/>
      <c r="FU124" s="251"/>
      <c r="FV124" s="251"/>
      <c r="FW124" s="251"/>
      <c r="FX124" s="251"/>
      <c r="FY124" s="251"/>
      <c r="FZ124" s="251"/>
      <c r="GA124" s="251"/>
      <c r="GB124" s="251"/>
      <c r="GC124" s="251"/>
      <c r="GD124" s="251"/>
      <c r="GE124" s="251"/>
      <c r="GF124" s="251"/>
      <c r="GG124" s="251"/>
      <c r="GH124" s="251"/>
      <c r="GI124" s="251"/>
      <c r="GJ124" s="251"/>
      <c r="GK124" s="251"/>
      <c r="GL124" s="251"/>
      <c r="GM124" s="251"/>
      <c r="GN124" s="251"/>
      <c r="GO124" s="251"/>
      <c r="GP124" s="251"/>
      <c r="GQ124" s="251"/>
      <c r="GR124" s="251"/>
      <c r="GS124" s="251"/>
      <c r="GT124" s="251"/>
      <c r="GU124" s="251"/>
      <c r="GV124" s="251"/>
      <c r="GW124" s="251"/>
      <c r="GX124" s="251"/>
      <c r="GY124" s="251"/>
      <c r="GZ124" s="251"/>
      <c r="HA124" s="251"/>
      <c r="HB124" s="251"/>
      <c r="HC124" s="251"/>
      <c r="HD124" s="251"/>
      <c r="HE124" s="251"/>
      <c r="HF124" s="251"/>
      <c r="HG124" s="251"/>
      <c r="HH124" s="251"/>
      <c r="HI124" s="251"/>
      <c r="HJ124" s="251"/>
      <c r="HK124" s="251"/>
      <c r="HL124" s="251"/>
      <c r="HM124" s="251"/>
      <c r="HN124" s="251"/>
      <c r="HO124" s="251"/>
      <c r="HP124" s="251"/>
      <c r="HQ124" s="251"/>
      <c r="HR124" s="251"/>
      <c r="HS124" s="251"/>
      <c r="HT124" s="251"/>
      <c r="HU124" s="251"/>
      <c r="HV124" s="251"/>
      <c r="HW124" s="251"/>
      <c r="HX124" s="251"/>
      <c r="HY124" s="251"/>
      <c r="HZ124" s="251"/>
      <c r="IA124" s="251"/>
      <c r="IB124" s="251"/>
      <c r="IC124" s="251"/>
      <c r="ID124" s="251"/>
      <c r="IE124" s="251"/>
      <c r="IF124" s="251"/>
      <c r="IG124" s="251"/>
      <c r="IH124" s="251"/>
      <c r="II124" s="251"/>
      <c r="IJ124" s="251"/>
      <c r="IK124" s="251"/>
      <c r="IL124" s="251"/>
      <c r="IM124" s="251"/>
      <c r="IN124" s="251"/>
      <c r="IO124" s="251"/>
      <c r="IP124" s="251"/>
      <c r="IQ124" s="251"/>
      <c r="IR124" s="251"/>
      <c r="IS124" s="251"/>
      <c r="IT124" s="251"/>
      <c r="IU124" s="251"/>
      <c r="IV124" s="251"/>
      <c r="IW124" s="251"/>
      <c r="IX124" s="251"/>
      <c r="IY124" s="251"/>
      <c r="IZ124" s="251"/>
      <c r="JA124" s="251"/>
      <c r="JB124" s="251"/>
      <c r="JC124" s="251"/>
      <c r="JD124" s="251"/>
      <c r="JE124" s="251"/>
      <c r="JF124" s="251"/>
      <c r="JG124" s="251"/>
      <c r="JH124" s="251"/>
      <c r="JI124" s="251"/>
    </row>
    <row r="125" spans="1:269">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51"/>
      <c r="BW125" s="251"/>
      <c r="BX125" s="251"/>
      <c r="BY125" s="251"/>
      <c r="BZ125" s="251"/>
      <c r="CA125" s="251"/>
      <c r="CB125" s="251"/>
      <c r="CC125" s="251"/>
      <c r="CD125" s="251"/>
      <c r="CE125" s="251"/>
      <c r="CF125" s="251"/>
      <c r="CG125" s="251"/>
      <c r="CH125" s="251"/>
      <c r="CI125" s="251"/>
      <c r="CJ125" s="251"/>
      <c r="CK125" s="251"/>
      <c r="CL125" s="251"/>
      <c r="CM125" s="251"/>
      <c r="CN125" s="251"/>
      <c r="CO125" s="251"/>
      <c r="CP125" s="251"/>
      <c r="CQ125" s="251"/>
      <c r="CR125" s="251"/>
      <c r="CS125" s="251"/>
      <c r="CT125" s="251"/>
      <c r="CU125" s="251"/>
      <c r="CV125" s="251"/>
      <c r="CW125" s="251"/>
      <c r="CX125" s="251"/>
      <c r="CY125" s="251"/>
      <c r="CZ125" s="251"/>
      <c r="DA125" s="251"/>
      <c r="DB125" s="251"/>
      <c r="DC125" s="251"/>
      <c r="DD125" s="251"/>
      <c r="DE125" s="251"/>
      <c r="DF125" s="251"/>
      <c r="DG125" s="251"/>
      <c r="DH125" s="251"/>
      <c r="DI125" s="251"/>
      <c r="DJ125" s="251"/>
      <c r="DK125" s="251"/>
      <c r="DL125" s="251"/>
      <c r="DM125" s="251"/>
      <c r="DN125" s="251"/>
      <c r="DO125" s="251"/>
      <c r="DP125" s="251"/>
      <c r="DQ125" s="251"/>
      <c r="DR125" s="251"/>
      <c r="DS125" s="251"/>
      <c r="DT125" s="251"/>
      <c r="DU125" s="251"/>
      <c r="DV125" s="251"/>
      <c r="DW125" s="251"/>
      <c r="DX125" s="251"/>
      <c r="DY125" s="251"/>
      <c r="DZ125" s="251"/>
      <c r="EA125" s="251"/>
      <c r="EB125" s="251"/>
      <c r="EC125" s="251"/>
      <c r="ED125" s="251"/>
      <c r="EE125" s="251"/>
      <c r="EF125" s="251"/>
      <c r="EG125" s="251"/>
      <c r="EH125" s="251"/>
      <c r="EI125" s="251"/>
      <c r="EJ125" s="251"/>
      <c r="EK125" s="251"/>
      <c r="EL125" s="251"/>
      <c r="EM125" s="251"/>
      <c r="EN125" s="251"/>
      <c r="EO125" s="251"/>
      <c r="EP125" s="251"/>
      <c r="EQ125" s="251"/>
      <c r="ER125" s="251"/>
      <c r="ES125" s="251"/>
      <c r="ET125" s="251"/>
      <c r="EU125" s="251"/>
      <c r="EV125" s="251"/>
      <c r="EW125" s="251"/>
      <c r="EX125" s="251"/>
      <c r="EY125" s="251"/>
      <c r="EZ125" s="251"/>
      <c r="FA125" s="251"/>
      <c r="FB125" s="251"/>
      <c r="FC125" s="251"/>
      <c r="FD125" s="251"/>
      <c r="FE125" s="251"/>
      <c r="FF125" s="251"/>
      <c r="FG125" s="251"/>
      <c r="FH125" s="251"/>
      <c r="FI125" s="251"/>
      <c r="FJ125" s="251"/>
      <c r="FK125" s="251"/>
      <c r="FL125" s="251"/>
      <c r="FM125" s="251"/>
      <c r="FN125" s="251"/>
      <c r="FO125" s="251"/>
      <c r="FP125" s="251"/>
      <c r="FQ125" s="251"/>
      <c r="FR125" s="251"/>
      <c r="FS125" s="251"/>
      <c r="FT125" s="251"/>
      <c r="FU125" s="251"/>
      <c r="FV125" s="251"/>
      <c r="FW125" s="251"/>
      <c r="FX125" s="251"/>
      <c r="FY125" s="251"/>
      <c r="FZ125" s="251"/>
      <c r="GA125" s="251"/>
      <c r="GB125" s="251"/>
      <c r="GC125" s="251"/>
      <c r="GD125" s="251"/>
      <c r="GE125" s="251"/>
      <c r="GF125" s="251"/>
      <c r="GG125" s="251"/>
      <c r="GH125" s="251"/>
      <c r="GI125" s="251"/>
      <c r="GJ125" s="251"/>
      <c r="GK125" s="251"/>
      <c r="GL125" s="251"/>
      <c r="GM125" s="251"/>
      <c r="GN125" s="251"/>
      <c r="GO125" s="251"/>
      <c r="GP125" s="251"/>
      <c r="GQ125" s="251"/>
      <c r="GR125" s="251"/>
      <c r="GS125" s="251"/>
      <c r="GT125" s="251"/>
      <c r="GU125" s="251"/>
      <c r="GV125" s="251"/>
      <c r="GW125" s="251"/>
      <c r="GX125" s="251"/>
      <c r="GY125" s="251"/>
      <c r="GZ125" s="251"/>
      <c r="HA125" s="251"/>
      <c r="HB125" s="251"/>
      <c r="HC125" s="251"/>
      <c r="HD125" s="251"/>
      <c r="HE125" s="251"/>
      <c r="HF125" s="251"/>
      <c r="HG125" s="251"/>
      <c r="HH125" s="251"/>
      <c r="HI125" s="251"/>
      <c r="HJ125" s="251"/>
      <c r="HK125" s="251"/>
      <c r="HL125" s="251"/>
      <c r="HM125" s="251"/>
      <c r="HN125" s="251"/>
      <c r="HO125" s="251"/>
      <c r="HP125" s="251"/>
      <c r="HQ125" s="251"/>
      <c r="HR125" s="251"/>
      <c r="HS125" s="251"/>
      <c r="HT125" s="251"/>
      <c r="HU125" s="251"/>
      <c r="HV125" s="251"/>
      <c r="HW125" s="251"/>
      <c r="HX125" s="251"/>
      <c r="HY125" s="251"/>
      <c r="HZ125" s="251"/>
      <c r="IA125" s="251"/>
      <c r="IB125" s="251"/>
      <c r="IC125" s="251"/>
      <c r="ID125" s="251"/>
      <c r="IE125" s="251"/>
      <c r="IF125" s="251"/>
      <c r="IG125" s="251"/>
      <c r="IH125" s="251"/>
      <c r="II125" s="251"/>
      <c r="IJ125" s="251"/>
      <c r="IK125" s="251"/>
      <c r="IL125" s="251"/>
      <c r="IM125" s="251"/>
      <c r="IN125" s="251"/>
      <c r="IO125" s="251"/>
      <c r="IP125" s="251"/>
      <c r="IQ125" s="251"/>
      <c r="IR125" s="251"/>
      <c r="IS125" s="251"/>
      <c r="IT125" s="251"/>
      <c r="IU125" s="251"/>
      <c r="IV125" s="251"/>
      <c r="IW125" s="251"/>
      <c r="IX125" s="251"/>
      <c r="IY125" s="251"/>
      <c r="IZ125" s="251"/>
      <c r="JA125" s="251"/>
      <c r="JB125" s="251"/>
      <c r="JC125" s="251"/>
      <c r="JD125" s="251"/>
      <c r="JE125" s="251"/>
      <c r="JF125" s="251"/>
      <c r="JG125" s="251"/>
      <c r="JH125" s="251"/>
      <c r="JI125" s="251"/>
    </row>
    <row r="126" spans="1:269">
      <c r="A126" s="251"/>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c r="BK126" s="251"/>
      <c r="BL126" s="251"/>
      <c r="BM126" s="251"/>
      <c r="BN126" s="251"/>
      <c r="BO126" s="251"/>
      <c r="BP126" s="251"/>
      <c r="BQ126" s="251"/>
      <c r="BR126" s="251"/>
      <c r="BS126" s="251"/>
      <c r="BT126" s="251"/>
      <c r="BU126" s="251"/>
      <c r="BV126" s="251"/>
      <c r="BW126" s="251"/>
      <c r="BX126" s="251"/>
      <c r="BY126" s="251"/>
      <c r="BZ126" s="251"/>
      <c r="CA126" s="251"/>
      <c r="CB126" s="251"/>
      <c r="CC126" s="251"/>
      <c r="CD126" s="251"/>
      <c r="CE126" s="251"/>
      <c r="CF126" s="251"/>
      <c r="CG126" s="251"/>
      <c r="CH126" s="251"/>
      <c r="CI126" s="251"/>
      <c r="CJ126" s="251"/>
      <c r="CK126" s="251"/>
      <c r="CL126" s="251"/>
      <c r="CM126" s="251"/>
      <c r="CN126" s="251"/>
      <c r="CO126" s="251"/>
      <c r="CP126" s="251"/>
      <c r="CQ126" s="251"/>
      <c r="CR126" s="251"/>
      <c r="CS126" s="251"/>
      <c r="CT126" s="251"/>
      <c r="CU126" s="251"/>
      <c r="CV126" s="251"/>
      <c r="CW126" s="251"/>
      <c r="CX126" s="251"/>
      <c r="CY126" s="251"/>
      <c r="CZ126" s="251"/>
      <c r="DA126" s="251"/>
      <c r="DB126" s="251"/>
      <c r="DC126" s="251"/>
      <c r="DD126" s="251"/>
      <c r="DE126" s="251"/>
      <c r="DF126" s="251"/>
      <c r="DG126" s="251"/>
      <c r="DH126" s="251"/>
      <c r="DI126" s="251"/>
      <c r="DJ126" s="251"/>
      <c r="DK126" s="251"/>
      <c r="DL126" s="251"/>
      <c r="DM126" s="251"/>
      <c r="DN126" s="251"/>
      <c r="DO126" s="251"/>
      <c r="DP126" s="251"/>
      <c r="DQ126" s="251"/>
      <c r="DR126" s="251"/>
      <c r="DS126" s="251"/>
      <c r="DT126" s="251"/>
      <c r="DU126" s="251"/>
      <c r="DV126" s="251"/>
      <c r="DW126" s="251"/>
      <c r="DX126" s="251"/>
      <c r="DY126" s="251"/>
      <c r="DZ126" s="251"/>
      <c r="EA126" s="251"/>
      <c r="EB126" s="251"/>
      <c r="EC126" s="251"/>
      <c r="ED126" s="251"/>
      <c r="EE126" s="251"/>
      <c r="EF126" s="251"/>
      <c r="EG126" s="251"/>
      <c r="EH126" s="251"/>
      <c r="EI126" s="251"/>
      <c r="EJ126" s="251"/>
      <c r="EK126" s="251"/>
      <c r="EL126" s="251"/>
      <c r="EM126" s="251"/>
      <c r="EN126" s="251"/>
      <c r="EO126" s="251"/>
      <c r="EP126" s="251"/>
      <c r="EQ126" s="251"/>
      <c r="ER126" s="251"/>
      <c r="ES126" s="251"/>
      <c r="ET126" s="251"/>
      <c r="EU126" s="251"/>
      <c r="EV126" s="251"/>
      <c r="EW126" s="251"/>
      <c r="EX126" s="251"/>
      <c r="EY126" s="251"/>
      <c r="EZ126" s="251"/>
      <c r="FA126" s="251"/>
      <c r="FB126" s="251"/>
      <c r="FC126" s="251"/>
      <c r="FD126" s="251"/>
      <c r="FE126" s="251"/>
      <c r="FF126" s="251"/>
      <c r="FG126" s="251"/>
      <c r="FH126" s="251"/>
      <c r="FI126" s="251"/>
      <c r="FJ126" s="251"/>
      <c r="FK126" s="251"/>
      <c r="FL126" s="251"/>
      <c r="FM126" s="251"/>
      <c r="FN126" s="251"/>
      <c r="FO126" s="251"/>
      <c r="FP126" s="251"/>
      <c r="FQ126" s="251"/>
      <c r="FR126" s="251"/>
      <c r="FS126" s="251"/>
      <c r="FT126" s="251"/>
      <c r="FU126" s="251"/>
      <c r="FV126" s="251"/>
      <c r="FW126" s="251"/>
      <c r="FX126" s="251"/>
      <c r="FY126" s="251"/>
      <c r="FZ126" s="251"/>
      <c r="GA126" s="251"/>
      <c r="GB126" s="251"/>
      <c r="GC126" s="251"/>
      <c r="GD126" s="251"/>
      <c r="GE126" s="251"/>
      <c r="GF126" s="251"/>
      <c r="GG126" s="251"/>
      <c r="GH126" s="251"/>
      <c r="GI126" s="251"/>
      <c r="GJ126" s="251"/>
      <c r="GK126" s="251"/>
      <c r="GL126" s="251"/>
      <c r="GM126" s="251"/>
      <c r="GN126" s="251"/>
      <c r="GO126" s="251"/>
      <c r="GP126" s="251"/>
      <c r="GQ126" s="251"/>
      <c r="GR126" s="251"/>
      <c r="GS126" s="251"/>
      <c r="GT126" s="251"/>
      <c r="GU126" s="251"/>
      <c r="GV126" s="251"/>
      <c r="GW126" s="251"/>
      <c r="GX126" s="251"/>
      <c r="GY126" s="251"/>
      <c r="GZ126" s="251"/>
      <c r="HA126" s="251"/>
      <c r="HB126" s="251"/>
      <c r="HC126" s="251"/>
      <c r="HD126" s="251"/>
      <c r="HE126" s="251"/>
      <c r="HF126" s="251"/>
      <c r="HG126" s="251"/>
      <c r="HH126" s="251"/>
      <c r="HI126" s="251"/>
      <c r="HJ126" s="251"/>
      <c r="HK126" s="251"/>
      <c r="HL126" s="251"/>
      <c r="HM126" s="251"/>
      <c r="HN126" s="251"/>
      <c r="HO126" s="251"/>
      <c r="HP126" s="251"/>
      <c r="HQ126" s="251"/>
      <c r="HR126" s="251"/>
      <c r="HS126" s="251"/>
      <c r="HT126" s="251"/>
      <c r="HU126" s="251"/>
      <c r="HV126" s="251"/>
      <c r="HW126" s="251"/>
      <c r="HX126" s="251"/>
      <c r="HY126" s="251"/>
      <c r="HZ126" s="251"/>
      <c r="IA126" s="251"/>
      <c r="IB126" s="251"/>
      <c r="IC126" s="251"/>
      <c r="ID126" s="251"/>
      <c r="IE126" s="251"/>
      <c r="IF126" s="251"/>
      <c r="IG126" s="251"/>
      <c r="IH126" s="251"/>
      <c r="II126" s="251"/>
      <c r="IJ126" s="251"/>
      <c r="IK126" s="251"/>
      <c r="IL126" s="251"/>
      <c r="IM126" s="251"/>
      <c r="IN126" s="251"/>
      <c r="IO126" s="251"/>
      <c r="IP126" s="251"/>
      <c r="IQ126" s="251"/>
      <c r="IR126" s="251"/>
      <c r="IS126" s="251"/>
      <c r="IT126" s="251"/>
      <c r="IU126" s="251"/>
      <c r="IV126" s="251"/>
      <c r="IW126" s="251"/>
      <c r="IX126" s="251"/>
      <c r="IY126" s="251"/>
      <c r="IZ126" s="251"/>
      <c r="JA126" s="251"/>
      <c r="JB126" s="251"/>
      <c r="JC126" s="251"/>
      <c r="JD126" s="251"/>
      <c r="JE126" s="251"/>
      <c r="JF126" s="251"/>
      <c r="JG126" s="251"/>
      <c r="JH126" s="251"/>
      <c r="JI126" s="251"/>
    </row>
    <row r="127" spans="1:269">
      <c r="A127" s="251"/>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251"/>
      <c r="BX127" s="251"/>
      <c r="BY127" s="251"/>
      <c r="BZ127" s="251"/>
      <c r="CA127" s="251"/>
      <c r="CB127" s="251"/>
      <c r="CC127" s="251"/>
      <c r="CD127" s="251"/>
      <c r="CE127" s="251"/>
      <c r="CF127" s="251"/>
      <c r="CG127" s="251"/>
      <c r="CH127" s="251"/>
      <c r="CI127" s="251"/>
      <c r="CJ127" s="251"/>
      <c r="CK127" s="251"/>
      <c r="CL127" s="251"/>
      <c r="CM127" s="251"/>
      <c r="CN127" s="251"/>
      <c r="CO127" s="251"/>
      <c r="CP127" s="251"/>
      <c r="CQ127" s="251"/>
      <c r="CR127" s="251"/>
      <c r="CS127" s="251"/>
      <c r="CT127" s="251"/>
      <c r="CU127" s="251"/>
      <c r="CV127" s="251"/>
      <c r="CW127" s="251"/>
      <c r="CX127" s="251"/>
      <c r="CY127" s="251"/>
      <c r="CZ127" s="251"/>
      <c r="DA127" s="251"/>
      <c r="DB127" s="251"/>
      <c r="DC127" s="251"/>
      <c r="DD127" s="251"/>
      <c r="DE127" s="251"/>
      <c r="DF127" s="251"/>
      <c r="DG127" s="251"/>
      <c r="DH127" s="251"/>
      <c r="DI127" s="251"/>
      <c r="DJ127" s="251"/>
      <c r="DK127" s="251"/>
      <c r="DL127" s="251"/>
      <c r="DM127" s="251"/>
      <c r="DN127" s="251"/>
      <c r="DO127" s="251"/>
      <c r="DP127" s="251"/>
      <c r="DQ127" s="251"/>
      <c r="DR127" s="251"/>
      <c r="DS127" s="251"/>
      <c r="DT127" s="251"/>
      <c r="DU127" s="251"/>
      <c r="DV127" s="251"/>
      <c r="DW127" s="251"/>
      <c r="DX127" s="251"/>
      <c r="DY127" s="251"/>
      <c r="DZ127" s="251"/>
      <c r="EA127" s="251"/>
      <c r="EB127" s="251"/>
      <c r="EC127" s="251"/>
      <c r="ED127" s="251"/>
      <c r="EE127" s="251"/>
      <c r="EF127" s="251"/>
      <c r="EG127" s="251"/>
      <c r="EH127" s="251"/>
      <c r="EI127" s="251"/>
      <c r="EJ127" s="251"/>
      <c r="EK127" s="251"/>
      <c r="EL127" s="251"/>
      <c r="EM127" s="251"/>
      <c r="EN127" s="251"/>
      <c r="EO127" s="251"/>
      <c r="EP127" s="251"/>
      <c r="EQ127" s="251"/>
      <c r="ER127" s="251"/>
      <c r="ES127" s="251"/>
      <c r="ET127" s="251"/>
      <c r="EU127" s="251"/>
      <c r="EV127" s="251"/>
      <c r="EW127" s="251"/>
      <c r="EX127" s="251"/>
      <c r="EY127" s="251"/>
      <c r="EZ127" s="251"/>
      <c r="FA127" s="251"/>
      <c r="FB127" s="251"/>
      <c r="FC127" s="251"/>
      <c r="FD127" s="251"/>
      <c r="FE127" s="251"/>
      <c r="FF127" s="251"/>
      <c r="FG127" s="251"/>
      <c r="FH127" s="251"/>
      <c r="FI127" s="251"/>
      <c r="FJ127" s="251"/>
      <c r="FK127" s="251"/>
      <c r="FL127" s="251"/>
      <c r="FM127" s="251"/>
      <c r="FN127" s="251"/>
      <c r="FO127" s="251"/>
      <c r="FP127" s="251"/>
      <c r="FQ127" s="251"/>
      <c r="FR127" s="251"/>
      <c r="FS127" s="251"/>
      <c r="FT127" s="251"/>
      <c r="FU127" s="251"/>
      <c r="FV127" s="251"/>
      <c r="FW127" s="251"/>
      <c r="FX127" s="251"/>
      <c r="FY127" s="251"/>
      <c r="FZ127" s="251"/>
      <c r="GA127" s="251"/>
      <c r="GB127" s="251"/>
      <c r="GC127" s="251"/>
      <c r="GD127" s="251"/>
      <c r="GE127" s="251"/>
      <c r="GF127" s="251"/>
      <c r="GG127" s="251"/>
      <c r="GH127" s="251"/>
      <c r="GI127" s="251"/>
      <c r="GJ127" s="251"/>
      <c r="GK127" s="251"/>
      <c r="GL127" s="251"/>
      <c r="GM127" s="251"/>
      <c r="GN127" s="251"/>
      <c r="GO127" s="251"/>
      <c r="GP127" s="251"/>
      <c r="GQ127" s="251"/>
      <c r="GR127" s="251"/>
      <c r="GS127" s="251"/>
      <c r="GT127" s="251"/>
      <c r="GU127" s="251"/>
      <c r="GV127" s="251"/>
      <c r="GW127" s="251"/>
      <c r="GX127" s="251"/>
      <c r="GY127" s="251"/>
      <c r="GZ127" s="251"/>
      <c r="HA127" s="251"/>
      <c r="HB127" s="251"/>
      <c r="HC127" s="251"/>
      <c r="HD127" s="251"/>
      <c r="HE127" s="251"/>
      <c r="HF127" s="251"/>
      <c r="HG127" s="251"/>
      <c r="HH127" s="251"/>
      <c r="HI127" s="251"/>
      <c r="HJ127" s="251"/>
      <c r="HK127" s="251"/>
      <c r="HL127" s="251"/>
      <c r="HM127" s="251"/>
      <c r="HN127" s="251"/>
      <c r="HO127" s="251"/>
      <c r="HP127" s="251"/>
      <c r="HQ127" s="251"/>
      <c r="HR127" s="251"/>
      <c r="HS127" s="251"/>
      <c r="HT127" s="251"/>
      <c r="HU127" s="251"/>
      <c r="HV127" s="251"/>
      <c r="HW127" s="251"/>
      <c r="HX127" s="251"/>
      <c r="HY127" s="251"/>
      <c r="HZ127" s="251"/>
      <c r="IA127" s="251"/>
      <c r="IB127" s="251"/>
      <c r="IC127" s="251"/>
      <c r="ID127" s="251"/>
      <c r="IE127" s="251"/>
      <c r="IF127" s="251"/>
      <c r="IG127" s="251"/>
      <c r="IH127" s="251"/>
      <c r="II127" s="251"/>
      <c r="IJ127" s="251"/>
      <c r="IK127" s="251"/>
      <c r="IL127" s="251"/>
      <c r="IM127" s="251"/>
      <c r="IN127" s="251"/>
      <c r="IO127" s="251"/>
      <c r="IP127" s="251"/>
      <c r="IQ127" s="251"/>
      <c r="IR127" s="251"/>
      <c r="IS127" s="251"/>
      <c r="IT127" s="251"/>
      <c r="IU127" s="251"/>
      <c r="IV127" s="251"/>
      <c r="IW127" s="251"/>
      <c r="IX127" s="251"/>
      <c r="IY127" s="251"/>
      <c r="IZ127" s="251"/>
      <c r="JA127" s="251"/>
      <c r="JB127" s="251"/>
      <c r="JC127" s="251"/>
      <c r="JD127" s="251"/>
      <c r="JE127" s="251"/>
      <c r="JF127" s="251"/>
      <c r="JG127" s="251"/>
      <c r="JH127" s="251"/>
      <c r="JI127" s="251"/>
    </row>
    <row r="128" spans="1:269">
      <c r="A128" s="251"/>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c r="BK128" s="251"/>
      <c r="BL128" s="251"/>
      <c r="BM128" s="251"/>
      <c r="BN128" s="251"/>
      <c r="BO128" s="251"/>
      <c r="BP128" s="251"/>
      <c r="BQ128" s="251"/>
      <c r="BR128" s="251"/>
      <c r="BS128" s="251"/>
      <c r="BT128" s="251"/>
      <c r="BU128" s="251"/>
      <c r="BV128" s="251"/>
      <c r="BW128" s="251"/>
      <c r="BX128" s="251"/>
      <c r="BY128" s="251"/>
      <c r="BZ128" s="251"/>
      <c r="CA128" s="251"/>
      <c r="CB128" s="251"/>
      <c r="CC128" s="251"/>
      <c r="CD128" s="251"/>
      <c r="CE128" s="251"/>
      <c r="CF128" s="251"/>
      <c r="CG128" s="251"/>
      <c r="CH128" s="251"/>
      <c r="CI128" s="251"/>
      <c r="CJ128" s="251"/>
      <c r="CK128" s="251"/>
      <c r="CL128" s="251"/>
      <c r="CM128" s="251"/>
      <c r="CN128" s="251"/>
      <c r="CO128" s="251"/>
      <c r="CP128" s="251"/>
      <c r="CQ128" s="251"/>
      <c r="CR128" s="251"/>
      <c r="CS128" s="251"/>
      <c r="CT128" s="251"/>
      <c r="CU128" s="251"/>
      <c r="CV128" s="251"/>
      <c r="CW128" s="251"/>
      <c r="CX128" s="251"/>
      <c r="CY128" s="251"/>
      <c r="CZ128" s="251"/>
      <c r="DA128" s="251"/>
      <c r="DB128" s="251"/>
      <c r="DC128" s="251"/>
      <c r="DD128" s="251"/>
      <c r="DE128" s="251"/>
      <c r="DF128" s="251"/>
      <c r="DG128" s="251"/>
      <c r="DH128" s="251"/>
      <c r="DI128" s="251"/>
      <c r="DJ128" s="251"/>
      <c r="DK128" s="251"/>
      <c r="DL128" s="251"/>
      <c r="DM128" s="251"/>
      <c r="DN128" s="251"/>
      <c r="DO128" s="251"/>
      <c r="DP128" s="251"/>
      <c r="DQ128" s="251"/>
      <c r="DR128" s="251"/>
      <c r="DS128" s="251"/>
      <c r="DT128" s="251"/>
      <c r="DU128" s="251"/>
      <c r="DV128" s="251"/>
      <c r="DW128" s="251"/>
      <c r="DX128" s="251"/>
      <c r="DY128" s="251"/>
      <c r="DZ128" s="251"/>
      <c r="EA128" s="251"/>
      <c r="EB128" s="251"/>
      <c r="EC128" s="251"/>
      <c r="ED128" s="251"/>
      <c r="EE128" s="251"/>
      <c r="EF128" s="251"/>
      <c r="EG128" s="251"/>
      <c r="EH128" s="251"/>
      <c r="EI128" s="251"/>
      <c r="EJ128" s="251"/>
      <c r="EK128" s="251"/>
      <c r="EL128" s="251"/>
      <c r="EM128" s="251"/>
      <c r="EN128" s="251"/>
      <c r="EO128" s="251"/>
      <c r="EP128" s="251"/>
      <c r="EQ128" s="251"/>
      <c r="ER128" s="251"/>
      <c r="ES128" s="251"/>
      <c r="ET128" s="251"/>
      <c r="EU128" s="251"/>
      <c r="EV128" s="251"/>
      <c r="EW128" s="251"/>
      <c r="EX128" s="251"/>
      <c r="EY128" s="251"/>
      <c r="EZ128" s="251"/>
      <c r="FA128" s="251"/>
      <c r="FB128" s="251"/>
      <c r="FC128" s="251"/>
      <c r="FD128" s="251"/>
      <c r="FE128" s="251"/>
      <c r="FF128" s="251"/>
      <c r="FG128" s="251"/>
      <c r="FH128" s="251"/>
      <c r="FI128" s="251"/>
      <c r="FJ128" s="251"/>
      <c r="FK128" s="251"/>
      <c r="FL128" s="251"/>
      <c r="FM128" s="251"/>
      <c r="FN128" s="251"/>
      <c r="FO128" s="251"/>
      <c r="FP128" s="251"/>
      <c r="FQ128" s="251"/>
      <c r="FR128" s="251"/>
      <c r="FS128" s="251"/>
      <c r="FT128" s="251"/>
      <c r="FU128" s="251"/>
      <c r="FV128" s="251"/>
      <c r="FW128" s="251"/>
      <c r="FX128" s="251"/>
      <c r="FY128" s="251"/>
      <c r="FZ128" s="251"/>
      <c r="GA128" s="251"/>
      <c r="GB128" s="251"/>
      <c r="GC128" s="251"/>
      <c r="GD128" s="251"/>
      <c r="GE128" s="251"/>
      <c r="GF128" s="251"/>
      <c r="GG128" s="251"/>
      <c r="GH128" s="251"/>
      <c r="GI128" s="251"/>
      <c r="GJ128" s="251"/>
      <c r="GK128" s="251"/>
      <c r="GL128" s="251"/>
      <c r="GM128" s="251"/>
      <c r="GN128" s="251"/>
      <c r="GO128" s="251"/>
      <c r="GP128" s="251"/>
      <c r="GQ128" s="251"/>
      <c r="GR128" s="251"/>
      <c r="GS128" s="251"/>
      <c r="GT128" s="251"/>
      <c r="GU128" s="251"/>
      <c r="GV128" s="251"/>
      <c r="GW128" s="251"/>
      <c r="GX128" s="251"/>
      <c r="GY128" s="251"/>
      <c r="GZ128" s="251"/>
      <c r="HA128" s="251"/>
      <c r="HB128" s="251"/>
      <c r="HC128" s="251"/>
      <c r="HD128" s="251"/>
      <c r="HE128" s="251"/>
      <c r="HF128" s="251"/>
      <c r="HG128" s="251"/>
      <c r="HH128" s="251"/>
      <c r="HI128" s="251"/>
      <c r="HJ128" s="251"/>
      <c r="HK128" s="251"/>
      <c r="HL128" s="251"/>
      <c r="HM128" s="251"/>
      <c r="HN128" s="251"/>
      <c r="HO128" s="251"/>
      <c r="HP128" s="251"/>
      <c r="HQ128" s="251"/>
      <c r="HR128" s="251"/>
      <c r="HS128" s="251"/>
      <c r="HT128" s="251"/>
      <c r="HU128" s="251"/>
      <c r="HV128" s="251"/>
      <c r="HW128" s="251"/>
      <c r="HX128" s="251"/>
      <c r="HY128" s="251"/>
      <c r="HZ128" s="251"/>
      <c r="IA128" s="251"/>
      <c r="IB128" s="251"/>
      <c r="IC128" s="251"/>
      <c r="ID128" s="251"/>
      <c r="IE128" s="251"/>
      <c r="IF128" s="251"/>
      <c r="IG128" s="251"/>
      <c r="IH128" s="251"/>
      <c r="II128" s="251"/>
      <c r="IJ128" s="251"/>
      <c r="IK128" s="251"/>
      <c r="IL128" s="251"/>
      <c r="IM128" s="251"/>
      <c r="IN128" s="251"/>
      <c r="IO128" s="251"/>
      <c r="IP128" s="251"/>
      <c r="IQ128" s="251"/>
      <c r="IR128" s="251"/>
      <c r="IS128" s="251"/>
      <c r="IT128" s="251"/>
      <c r="IU128" s="251"/>
      <c r="IV128" s="251"/>
      <c r="IW128" s="251"/>
      <c r="IX128" s="251"/>
      <c r="IY128" s="251"/>
      <c r="IZ128" s="251"/>
      <c r="JA128" s="251"/>
      <c r="JB128" s="251"/>
      <c r="JC128" s="251"/>
      <c r="JD128" s="251"/>
      <c r="JE128" s="251"/>
      <c r="JF128" s="251"/>
      <c r="JG128" s="251"/>
      <c r="JH128" s="251"/>
      <c r="JI128" s="251"/>
    </row>
    <row r="129" spans="1:269">
      <c r="A129" s="251"/>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51"/>
      <c r="DQ129" s="251"/>
      <c r="DR129" s="251"/>
      <c r="DS129" s="251"/>
      <c r="DT129" s="251"/>
      <c r="DU129" s="251"/>
      <c r="DV129" s="251"/>
      <c r="DW129" s="251"/>
      <c r="DX129" s="251"/>
      <c r="DY129" s="251"/>
      <c r="DZ129" s="251"/>
      <c r="EA129" s="251"/>
      <c r="EB129" s="251"/>
      <c r="EC129" s="251"/>
      <c r="ED129" s="251"/>
      <c r="EE129" s="251"/>
      <c r="EF129" s="251"/>
      <c r="EG129" s="251"/>
      <c r="EH129" s="251"/>
      <c r="EI129" s="251"/>
      <c r="EJ129" s="251"/>
      <c r="EK129" s="251"/>
      <c r="EL129" s="251"/>
      <c r="EM129" s="251"/>
      <c r="EN129" s="251"/>
      <c r="EO129" s="251"/>
      <c r="EP129" s="251"/>
      <c r="EQ129" s="251"/>
      <c r="ER129" s="251"/>
      <c r="ES129" s="251"/>
      <c r="ET129" s="251"/>
      <c r="EU129" s="251"/>
      <c r="EV129" s="251"/>
      <c r="EW129" s="251"/>
      <c r="EX129" s="251"/>
      <c r="EY129" s="251"/>
      <c r="EZ129" s="251"/>
      <c r="FA129" s="251"/>
      <c r="FB129" s="251"/>
      <c r="FC129" s="251"/>
      <c r="FD129" s="251"/>
      <c r="FE129" s="251"/>
      <c r="FF129" s="251"/>
      <c r="FG129" s="251"/>
      <c r="FH129" s="251"/>
      <c r="FI129" s="251"/>
      <c r="FJ129" s="251"/>
      <c r="FK129" s="251"/>
      <c r="FL129" s="251"/>
      <c r="FM129" s="251"/>
      <c r="FN129" s="251"/>
      <c r="FO129" s="251"/>
      <c r="FP129" s="251"/>
      <c r="FQ129" s="251"/>
      <c r="FR129" s="251"/>
      <c r="FS129" s="251"/>
      <c r="FT129" s="251"/>
      <c r="FU129" s="251"/>
      <c r="FV129" s="251"/>
      <c r="FW129" s="251"/>
      <c r="FX129" s="251"/>
      <c r="FY129" s="251"/>
      <c r="FZ129" s="251"/>
      <c r="GA129" s="251"/>
      <c r="GB129" s="251"/>
      <c r="GC129" s="251"/>
      <c r="GD129" s="251"/>
      <c r="GE129" s="251"/>
      <c r="GF129" s="251"/>
      <c r="GG129" s="251"/>
      <c r="GH129" s="251"/>
      <c r="GI129" s="251"/>
      <c r="GJ129" s="251"/>
      <c r="GK129" s="251"/>
      <c r="GL129" s="251"/>
      <c r="GM129" s="251"/>
      <c r="GN129" s="251"/>
      <c r="GO129" s="251"/>
      <c r="GP129" s="251"/>
      <c r="GQ129" s="251"/>
      <c r="GR129" s="251"/>
      <c r="GS129" s="251"/>
      <c r="GT129" s="251"/>
      <c r="GU129" s="251"/>
      <c r="GV129" s="251"/>
      <c r="GW129" s="251"/>
      <c r="GX129" s="251"/>
      <c r="GY129" s="251"/>
      <c r="GZ129" s="251"/>
      <c r="HA129" s="251"/>
      <c r="HB129" s="251"/>
      <c r="HC129" s="251"/>
      <c r="HD129" s="251"/>
      <c r="HE129" s="251"/>
      <c r="HF129" s="251"/>
      <c r="HG129" s="251"/>
      <c r="HH129" s="251"/>
      <c r="HI129" s="251"/>
      <c r="HJ129" s="251"/>
      <c r="HK129" s="251"/>
      <c r="HL129" s="251"/>
      <c r="HM129" s="251"/>
      <c r="HN129" s="251"/>
      <c r="HO129" s="251"/>
      <c r="HP129" s="251"/>
      <c r="HQ129" s="251"/>
      <c r="HR129" s="251"/>
      <c r="HS129" s="251"/>
      <c r="HT129" s="251"/>
      <c r="HU129" s="251"/>
      <c r="HV129" s="251"/>
      <c r="HW129" s="251"/>
      <c r="HX129" s="251"/>
      <c r="HY129" s="251"/>
      <c r="HZ129" s="251"/>
      <c r="IA129" s="251"/>
      <c r="IB129" s="251"/>
      <c r="IC129" s="251"/>
      <c r="ID129" s="251"/>
      <c r="IE129" s="251"/>
      <c r="IF129" s="251"/>
      <c r="IG129" s="251"/>
      <c r="IH129" s="251"/>
      <c r="II129" s="251"/>
      <c r="IJ129" s="251"/>
      <c r="IK129" s="251"/>
      <c r="IL129" s="251"/>
      <c r="IM129" s="251"/>
      <c r="IN129" s="251"/>
      <c r="IO129" s="251"/>
      <c r="IP129" s="251"/>
      <c r="IQ129" s="251"/>
      <c r="IR129" s="251"/>
      <c r="IS129" s="251"/>
      <c r="IT129" s="251"/>
      <c r="IU129" s="251"/>
      <c r="IV129" s="251"/>
      <c r="IW129" s="251"/>
      <c r="IX129" s="251"/>
      <c r="IY129" s="251"/>
      <c r="IZ129" s="251"/>
      <c r="JA129" s="251"/>
      <c r="JB129" s="251"/>
      <c r="JC129" s="251"/>
      <c r="JD129" s="251"/>
      <c r="JE129" s="251"/>
      <c r="JF129" s="251"/>
      <c r="JG129" s="251"/>
      <c r="JH129" s="251"/>
      <c r="JI129" s="251"/>
    </row>
    <row r="130" spans="1:269">
      <c r="A130" s="251"/>
      <c r="B130" s="251"/>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c r="BF130" s="251"/>
      <c r="BG130" s="251"/>
      <c r="BH130" s="251"/>
      <c r="BI130" s="251"/>
      <c r="BJ130" s="251"/>
      <c r="BK130" s="251"/>
      <c r="BL130" s="251"/>
      <c r="BM130" s="251"/>
      <c r="BN130" s="251"/>
      <c r="BO130" s="251"/>
      <c r="BP130" s="251"/>
      <c r="BQ130" s="251"/>
      <c r="BR130" s="251"/>
      <c r="BS130" s="251"/>
      <c r="BT130" s="251"/>
      <c r="BU130" s="251"/>
      <c r="BV130" s="251"/>
      <c r="BW130" s="251"/>
      <c r="BX130" s="251"/>
      <c r="BY130" s="251"/>
      <c r="BZ130" s="251"/>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51"/>
      <c r="DQ130" s="251"/>
      <c r="DR130" s="251"/>
      <c r="DS130" s="251"/>
      <c r="DT130" s="251"/>
      <c r="DU130" s="251"/>
      <c r="DV130" s="251"/>
      <c r="DW130" s="251"/>
      <c r="DX130" s="251"/>
      <c r="DY130" s="251"/>
      <c r="DZ130" s="251"/>
      <c r="EA130" s="251"/>
      <c r="EB130" s="251"/>
      <c r="EC130" s="251"/>
      <c r="ED130" s="251"/>
      <c r="EE130" s="251"/>
      <c r="EF130" s="251"/>
      <c r="EG130" s="251"/>
      <c r="EH130" s="251"/>
      <c r="EI130" s="251"/>
      <c r="EJ130" s="251"/>
      <c r="EK130" s="251"/>
      <c r="EL130" s="251"/>
      <c r="EM130" s="251"/>
      <c r="EN130" s="251"/>
      <c r="EO130" s="251"/>
      <c r="EP130" s="251"/>
      <c r="EQ130" s="251"/>
      <c r="ER130" s="251"/>
      <c r="ES130" s="251"/>
      <c r="ET130" s="251"/>
      <c r="EU130" s="251"/>
      <c r="EV130" s="251"/>
      <c r="EW130" s="251"/>
      <c r="EX130" s="251"/>
      <c r="EY130" s="251"/>
      <c r="EZ130" s="251"/>
      <c r="FA130" s="251"/>
      <c r="FB130" s="251"/>
      <c r="FC130" s="251"/>
      <c r="FD130" s="251"/>
      <c r="FE130" s="251"/>
      <c r="FF130" s="251"/>
      <c r="FG130" s="251"/>
      <c r="FH130" s="251"/>
      <c r="FI130" s="251"/>
      <c r="FJ130" s="251"/>
      <c r="FK130" s="251"/>
      <c r="FL130" s="251"/>
      <c r="FM130" s="251"/>
      <c r="FN130" s="251"/>
      <c r="FO130" s="251"/>
      <c r="FP130" s="251"/>
      <c r="FQ130" s="251"/>
      <c r="FR130" s="251"/>
      <c r="FS130" s="251"/>
      <c r="FT130" s="251"/>
      <c r="FU130" s="251"/>
      <c r="FV130" s="251"/>
      <c r="FW130" s="251"/>
      <c r="FX130" s="251"/>
      <c r="FY130" s="251"/>
      <c r="FZ130" s="251"/>
      <c r="GA130" s="251"/>
      <c r="GB130" s="251"/>
      <c r="GC130" s="251"/>
      <c r="GD130" s="251"/>
      <c r="GE130" s="251"/>
      <c r="GF130" s="251"/>
      <c r="GG130" s="251"/>
      <c r="GH130" s="251"/>
      <c r="GI130" s="251"/>
      <c r="GJ130" s="251"/>
      <c r="GK130" s="251"/>
      <c r="GL130" s="251"/>
      <c r="GM130" s="251"/>
      <c r="GN130" s="251"/>
      <c r="GO130" s="251"/>
      <c r="GP130" s="251"/>
      <c r="GQ130" s="251"/>
      <c r="GR130" s="251"/>
      <c r="GS130" s="251"/>
      <c r="GT130" s="251"/>
      <c r="GU130" s="251"/>
      <c r="GV130" s="251"/>
      <c r="GW130" s="251"/>
      <c r="GX130" s="251"/>
      <c r="GY130" s="251"/>
      <c r="GZ130" s="251"/>
      <c r="HA130" s="251"/>
      <c r="HB130" s="251"/>
      <c r="HC130" s="251"/>
      <c r="HD130" s="251"/>
      <c r="HE130" s="251"/>
      <c r="HF130" s="251"/>
      <c r="HG130" s="251"/>
      <c r="HH130" s="251"/>
      <c r="HI130" s="251"/>
      <c r="HJ130" s="251"/>
      <c r="HK130" s="251"/>
      <c r="HL130" s="251"/>
      <c r="HM130" s="251"/>
      <c r="HN130" s="251"/>
      <c r="HO130" s="251"/>
      <c r="HP130" s="251"/>
      <c r="HQ130" s="251"/>
      <c r="HR130" s="251"/>
      <c r="HS130" s="251"/>
      <c r="HT130" s="251"/>
      <c r="HU130" s="251"/>
      <c r="HV130" s="251"/>
      <c r="HW130" s="251"/>
      <c r="HX130" s="251"/>
      <c r="HY130" s="251"/>
      <c r="HZ130" s="251"/>
      <c r="IA130" s="251"/>
      <c r="IB130" s="251"/>
      <c r="IC130" s="251"/>
      <c r="ID130" s="251"/>
      <c r="IE130" s="251"/>
      <c r="IF130" s="251"/>
      <c r="IG130" s="251"/>
      <c r="IH130" s="251"/>
      <c r="II130" s="251"/>
      <c r="IJ130" s="251"/>
      <c r="IK130" s="251"/>
      <c r="IL130" s="251"/>
      <c r="IM130" s="251"/>
      <c r="IN130" s="251"/>
      <c r="IO130" s="251"/>
      <c r="IP130" s="251"/>
      <c r="IQ130" s="251"/>
      <c r="IR130" s="251"/>
      <c r="IS130" s="251"/>
      <c r="IT130" s="251"/>
      <c r="IU130" s="251"/>
      <c r="IV130" s="251"/>
      <c r="IW130" s="251"/>
      <c r="IX130" s="251"/>
      <c r="IY130" s="251"/>
      <c r="IZ130" s="251"/>
      <c r="JA130" s="251"/>
      <c r="JB130" s="251"/>
      <c r="JC130" s="251"/>
      <c r="JD130" s="251"/>
      <c r="JE130" s="251"/>
      <c r="JF130" s="251"/>
      <c r="JG130" s="251"/>
      <c r="JH130" s="251"/>
      <c r="JI130" s="251"/>
    </row>
    <row r="131" spans="1:269">
      <c r="A131" s="251"/>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c r="BA131" s="251"/>
      <c r="BB131" s="251"/>
      <c r="BC131" s="251"/>
      <c r="BD131" s="251"/>
      <c r="BE131" s="251"/>
      <c r="BF131" s="251"/>
      <c r="BG131" s="251"/>
      <c r="BH131" s="251"/>
      <c r="BI131" s="251"/>
      <c r="BJ131" s="251"/>
      <c r="BK131" s="251"/>
      <c r="BL131" s="251"/>
      <c r="BM131" s="251"/>
      <c r="BN131" s="251"/>
      <c r="BO131" s="251"/>
      <c r="BP131" s="251"/>
      <c r="BQ131" s="251"/>
      <c r="BR131" s="251"/>
      <c r="BS131" s="251"/>
      <c r="BT131" s="251"/>
      <c r="BU131" s="251"/>
      <c r="BV131" s="251"/>
      <c r="BW131" s="251"/>
      <c r="BX131" s="251"/>
      <c r="BY131" s="251"/>
      <c r="BZ131" s="251"/>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51"/>
      <c r="DQ131" s="251"/>
      <c r="DR131" s="251"/>
      <c r="DS131" s="251"/>
      <c r="DT131" s="251"/>
      <c r="DU131" s="251"/>
      <c r="DV131" s="251"/>
      <c r="DW131" s="251"/>
      <c r="DX131" s="251"/>
      <c r="DY131" s="251"/>
      <c r="DZ131" s="251"/>
      <c r="EA131" s="251"/>
      <c r="EB131" s="251"/>
      <c r="EC131" s="251"/>
      <c r="ED131" s="251"/>
      <c r="EE131" s="251"/>
      <c r="EF131" s="251"/>
      <c r="EG131" s="251"/>
      <c r="EH131" s="251"/>
      <c r="EI131" s="251"/>
      <c r="EJ131" s="251"/>
      <c r="EK131" s="251"/>
      <c r="EL131" s="251"/>
      <c r="EM131" s="251"/>
      <c r="EN131" s="251"/>
      <c r="EO131" s="251"/>
      <c r="EP131" s="251"/>
      <c r="EQ131" s="251"/>
      <c r="ER131" s="251"/>
      <c r="ES131" s="251"/>
      <c r="ET131" s="251"/>
      <c r="EU131" s="251"/>
      <c r="EV131" s="251"/>
      <c r="EW131" s="251"/>
      <c r="EX131" s="251"/>
      <c r="EY131" s="251"/>
      <c r="EZ131" s="251"/>
      <c r="FA131" s="251"/>
      <c r="FB131" s="251"/>
      <c r="FC131" s="251"/>
      <c r="FD131" s="251"/>
      <c r="FE131" s="251"/>
      <c r="FF131" s="251"/>
      <c r="FG131" s="251"/>
      <c r="FH131" s="251"/>
      <c r="FI131" s="251"/>
      <c r="FJ131" s="251"/>
      <c r="FK131" s="251"/>
      <c r="FL131" s="251"/>
      <c r="FM131" s="251"/>
      <c r="FN131" s="251"/>
      <c r="FO131" s="251"/>
      <c r="FP131" s="251"/>
      <c r="FQ131" s="251"/>
      <c r="FR131" s="251"/>
      <c r="FS131" s="251"/>
      <c r="FT131" s="251"/>
      <c r="FU131" s="251"/>
      <c r="FV131" s="251"/>
      <c r="FW131" s="251"/>
      <c r="FX131" s="251"/>
      <c r="FY131" s="251"/>
      <c r="FZ131" s="251"/>
      <c r="GA131" s="251"/>
      <c r="GB131" s="251"/>
      <c r="GC131" s="251"/>
      <c r="GD131" s="251"/>
      <c r="GE131" s="251"/>
      <c r="GF131" s="251"/>
      <c r="GG131" s="251"/>
      <c r="GH131" s="251"/>
      <c r="GI131" s="251"/>
      <c r="GJ131" s="251"/>
      <c r="GK131" s="251"/>
      <c r="GL131" s="251"/>
      <c r="GM131" s="251"/>
      <c r="GN131" s="251"/>
      <c r="GO131" s="251"/>
      <c r="GP131" s="251"/>
      <c r="GQ131" s="251"/>
      <c r="GR131" s="251"/>
      <c r="GS131" s="251"/>
      <c r="GT131" s="251"/>
      <c r="GU131" s="251"/>
      <c r="GV131" s="251"/>
      <c r="GW131" s="251"/>
      <c r="GX131" s="251"/>
      <c r="GY131" s="251"/>
      <c r="GZ131" s="251"/>
      <c r="HA131" s="251"/>
      <c r="HB131" s="251"/>
      <c r="HC131" s="251"/>
      <c r="HD131" s="251"/>
      <c r="HE131" s="251"/>
      <c r="HF131" s="251"/>
      <c r="HG131" s="251"/>
      <c r="HH131" s="251"/>
      <c r="HI131" s="251"/>
      <c r="HJ131" s="251"/>
      <c r="HK131" s="251"/>
      <c r="HL131" s="251"/>
      <c r="HM131" s="251"/>
      <c r="HN131" s="251"/>
      <c r="HO131" s="251"/>
      <c r="HP131" s="251"/>
      <c r="HQ131" s="251"/>
      <c r="HR131" s="251"/>
      <c r="HS131" s="251"/>
      <c r="HT131" s="251"/>
      <c r="HU131" s="251"/>
      <c r="HV131" s="251"/>
      <c r="HW131" s="251"/>
      <c r="HX131" s="251"/>
      <c r="HY131" s="251"/>
      <c r="HZ131" s="251"/>
      <c r="IA131" s="251"/>
      <c r="IB131" s="251"/>
      <c r="IC131" s="251"/>
      <c r="ID131" s="251"/>
      <c r="IE131" s="251"/>
      <c r="IF131" s="251"/>
      <c r="IG131" s="251"/>
      <c r="IH131" s="251"/>
      <c r="II131" s="251"/>
      <c r="IJ131" s="251"/>
      <c r="IK131" s="251"/>
      <c r="IL131" s="251"/>
      <c r="IM131" s="251"/>
      <c r="IN131" s="251"/>
      <c r="IO131" s="251"/>
      <c r="IP131" s="251"/>
      <c r="IQ131" s="251"/>
      <c r="IR131" s="251"/>
      <c r="IS131" s="251"/>
      <c r="IT131" s="251"/>
      <c r="IU131" s="251"/>
      <c r="IV131" s="251"/>
      <c r="IW131" s="251"/>
      <c r="IX131" s="251"/>
      <c r="IY131" s="251"/>
      <c r="IZ131" s="251"/>
      <c r="JA131" s="251"/>
      <c r="JB131" s="251"/>
      <c r="JC131" s="251"/>
      <c r="JD131" s="251"/>
      <c r="JE131" s="251"/>
      <c r="JF131" s="251"/>
      <c r="JG131" s="251"/>
      <c r="JH131" s="251"/>
      <c r="JI131" s="251"/>
    </row>
    <row r="132" spans="1:269">
      <c r="A132" s="251"/>
      <c r="B132" s="251"/>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1"/>
      <c r="BT132" s="251"/>
      <c r="BU132" s="251"/>
      <c r="BV132" s="251"/>
      <c r="BW132" s="251"/>
      <c r="BX132" s="251"/>
      <c r="BY132" s="251"/>
      <c r="BZ132" s="251"/>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51"/>
      <c r="DQ132" s="251"/>
      <c r="DR132" s="251"/>
      <c r="DS132" s="251"/>
      <c r="DT132" s="251"/>
      <c r="DU132" s="251"/>
      <c r="DV132" s="251"/>
      <c r="DW132" s="251"/>
      <c r="DX132" s="251"/>
      <c r="DY132" s="251"/>
      <c r="DZ132" s="251"/>
      <c r="EA132" s="251"/>
      <c r="EB132" s="251"/>
      <c r="EC132" s="251"/>
      <c r="ED132" s="251"/>
      <c r="EE132" s="251"/>
      <c r="EF132" s="251"/>
      <c r="EG132" s="251"/>
      <c r="EH132" s="251"/>
      <c r="EI132" s="251"/>
      <c r="EJ132" s="251"/>
      <c r="EK132" s="251"/>
      <c r="EL132" s="251"/>
      <c r="EM132" s="251"/>
      <c r="EN132" s="251"/>
      <c r="EO132" s="251"/>
      <c r="EP132" s="251"/>
      <c r="EQ132" s="251"/>
      <c r="ER132" s="251"/>
      <c r="ES132" s="251"/>
      <c r="ET132" s="251"/>
      <c r="EU132" s="251"/>
      <c r="EV132" s="251"/>
      <c r="EW132" s="251"/>
      <c r="EX132" s="251"/>
      <c r="EY132" s="251"/>
      <c r="EZ132" s="251"/>
      <c r="FA132" s="251"/>
      <c r="FB132" s="251"/>
      <c r="FC132" s="251"/>
      <c r="FD132" s="251"/>
      <c r="FE132" s="251"/>
      <c r="FF132" s="251"/>
      <c r="FG132" s="251"/>
      <c r="FH132" s="251"/>
      <c r="FI132" s="251"/>
      <c r="FJ132" s="251"/>
      <c r="FK132" s="251"/>
      <c r="FL132" s="251"/>
      <c r="FM132" s="251"/>
      <c r="FN132" s="251"/>
      <c r="FO132" s="251"/>
      <c r="FP132" s="251"/>
      <c r="FQ132" s="251"/>
      <c r="FR132" s="251"/>
      <c r="FS132" s="251"/>
      <c r="FT132" s="251"/>
      <c r="FU132" s="251"/>
      <c r="FV132" s="251"/>
      <c r="FW132" s="251"/>
      <c r="FX132" s="251"/>
      <c r="FY132" s="251"/>
      <c r="FZ132" s="251"/>
      <c r="GA132" s="251"/>
      <c r="GB132" s="251"/>
      <c r="GC132" s="251"/>
      <c r="GD132" s="251"/>
      <c r="GE132" s="251"/>
      <c r="GF132" s="251"/>
      <c r="GG132" s="251"/>
      <c r="GH132" s="251"/>
      <c r="GI132" s="251"/>
      <c r="GJ132" s="251"/>
      <c r="GK132" s="251"/>
      <c r="GL132" s="251"/>
      <c r="GM132" s="251"/>
      <c r="GN132" s="251"/>
      <c r="GO132" s="251"/>
      <c r="GP132" s="251"/>
      <c r="GQ132" s="251"/>
      <c r="GR132" s="251"/>
      <c r="GS132" s="251"/>
      <c r="GT132" s="251"/>
      <c r="GU132" s="251"/>
      <c r="GV132" s="251"/>
      <c r="GW132" s="251"/>
      <c r="GX132" s="251"/>
      <c r="GY132" s="251"/>
      <c r="GZ132" s="251"/>
      <c r="HA132" s="251"/>
      <c r="HB132" s="251"/>
      <c r="HC132" s="251"/>
      <c r="HD132" s="251"/>
      <c r="HE132" s="251"/>
      <c r="HF132" s="251"/>
      <c r="HG132" s="251"/>
      <c r="HH132" s="251"/>
      <c r="HI132" s="251"/>
      <c r="HJ132" s="251"/>
      <c r="HK132" s="251"/>
      <c r="HL132" s="251"/>
      <c r="HM132" s="251"/>
      <c r="HN132" s="251"/>
      <c r="HO132" s="251"/>
      <c r="HP132" s="251"/>
      <c r="HQ132" s="251"/>
      <c r="HR132" s="251"/>
      <c r="HS132" s="251"/>
      <c r="HT132" s="251"/>
      <c r="HU132" s="251"/>
      <c r="HV132" s="251"/>
      <c r="HW132" s="251"/>
      <c r="HX132" s="251"/>
      <c r="HY132" s="251"/>
      <c r="HZ132" s="251"/>
      <c r="IA132" s="251"/>
      <c r="IB132" s="251"/>
      <c r="IC132" s="251"/>
      <c r="ID132" s="251"/>
      <c r="IE132" s="251"/>
      <c r="IF132" s="251"/>
      <c r="IG132" s="251"/>
      <c r="IH132" s="251"/>
      <c r="II132" s="251"/>
      <c r="IJ132" s="251"/>
      <c r="IK132" s="251"/>
      <c r="IL132" s="251"/>
      <c r="IM132" s="251"/>
      <c r="IN132" s="251"/>
      <c r="IO132" s="251"/>
      <c r="IP132" s="251"/>
      <c r="IQ132" s="251"/>
      <c r="IR132" s="251"/>
      <c r="IS132" s="251"/>
      <c r="IT132" s="251"/>
      <c r="IU132" s="251"/>
      <c r="IV132" s="251"/>
      <c r="IW132" s="251"/>
      <c r="IX132" s="251"/>
      <c r="IY132" s="251"/>
      <c r="IZ132" s="251"/>
      <c r="JA132" s="251"/>
      <c r="JB132" s="251"/>
      <c r="JC132" s="251"/>
      <c r="JD132" s="251"/>
      <c r="JE132" s="251"/>
      <c r="JF132" s="251"/>
      <c r="JG132" s="251"/>
      <c r="JH132" s="251"/>
      <c r="JI132" s="251"/>
    </row>
    <row r="133" spans="1:269">
      <c r="A133" s="251"/>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c r="BF133" s="251"/>
      <c r="BG133" s="251"/>
      <c r="BH133" s="251"/>
      <c r="BI133" s="251"/>
      <c r="BJ133" s="251"/>
      <c r="BK133" s="251"/>
      <c r="BL133" s="251"/>
      <c r="BM133" s="251"/>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51"/>
      <c r="DQ133" s="251"/>
      <c r="DR133" s="251"/>
      <c r="DS133" s="251"/>
      <c r="DT133" s="251"/>
      <c r="DU133" s="251"/>
      <c r="DV133" s="251"/>
      <c r="DW133" s="251"/>
      <c r="DX133" s="251"/>
      <c r="DY133" s="251"/>
      <c r="DZ133" s="251"/>
      <c r="EA133" s="251"/>
      <c r="EB133" s="251"/>
      <c r="EC133" s="251"/>
      <c r="ED133" s="251"/>
      <c r="EE133" s="251"/>
      <c r="EF133" s="251"/>
      <c r="EG133" s="251"/>
      <c r="EH133" s="251"/>
      <c r="EI133" s="251"/>
      <c r="EJ133" s="251"/>
      <c r="EK133" s="251"/>
      <c r="EL133" s="251"/>
      <c r="EM133" s="251"/>
      <c r="EN133" s="251"/>
      <c r="EO133" s="251"/>
      <c r="EP133" s="251"/>
      <c r="EQ133" s="251"/>
      <c r="ER133" s="251"/>
      <c r="ES133" s="251"/>
      <c r="ET133" s="251"/>
      <c r="EU133" s="251"/>
      <c r="EV133" s="251"/>
      <c r="EW133" s="251"/>
      <c r="EX133" s="251"/>
      <c r="EY133" s="251"/>
      <c r="EZ133" s="251"/>
      <c r="FA133" s="251"/>
      <c r="FB133" s="251"/>
      <c r="FC133" s="251"/>
      <c r="FD133" s="251"/>
      <c r="FE133" s="251"/>
      <c r="FF133" s="251"/>
      <c r="FG133" s="251"/>
      <c r="FH133" s="251"/>
      <c r="FI133" s="251"/>
      <c r="FJ133" s="251"/>
      <c r="FK133" s="251"/>
      <c r="FL133" s="251"/>
      <c r="FM133" s="251"/>
      <c r="FN133" s="251"/>
      <c r="FO133" s="251"/>
      <c r="FP133" s="251"/>
      <c r="FQ133" s="251"/>
      <c r="FR133" s="251"/>
      <c r="FS133" s="251"/>
      <c r="FT133" s="251"/>
      <c r="FU133" s="251"/>
      <c r="FV133" s="251"/>
      <c r="FW133" s="251"/>
      <c r="FX133" s="251"/>
      <c r="FY133" s="251"/>
      <c r="FZ133" s="251"/>
      <c r="GA133" s="251"/>
      <c r="GB133" s="251"/>
      <c r="GC133" s="251"/>
      <c r="GD133" s="251"/>
      <c r="GE133" s="251"/>
      <c r="GF133" s="251"/>
      <c r="GG133" s="251"/>
      <c r="GH133" s="251"/>
      <c r="GI133" s="251"/>
      <c r="GJ133" s="251"/>
      <c r="GK133" s="251"/>
      <c r="GL133" s="251"/>
      <c r="GM133" s="251"/>
      <c r="GN133" s="251"/>
      <c r="GO133" s="251"/>
      <c r="GP133" s="251"/>
      <c r="GQ133" s="251"/>
      <c r="GR133" s="251"/>
      <c r="GS133" s="251"/>
      <c r="GT133" s="251"/>
      <c r="GU133" s="251"/>
      <c r="GV133" s="251"/>
      <c r="GW133" s="251"/>
      <c r="GX133" s="251"/>
      <c r="GY133" s="251"/>
      <c r="GZ133" s="251"/>
      <c r="HA133" s="251"/>
      <c r="HB133" s="251"/>
      <c r="HC133" s="251"/>
      <c r="HD133" s="251"/>
      <c r="HE133" s="251"/>
      <c r="HF133" s="251"/>
      <c r="HG133" s="251"/>
      <c r="HH133" s="251"/>
      <c r="HI133" s="251"/>
      <c r="HJ133" s="251"/>
      <c r="HK133" s="251"/>
      <c r="HL133" s="251"/>
      <c r="HM133" s="251"/>
      <c r="HN133" s="251"/>
      <c r="HO133" s="251"/>
      <c r="HP133" s="251"/>
      <c r="HQ133" s="251"/>
      <c r="HR133" s="251"/>
      <c r="HS133" s="251"/>
      <c r="HT133" s="251"/>
      <c r="HU133" s="251"/>
      <c r="HV133" s="251"/>
      <c r="HW133" s="251"/>
      <c r="HX133" s="251"/>
      <c r="HY133" s="251"/>
      <c r="HZ133" s="251"/>
      <c r="IA133" s="251"/>
      <c r="IB133" s="251"/>
      <c r="IC133" s="251"/>
      <c r="ID133" s="251"/>
      <c r="IE133" s="251"/>
      <c r="IF133" s="251"/>
      <c r="IG133" s="251"/>
      <c r="IH133" s="251"/>
      <c r="II133" s="251"/>
      <c r="IJ133" s="251"/>
      <c r="IK133" s="251"/>
      <c r="IL133" s="251"/>
      <c r="IM133" s="251"/>
      <c r="IN133" s="251"/>
      <c r="IO133" s="251"/>
      <c r="IP133" s="251"/>
      <c r="IQ133" s="251"/>
      <c r="IR133" s="251"/>
      <c r="IS133" s="251"/>
      <c r="IT133" s="251"/>
      <c r="IU133" s="251"/>
      <c r="IV133" s="251"/>
      <c r="IW133" s="251"/>
      <c r="IX133" s="251"/>
      <c r="IY133" s="251"/>
      <c r="IZ133" s="251"/>
      <c r="JA133" s="251"/>
      <c r="JB133" s="251"/>
      <c r="JC133" s="251"/>
      <c r="JD133" s="251"/>
      <c r="JE133" s="251"/>
      <c r="JF133" s="251"/>
      <c r="JG133" s="251"/>
      <c r="JH133" s="251"/>
      <c r="JI133" s="251"/>
    </row>
    <row r="134" spans="1:269">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c r="BF134" s="251"/>
      <c r="BG134" s="251"/>
      <c r="BH134" s="251"/>
      <c r="BI134" s="251"/>
      <c r="BJ134" s="251"/>
      <c r="BK134" s="251"/>
      <c r="BL134" s="251"/>
      <c r="BM134" s="251"/>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51"/>
      <c r="DQ134" s="251"/>
      <c r="DR134" s="251"/>
      <c r="DS134" s="251"/>
      <c r="DT134" s="251"/>
      <c r="DU134" s="251"/>
      <c r="DV134" s="251"/>
      <c r="DW134" s="251"/>
      <c r="DX134" s="251"/>
      <c r="DY134" s="251"/>
      <c r="DZ134" s="251"/>
      <c r="EA134" s="251"/>
      <c r="EB134" s="251"/>
      <c r="EC134" s="251"/>
      <c r="ED134" s="251"/>
      <c r="EE134" s="251"/>
      <c r="EF134" s="251"/>
      <c r="EG134" s="251"/>
      <c r="EH134" s="251"/>
      <c r="EI134" s="251"/>
      <c r="EJ134" s="251"/>
      <c r="EK134" s="251"/>
      <c r="EL134" s="251"/>
      <c r="EM134" s="251"/>
      <c r="EN134" s="251"/>
      <c r="EO134" s="251"/>
      <c r="EP134" s="251"/>
      <c r="EQ134" s="251"/>
      <c r="ER134" s="251"/>
      <c r="ES134" s="251"/>
      <c r="ET134" s="251"/>
      <c r="EU134" s="251"/>
      <c r="EV134" s="251"/>
      <c r="EW134" s="251"/>
      <c r="EX134" s="251"/>
      <c r="EY134" s="251"/>
      <c r="EZ134" s="251"/>
      <c r="FA134" s="251"/>
      <c r="FB134" s="251"/>
      <c r="FC134" s="251"/>
      <c r="FD134" s="251"/>
      <c r="FE134" s="251"/>
      <c r="FF134" s="251"/>
      <c r="FG134" s="251"/>
      <c r="FH134" s="251"/>
      <c r="FI134" s="251"/>
      <c r="FJ134" s="251"/>
      <c r="FK134" s="251"/>
      <c r="FL134" s="251"/>
      <c r="FM134" s="251"/>
      <c r="FN134" s="251"/>
      <c r="FO134" s="251"/>
      <c r="FP134" s="251"/>
      <c r="FQ134" s="251"/>
      <c r="FR134" s="251"/>
      <c r="FS134" s="251"/>
      <c r="FT134" s="251"/>
      <c r="FU134" s="251"/>
      <c r="FV134" s="251"/>
      <c r="FW134" s="251"/>
      <c r="FX134" s="251"/>
      <c r="FY134" s="251"/>
      <c r="FZ134" s="251"/>
      <c r="GA134" s="251"/>
      <c r="GB134" s="251"/>
      <c r="GC134" s="251"/>
      <c r="GD134" s="251"/>
      <c r="GE134" s="251"/>
      <c r="GF134" s="251"/>
      <c r="GG134" s="251"/>
      <c r="GH134" s="251"/>
      <c r="GI134" s="251"/>
      <c r="GJ134" s="251"/>
      <c r="GK134" s="251"/>
      <c r="GL134" s="251"/>
      <c r="GM134" s="251"/>
      <c r="GN134" s="251"/>
      <c r="GO134" s="251"/>
      <c r="GP134" s="251"/>
      <c r="GQ134" s="251"/>
      <c r="GR134" s="251"/>
      <c r="GS134" s="251"/>
      <c r="GT134" s="251"/>
      <c r="GU134" s="251"/>
      <c r="GV134" s="251"/>
      <c r="GW134" s="251"/>
      <c r="GX134" s="251"/>
      <c r="GY134" s="251"/>
      <c r="GZ134" s="251"/>
      <c r="HA134" s="251"/>
      <c r="HB134" s="251"/>
      <c r="HC134" s="251"/>
      <c r="HD134" s="251"/>
      <c r="HE134" s="251"/>
      <c r="HF134" s="251"/>
      <c r="HG134" s="251"/>
      <c r="HH134" s="251"/>
      <c r="HI134" s="251"/>
      <c r="HJ134" s="251"/>
      <c r="HK134" s="251"/>
      <c r="HL134" s="251"/>
      <c r="HM134" s="251"/>
      <c r="HN134" s="251"/>
      <c r="HO134" s="251"/>
      <c r="HP134" s="251"/>
      <c r="HQ134" s="251"/>
      <c r="HR134" s="251"/>
      <c r="HS134" s="251"/>
      <c r="HT134" s="251"/>
      <c r="HU134" s="251"/>
      <c r="HV134" s="251"/>
      <c r="HW134" s="251"/>
      <c r="HX134" s="251"/>
      <c r="HY134" s="251"/>
      <c r="HZ134" s="251"/>
      <c r="IA134" s="251"/>
      <c r="IB134" s="251"/>
      <c r="IC134" s="251"/>
      <c r="ID134" s="251"/>
      <c r="IE134" s="251"/>
      <c r="IF134" s="251"/>
      <c r="IG134" s="251"/>
      <c r="IH134" s="251"/>
      <c r="II134" s="251"/>
      <c r="IJ134" s="251"/>
      <c r="IK134" s="251"/>
      <c r="IL134" s="251"/>
      <c r="IM134" s="251"/>
      <c r="IN134" s="251"/>
      <c r="IO134" s="251"/>
      <c r="IP134" s="251"/>
      <c r="IQ134" s="251"/>
      <c r="IR134" s="251"/>
      <c r="IS134" s="251"/>
      <c r="IT134" s="251"/>
      <c r="IU134" s="251"/>
      <c r="IV134" s="251"/>
      <c r="IW134" s="251"/>
      <c r="IX134" s="251"/>
      <c r="IY134" s="251"/>
      <c r="IZ134" s="251"/>
      <c r="JA134" s="251"/>
      <c r="JB134" s="251"/>
      <c r="JC134" s="251"/>
      <c r="JD134" s="251"/>
      <c r="JE134" s="251"/>
      <c r="JF134" s="251"/>
      <c r="JG134" s="251"/>
      <c r="JH134" s="251"/>
      <c r="JI134" s="251"/>
    </row>
    <row r="135" spans="1:269">
      <c r="A135" s="251"/>
      <c r="B135" s="251"/>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c r="EA135" s="251"/>
      <c r="EB135" s="251"/>
      <c r="EC135" s="251"/>
      <c r="ED135" s="251"/>
      <c r="EE135" s="251"/>
      <c r="EF135" s="251"/>
      <c r="EG135" s="251"/>
      <c r="EH135" s="251"/>
      <c r="EI135" s="251"/>
      <c r="EJ135" s="251"/>
      <c r="EK135" s="251"/>
      <c r="EL135" s="251"/>
      <c r="EM135" s="251"/>
      <c r="EN135" s="251"/>
      <c r="EO135" s="251"/>
      <c r="EP135" s="251"/>
      <c r="EQ135" s="251"/>
      <c r="ER135" s="251"/>
      <c r="ES135" s="251"/>
      <c r="ET135" s="251"/>
      <c r="EU135" s="251"/>
      <c r="EV135" s="251"/>
      <c r="EW135" s="251"/>
      <c r="EX135" s="251"/>
      <c r="EY135" s="251"/>
      <c r="EZ135" s="251"/>
      <c r="FA135" s="251"/>
      <c r="FB135" s="251"/>
      <c r="FC135" s="251"/>
      <c r="FD135" s="251"/>
      <c r="FE135" s="251"/>
      <c r="FF135" s="251"/>
      <c r="FG135" s="251"/>
      <c r="FH135" s="251"/>
      <c r="FI135" s="251"/>
      <c r="FJ135" s="251"/>
      <c r="FK135" s="251"/>
      <c r="FL135" s="251"/>
      <c r="FM135" s="251"/>
      <c r="FN135" s="251"/>
      <c r="FO135" s="251"/>
      <c r="FP135" s="251"/>
      <c r="FQ135" s="251"/>
      <c r="FR135" s="251"/>
      <c r="FS135" s="251"/>
      <c r="FT135" s="251"/>
      <c r="FU135" s="251"/>
      <c r="FV135" s="251"/>
      <c r="FW135" s="251"/>
      <c r="FX135" s="251"/>
      <c r="FY135" s="251"/>
      <c r="FZ135" s="251"/>
      <c r="GA135" s="251"/>
      <c r="GB135" s="251"/>
      <c r="GC135" s="251"/>
      <c r="GD135" s="251"/>
      <c r="GE135" s="251"/>
      <c r="GF135" s="251"/>
      <c r="GG135" s="251"/>
      <c r="GH135" s="251"/>
      <c r="GI135" s="251"/>
      <c r="GJ135" s="251"/>
      <c r="GK135" s="251"/>
      <c r="GL135" s="251"/>
      <c r="GM135" s="251"/>
      <c r="GN135" s="251"/>
      <c r="GO135" s="251"/>
      <c r="GP135" s="251"/>
      <c r="GQ135" s="251"/>
      <c r="GR135" s="251"/>
      <c r="GS135" s="251"/>
      <c r="GT135" s="251"/>
      <c r="GU135" s="251"/>
      <c r="GV135" s="251"/>
      <c r="GW135" s="251"/>
      <c r="GX135" s="251"/>
      <c r="GY135" s="251"/>
      <c r="GZ135" s="251"/>
      <c r="HA135" s="251"/>
      <c r="HB135" s="251"/>
      <c r="HC135" s="251"/>
      <c r="HD135" s="251"/>
      <c r="HE135" s="251"/>
      <c r="HF135" s="251"/>
      <c r="HG135" s="251"/>
      <c r="HH135" s="251"/>
      <c r="HI135" s="251"/>
      <c r="HJ135" s="251"/>
      <c r="HK135" s="251"/>
      <c r="HL135" s="251"/>
      <c r="HM135" s="251"/>
      <c r="HN135" s="251"/>
      <c r="HO135" s="251"/>
      <c r="HP135" s="251"/>
      <c r="HQ135" s="251"/>
      <c r="HR135" s="251"/>
      <c r="HS135" s="251"/>
      <c r="HT135" s="251"/>
      <c r="HU135" s="251"/>
      <c r="HV135" s="251"/>
      <c r="HW135" s="251"/>
      <c r="HX135" s="251"/>
      <c r="HY135" s="251"/>
      <c r="HZ135" s="251"/>
      <c r="IA135" s="251"/>
      <c r="IB135" s="251"/>
      <c r="IC135" s="251"/>
      <c r="ID135" s="251"/>
      <c r="IE135" s="251"/>
      <c r="IF135" s="251"/>
      <c r="IG135" s="251"/>
      <c r="IH135" s="251"/>
      <c r="II135" s="251"/>
      <c r="IJ135" s="251"/>
      <c r="IK135" s="251"/>
      <c r="IL135" s="251"/>
      <c r="IM135" s="251"/>
      <c r="IN135" s="251"/>
      <c r="IO135" s="251"/>
      <c r="IP135" s="251"/>
      <c r="IQ135" s="251"/>
      <c r="IR135" s="251"/>
      <c r="IS135" s="251"/>
      <c r="IT135" s="251"/>
      <c r="IU135" s="251"/>
      <c r="IV135" s="251"/>
      <c r="IW135" s="251"/>
      <c r="IX135" s="251"/>
      <c r="IY135" s="251"/>
      <c r="IZ135" s="251"/>
      <c r="JA135" s="251"/>
      <c r="JB135" s="251"/>
      <c r="JC135" s="251"/>
      <c r="JD135" s="251"/>
      <c r="JE135" s="251"/>
      <c r="JF135" s="251"/>
      <c r="JG135" s="251"/>
      <c r="JH135" s="251"/>
      <c r="JI135" s="251"/>
    </row>
    <row r="136" spans="1:269">
      <c r="A136" s="251"/>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251"/>
      <c r="BC136" s="251"/>
      <c r="BD136" s="251"/>
      <c r="BE136" s="251"/>
      <c r="BF136" s="251"/>
      <c r="BG136" s="251"/>
      <c r="BH136" s="251"/>
      <c r="BI136" s="251"/>
      <c r="BJ136" s="251"/>
      <c r="BK136" s="251"/>
      <c r="BL136" s="251"/>
      <c r="BM136" s="251"/>
      <c r="BN136" s="251"/>
      <c r="BO136" s="251"/>
      <c r="BP136" s="251"/>
      <c r="BQ136" s="251"/>
      <c r="BR136" s="251"/>
      <c r="BS136" s="251"/>
      <c r="BT136" s="251"/>
      <c r="BU136" s="251"/>
      <c r="BV136" s="251"/>
      <c r="BW136" s="251"/>
      <c r="BX136" s="251"/>
      <c r="BY136" s="251"/>
      <c r="BZ136" s="251"/>
      <c r="CA136" s="251"/>
      <c r="CB136" s="251"/>
      <c r="CC136" s="251"/>
      <c r="CD136" s="251"/>
      <c r="CE136" s="251"/>
      <c r="CF136" s="251"/>
      <c r="CG136" s="251"/>
      <c r="CH136" s="251"/>
      <c r="CI136" s="251"/>
      <c r="CJ136" s="251"/>
      <c r="CK136" s="251"/>
      <c r="CL136" s="251"/>
      <c r="CM136" s="251"/>
      <c r="CN136" s="251"/>
      <c r="CO136" s="251"/>
      <c r="CP136" s="251"/>
      <c r="CQ136" s="251"/>
      <c r="CR136" s="251"/>
      <c r="CS136" s="251"/>
      <c r="CT136" s="251"/>
      <c r="CU136" s="251"/>
      <c r="CV136" s="251"/>
      <c r="CW136" s="251"/>
      <c r="CX136" s="251"/>
      <c r="CY136" s="251"/>
      <c r="CZ136" s="251"/>
      <c r="DA136" s="251"/>
      <c r="DB136" s="251"/>
      <c r="DC136" s="251"/>
      <c r="DD136" s="251"/>
      <c r="DE136" s="251"/>
      <c r="DF136" s="251"/>
      <c r="DG136" s="251"/>
      <c r="DH136" s="251"/>
      <c r="DI136" s="251"/>
      <c r="DJ136" s="251"/>
      <c r="DK136" s="251"/>
      <c r="DL136" s="251"/>
      <c r="DM136" s="251"/>
      <c r="DN136" s="251"/>
      <c r="DO136" s="251"/>
      <c r="DP136" s="251"/>
      <c r="DQ136" s="251"/>
      <c r="DR136" s="251"/>
      <c r="DS136" s="251"/>
      <c r="DT136" s="251"/>
      <c r="DU136" s="251"/>
      <c r="DV136" s="251"/>
      <c r="DW136" s="251"/>
      <c r="DX136" s="251"/>
      <c r="DY136" s="251"/>
      <c r="DZ136" s="251"/>
      <c r="EA136" s="251"/>
      <c r="EB136" s="251"/>
      <c r="EC136" s="251"/>
      <c r="ED136" s="251"/>
      <c r="EE136" s="251"/>
      <c r="EF136" s="251"/>
      <c r="EG136" s="251"/>
      <c r="EH136" s="251"/>
      <c r="EI136" s="251"/>
      <c r="EJ136" s="251"/>
      <c r="EK136" s="251"/>
      <c r="EL136" s="251"/>
      <c r="EM136" s="251"/>
      <c r="EN136" s="251"/>
      <c r="EO136" s="251"/>
      <c r="EP136" s="251"/>
      <c r="EQ136" s="251"/>
      <c r="ER136" s="251"/>
      <c r="ES136" s="251"/>
      <c r="ET136" s="251"/>
      <c r="EU136" s="251"/>
      <c r="EV136" s="251"/>
      <c r="EW136" s="251"/>
      <c r="EX136" s="251"/>
      <c r="EY136" s="251"/>
      <c r="EZ136" s="251"/>
      <c r="FA136" s="251"/>
      <c r="FB136" s="251"/>
      <c r="FC136" s="251"/>
      <c r="FD136" s="251"/>
      <c r="FE136" s="251"/>
      <c r="FF136" s="251"/>
      <c r="FG136" s="251"/>
      <c r="FH136" s="251"/>
      <c r="FI136" s="251"/>
      <c r="FJ136" s="251"/>
      <c r="FK136" s="251"/>
      <c r="FL136" s="251"/>
      <c r="FM136" s="251"/>
      <c r="FN136" s="251"/>
      <c r="FO136" s="251"/>
      <c r="FP136" s="251"/>
      <c r="FQ136" s="251"/>
      <c r="FR136" s="251"/>
      <c r="FS136" s="251"/>
      <c r="FT136" s="251"/>
      <c r="FU136" s="251"/>
      <c r="FV136" s="251"/>
      <c r="FW136" s="251"/>
      <c r="FX136" s="251"/>
      <c r="FY136" s="251"/>
      <c r="FZ136" s="251"/>
      <c r="GA136" s="251"/>
      <c r="GB136" s="251"/>
      <c r="GC136" s="251"/>
      <c r="GD136" s="251"/>
      <c r="GE136" s="251"/>
      <c r="GF136" s="251"/>
      <c r="GG136" s="251"/>
      <c r="GH136" s="251"/>
      <c r="GI136" s="251"/>
      <c r="GJ136" s="251"/>
      <c r="GK136" s="251"/>
      <c r="GL136" s="251"/>
      <c r="GM136" s="251"/>
      <c r="GN136" s="251"/>
      <c r="GO136" s="251"/>
      <c r="GP136" s="251"/>
      <c r="GQ136" s="251"/>
      <c r="GR136" s="251"/>
      <c r="GS136" s="251"/>
      <c r="GT136" s="251"/>
      <c r="GU136" s="251"/>
      <c r="GV136" s="251"/>
      <c r="GW136" s="251"/>
      <c r="GX136" s="251"/>
      <c r="GY136" s="251"/>
      <c r="GZ136" s="251"/>
      <c r="HA136" s="251"/>
      <c r="HB136" s="251"/>
      <c r="HC136" s="251"/>
      <c r="HD136" s="251"/>
      <c r="HE136" s="251"/>
      <c r="HF136" s="251"/>
      <c r="HG136" s="251"/>
      <c r="HH136" s="251"/>
      <c r="HI136" s="251"/>
      <c r="HJ136" s="251"/>
      <c r="HK136" s="251"/>
      <c r="HL136" s="251"/>
      <c r="HM136" s="251"/>
      <c r="HN136" s="251"/>
      <c r="HO136" s="251"/>
      <c r="HP136" s="251"/>
      <c r="HQ136" s="251"/>
      <c r="HR136" s="251"/>
      <c r="HS136" s="251"/>
      <c r="HT136" s="251"/>
      <c r="HU136" s="251"/>
      <c r="HV136" s="251"/>
      <c r="HW136" s="251"/>
      <c r="HX136" s="251"/>
      <c r="HY136" s="251"/>
      <c r="HZ136" s="251"/>
      <c r="IA136" s="251"/>
      <c r="IB136" s="251"/>
      <c r="IC136" s="251"/>
      <c r="ID136" s="251"/>
      <c r="IE136" s="251"/>
      <c r="IF136" s="251"/>
      <c r="IG136" s="251"/>
      <c r="IH136" s="251"/>
      <c r="II136" s="251"/>
      <c r="IJ136" s="251"/>
      <c r="IK136" s="251"/>
      <c r="IL136" s="251"/>
      <c r="IM136" s="251"/>
      <c r="IN136" s="251"/>
      <c r="IO136" s="251"/>
      <c r="IP136" s="251"/>
      <c r="IQ136" s="251"/>
      <c r="IR136" s="251"/>
      <c r="IS136" s="251"/>
      <c r="IT136" s="251"/>
      <c r="IU136" s="251"/>
      <c r="IV136" s="251"/>
      <c r="IW136" s="251"/>
      <c r="IX136" s="251"/>
      <c r="IY136" s="251"/>
      <c r="IZ136" s="251"/>
      <c r="JA136" s="251"/>
      <c r="JB136" s="251"/>
      <c r="JC136" s="251"/>
      <c r="JD136" s="251"/>
      <c r="JE136" s="251"/>
      <c r="JF136" s="251"/>
      <c r="JG136" s="251"/>
      <c r="JH136" s="251"/>
      <c r="JI136" s="251"/>
    </row>
    <row r="137" spans="1:269">
      <c r="A137" s="251"/>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c r="BF137" s="251"/>
      <c r="BG137" s="251"/>
      <c r="BH137" s="251"/>
      <c r="BI137" s="251"/>
      <c r="BJ137" s="251"/>
      <c r="BK137" s="251"/>
      <c r="BL137" s="251"/>
      <c r="BM137" s="251"/>
      <c r="BN137" s="251"/>
      <c r="BO137" s="251"/>
      <c r="BP137" s="251"/>
      <c r="BQ137" s="251"/>
      <c r="BR137" s="251"/>
      <c r="BS137" s="251"/>
      <c r="BT137" s="251"/>
      <c r="BU137" s="251"/>
      <c r="BV137" s="251"/>
      <c r="BW137" s="251"/>
      <c r="BX137" s="251"/>
      <c r="BY137" s="251"/>
      <c r="BZ137" s="251"/>
      <c r="CA137" s="251"/>
      <c r="CB137" s="251"/>
      <c r="CC137" s="251"/>
      <c r="CD137" s="251"/>
      <c r="CE137" s="251"/>
      <c r="CF137" s="251"/>
      <c r="CG137" s="251"/>
      <c r="CH137" s="251"/>
      <c r="CI137" s="251"/>
      <c r="CJ137" s="251"/>
      <c r="CK137" s="251"/>
      <c r="CL137" s="251"/>
      <c r="CM137" s="251"/>
      <c r="CN137" s="251"/>
      <c r="CO137" s="251"/>
      <c r="CP137" s="251"/>
      <c r="CQ137" s="251"/>
      <c r="CR137" s="251"/>
      <c r="CS137" s="251"/>
      <c r="CT137" s="251"/>
      <c r="CU137" s="251"/>
      <c r="CV137" s="251"/>
      <c r="CW137" s="251"/>
      <c r="CX137" s="251"/>
      <c r="CY137" s="251"/>
      <c r="CZ137" s="251"/>
      <c r="DA137" s="251"/>
      <c r="DB137" s="251"/>
      <c r="DC137" s="251"/>
      <c r="DD137" s="251"/>
      <c r="DE137" s="251"/>
      <c r="DF137" s="251"/>
      <c r="DG137" s="251"/>
      <c r="DH137" s="251"/>
      <c r="DI137" s="251"/>
      <c r="DJ137" s="251"/>
      <c r="DK137" s="251"/>
      <c r="DL137" s="251"/>
      <c r="DM137" s="251"/>
      <c r="DN137" s="251"/>
      <c r="DO137" s="251"/>
      <c r="DP137" s="251"/>
      <c r="DQ137" s="251"/>
      <c r="DR137" s="251"/>
      <c r="DS137" s="251"/>
      <c r="DT137" s="251"/>
      <c r="DU137" s="251"/>
      <c r="DV137" s="251"/>
      <c r="DW137" s="251"/>
      <c r="DX137" s="251"/>
      <c r="DY137" s="251"/>
      <c r="DZ137" s="251"/>
      <c r="EA137" s="251"/>
      <c r="EB137" s="251"/>
      <c r="EC137" s="251"/>
      <c r="ED137" s="251"/>
      <c r="EE137" s="251"/>
      <c r="EF137" s="251"/>
      <c r="EG137" s="251"/>
      <c r="EH137" s="251"/>
      <c r="EI137" s="251"/>
      <c r="EJ137" s="251"/>
      <c r="EK137" s="251"/>
      <c r="EL137" s="251"/>
      <c r="EM137" s="251"/>
      <c r="EN137" s="251"/>
      <c r="EO137" s="251"/>
      <c r="EP137" s="251"/>
      <c r="EQ137" s="251"/>
      <c r="ER137" s="251"/>
      <c r="ES137" s="251"/>
      <c r="ET137" s="251"/>
      <c r="EU137" s="251"/>
      <c r="EV137" s="251"/>
      <c r="EW137" s="251"/>
      <c r="EX137" s="251"/>
      <c r="EY137" s="251"/>
      <c r="EZ137" s="251"/>
      <c r="FA137" s="251"/>
      <c r="FB137" s="251"/>
      <c r="FC137" s="251"/>
      <c r="FD137" s="251"/>
      <c r="FE137" s="251"/>
      <c r="FF137" s="251"/>
      <c r="FG137" s="251"/>
      <c r="FH137" s="251"/>
      <c r="FI137" s="251"/>
      <c r="FJ137" s="251"/>
      <c r="FK137" s="251"/>
      <c r="FL137" s="251"/>
      <c r="FM137" s="251"/>
      <c r="FN137" s="251"/>
      <c r="FO137" s="251"/>
      <c r="FP137" s="251"/>
      <c r="FQ137" s="251"/>
      <c r="FR137" s="251"/>
      <c r="FS137" s="251"/>
      <c r="FT137" s="251"/>
      <c r="FU137" s="251"/>
      <c r="FV137" s="251"/>
      <c r="FW137" s="251"/>
      <c r="FX137" s="251"/>
      <c r="FY137" s="251"/>
      <c r="FZ137" s="251"/>
      <c r="GA137" s="251"/>
      <c r="GB137" s="251"/>
      <c r="GC137" s="251"/>
      <c r="GD137" s="251"/>
      <c r="GE137" s="251"/>
      <c r="GF137" s="251"/>
      <c r="GG137" s="251"/>
      <c r="GH137" s="251"/>
      <c r="GI137" s="251"/>
      <c r="GJ137" s="251"/>
      <c r="GK137" s="251"/>
      <c r="GL137" s="251"/>
      <c r="GM137" s="251"/>
      <c r="GN137" s="251"/>
      <c r="GO137" s="251"/>
      <c r="GP137" s="251"/>
      <c r="GQ137" s="251"/>
      <c r="GR137" s="251"/>
      <c r="GS137" s="251"/>
      <c r="GT137" s="251"/>
      <c r="GU137" s="251"/>
      <c r="GV137" s="251"/>
      <c r="GW137" s="251"/>
      <c r="GX137" s="251"/>
      <c r="GY137" s="251"/>
      <c r="GZ137" s="251"/>
      <c r="HA137" s="251"/>
      <c r="HB137" s="251"/>
      <c r="HC137" s="251"/>
      <c r="HD137" s="251"/>
      <c r="HE137" s="251"/>
      <c r="HF137" s="251"/>
      <c r="HG137" s="251"/>
      <c r="HH137" s="251"/>
      <c r="HI137" s="251"/>
      <c r="HJ137" s="251"/>
      <c r="HK137" s="251"/>
      <c r="HL137" s="251"/>
      <c r="HM137" s="251"/>
      <c r="HN137" s="251"/>
      <c r="HO137" s="251"/>
      <c r="HP137" s="251"/>
      <c r="HQ137" s="251"/>
      <c r="HR137" s="251"/>
      <c r="HS137" s="251"/>
      <c r="HT137" s="251"/>
      <c r="HU137" s="251"/>
      <c r="HV137" s="251"/>
      <c r="HW137" s="251"/>
      <c r="HX137" s="251"/>
      <c r="HY137" s="251"/>
      <c r="HZ137" s="251"/>
      <c r="IA137" s="251"/>
      <c r="IB137" s="251"/>
      <c r="IC137" s="251"/>
      <c r="ID137" s="251"/>
      <c r="IE137" s="251"/>
      <c r="IF137" s="251"/>
      <c r="IG137" s="251"/>
      <c r="IH137" s="251"/>
      <c r="II137" s="251"/>
      <c r="IJ137" s="251"/>
      <c r="IK137" s="251"/>
      <c r="IL137" s="251"/>
      <c r="IM137" s="251"/>
      <c r="IN137" s="251"/>
      <c r="IO137" s="251"/>
      <c r="IP137" s="251"/>
      <c r="IQ137" s="251"/>
      <c r="IR137" s="251"/>
      <c r="IS137" s="251"/>
      <c r="IT137" s="251"/>
      <c r="IU137" s="251"/>
      <c r="IV137" s="251"/>
      <c r="IW137" s="251"/>
      <c r="IX137" s="251"/>
      <c r="IY137" s="251"/>
      <c r="IZ137" s="251"/>
      <c r="JA137" s="251"/>
      <c r="JB137" s="251"/>
      <c r="JC137" s="251"/>
      <c r="JD137" s="251"/>
      <c r="JE137" s="251"/>
      <c r="JF137" s="251"/>
      <c r="JG137" s="251"/>
      <c r="JH137" s="251"/>
      <c r="JI137" s="251"/>
    </row>
    <row r="138" spans="1:269">
      <c r="A138" s="251"/>
      <c r="B138" s="251"/>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251"/>
      <c r="AU138" s="251"/>
      <c r="AV138" s="251"/>
      <c r="AW138" s="251"/>
      <c r="AX138" s="251"/>
      <c r="AY138" s="251"/>
      <c r="AZ138" s="251"/>
      <c r="BA138" s="251"/>
      <c r="BB138" s="251"/>
      <c r="BC138" s="251"/>
      <c r="BD138" s="251"/>
      <c r="BE138" s="251"/>
      <c r="BF138" s="251"/>
      <c r="BG138" s="251"/>
      <c r="BH138" s="251"/>
      <c r="BI138" s="251"/>
      <c r="BJ138" s="251"/>
      <c r="BK138" s="251"/>
      <c r="BL138" s="251"/>
      <c r="BM138" s="251"/>
      <c r="BN138" s="251"/>
      <c r="BO138" s="251"/>
      <c r="BP138" s="251"/>
      <c r="BQ138" s="251"/>
      <c r="BR138" s="251"/>
      <c r="BS138" s="251"/>
      <c r="BT138" s="251"/>
      <c r="BU138" s="251"/>
      <c r="BV138" s="251"/>
      <c r="BW138" s="251"/>
      <c r="BX138" s="251"/>
      <c r="BY138" s="251"/>
      <c r="BZ138" s="251"/>
      <c r="CA138" s="251"/>
      <c r="CB138" s="251"/>
      <c r="CC138" s="251"/>
      <c r="CD138" s="251"/>
      <c r="CE138" s="251"/>
      <c r="CF138" s="251"/>
      <c r="CG138" s="251"/>
      <c r="CH138" s="251"/>
      <c r="CI138" s="251"/>
      <c r="CJ138" s="251"/>
      <c r="CK138" s="251"/>
      <c r="CL138" s="251"/>
      <c r="CM138" s="251"/>
      <c r="CN138" s="251"/>
      <c r="CO138" s="251"/>
      <c r="CP138" s="251"/>
      <c r="CQ138" s="251"/>
      <c r="CR138" s="251"/>
      <c r="CS138" s="251"/>
      <c r="CT138" s="251"/>
      <c r="CU138" s="251"/>
      <c r="CV138" s="251"/>
      <c r="CW138" s="251"/>
      <c r="CX138" s="251"/>
      <c r="CY138" s="251"/>
      <c r="CZ138" s="251"/>
      <c r="DA138" s="251"/>
      <c r="DB138" s="251"/>
      <c r="DC138" s="251"/>
      <c r="DD138" s="251"/>
      <c r="DE138" s="251"/>
      <c r="DF138" s="251"/>
      <c r="DG138" s="251"/>
      <c r="DH138" s="251"/>
      <c r="DI138" s="251"/>
      <c r="DJ138" s="251"/>
      <c r="DK138" s="251"/>
      <c r="DL138" s="251"/>
      <c r="DM138" s="251"/>
      <c r="DN138" s="251"/>
      <c r="DO138" s="251"/>
      <c r="DP138" s="251"/>
      <c r="DQ138" s="251"/>
      <c r="DR138" s="251"/>
      <c r="DS138" s="251"/>
      <c r="DT138" s="251"/>
      <c r="DU138" s="251"/>
      <c r="DV138" s="251"/>
      <c r="DW138" s="251"/>
      <c r="DX138" s="251"/>
      <c r="DY138" s="251"/>
      <c r="DZ138" s="251"/>
      <c r="EA138" s="251"/>
      <c r="EB138" s="251"/>
      <c r="EC138" s="251"/>
      <c r="ED138" s="251"/>
      <c r="EE138" s="251"/>
      <c r="EF138" s="251"/>
      <c r="EG138" s="251"/>
      <c r="EH138" s="251"/>
      <c r="EI138" s="251"/>
      <c r="EJ138" s="251"/>
      <c r="EK138" s="251"/>
      <c r="EL138" s="251"/>
      <c r="EM138" s="251"/>
      <c r="EN138" s="251"/>
      <c r="EO138" s="251"/>
      <c r="EP138" s="251"/>
      <c r="EQ138" s="251"/>
      <c r="ER138" s="251"/>
      <c r="ES138" s="251"/>
      <c r="ET138" s="251"/>
      <c r="EU138" s="251"/>
      <c r="EV138" s="251"/>
      <c r="EW138" s="251"/>
      <c r="EX138" s="251"/>
      <c r="EY138" s="251"/>
      <c r="EZ138" s="251"/>
      <c r="FA138" s="251"/>
      <c r="FB138" s="251"/>
      <c r="FC138" s="251"/>
      <c r="FD138" s="251"/>
      <c r="FE138" s="251"/>
      <c r="FF138" s="251"/>
      <c r="FG138" s="251"/>
      <c r="FH138" s="251"/>
      <c r="FI138" s="251"/>
      <c r="FJ138" s="251"/>
      <c r="FK138" s="251"/>
      <c r="FL138" s="251"/>
      <c r="FM138" s="251"/>
      <c r="FN138" s="251"/>
      <c r="FO138" s="251"/>
      <c r="FP138" s="251"/>
      <c r="FQ138" s="251"/>
      <c r="FR138" s="251"/>
      <c r="FS138" s="251"/>
      <c r="FT138" s="251"/>
      <c r="FU138" s="251"/>
      <c r="FV138" s="251"/>
      <c r="FW138" s="251"/>
      <c r="FX138" s="251"/>
      <c r="FY138" s="251"/>
      <c r="FZ138" s="251"/>
      <c r="GA138" s="251"/>
      <c r="GB138" s="251"/>
      <c r="GC138" s="251"/>
      <c r="GD138" s="251"/>
      <c r="GE138" s="251"/>
      <c r="GF138" s="251"/>
      <c r="GG138" s="251"/>
      <c r="GH138" s="251"/>
      <c r="GI138" s="251"/>
      <c r="GJ138" s="251"/>
      <c r="GK138" s="251"/>
      <c r="GL138" s="251"/>
      <c r="GM138" s="251"/>
      <c r="GN138" s="251"/>
      <c r="GO138" s="251"/>
      <c r="GP138" s="251"/>
      <c r="GQ138" s="251"/>
      <c r="GR138" s="251"/>
      <c r="GS138" s="251"/>
      <c r="GT138" s="251"/>
      <c r="GU138" s="251"/>
      <c r="GV138" s="251"/>
      <c r="GW138" s="251"/>
      <c r="GX138" s="251"/>
      <c r="GY138" s="251"/>
      <c r="GZ138" s="251"/>
      <c r="HA138" s="251"/>
      <c r="HB138" s="251"/>
      <c r="HC138" s="251"/>
      <c r="HD138" s="251"/>
      <c r="HE138" s="251"/>
      <c r="HF138" s="251"/>
      <c r="HG138" s="251"/>
      <c r="HH138" s="251"/>
      <c r="HI138" s="251"/>
      <c r="HJ138" s="251"/>
      <c r="HK138" s="251"/>
      <c r="HL138" s="251"/>
      <c r="HM138" s="251"/>
      <c r="HN138" s="251"/>
      <c r="HO138" s="251"/>
      <c r="HP138" s="251"/>
      <c r="HQ138" s="251"/>
      <c r="HR138" s="251"/>
      <c r="HS138" s="251"/>
      <c r="HT138" s="251"/>
      <c r="HU138" s="251"/>
      <c r="HV138" s="251"/>
      <c r="HW138" s="251"/>
      <c r="HX138" s="251"/>
      <c r="HY138" s="251"/>
      <c r="HZ138" s="251"/>
      <c r="IA138" s="251"/>
      <c r="IB138" s="251"/>
      <c r="IC138" s="251"/>
      <c r="ID138" s="251"/>
      <c r="IE138" s="251"/>
      <c r="IF138" s="251"/>
      <c r="IG138" s="251"/>
      <c r="IH138" s="251"/>
      <c r="II138" s="251"/>
      <c r="IJ138" s="251"/>
      <c r="IK138" s="251"/>
      <c r="IL138" s="251"/>
      <c r="IM138" s="251"/>
      <c r="IN138" s="251"/>
      <c r="IO138" s="251"/>
      <c r="IP138" s="251"/>
      <c r="IQ138" s="251"/>
      <c r="IR138" s="251"/>
      <c r="IS138" s="251"/>
      <c r="IT138" s="251"/>
      <c r="IU138" s="251"/>
      <c r="IV138" s="251"/>
      <c r="IW138" s="251"/>
      <c r="IX138" s="251"/>
      <c r="IY138" s="251"/>
      <c r="IZ138" s="251"/>
      <c r="JA138" s="251"/>
      <c r="JB138" s="251"/>
      <c r="JC138" s="251"/>
      <c r="JD138" s="251"/>
      <c r="JE138" s="251"/>
      <c r="JF138" s="251"/>
      <c r="JG138" s="251"/>
      <c r="JH138" s="251"/>
      <c r="JI138" s="251"/>
    </row>
    <row r="139" spans="1:269">
      <c r="A139" s="251"/>
      <c r="B139" s="251"/>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c r="BF139" s="251"/>
      <c r="BG139" s="251"/>
      <c r="BH139" s="251"/>
      <c r="BI139" s="251"/>
      <c r="BJ139" s="251"/>
      <c r="BK139" s="251"/>
      <c r="BL139" s="251"/>
      <c r="BM139" s="251"/>
      <c r="BN139" s="251"/>
      <c r="BO139" s="251"/>
      <c r="BP139" s="251"/>
      <c r="BQ139" s="251"/>
      <c r="BR139" s="251"/>
      <c r="BS139" s="251"/>
      <c r="BT139" s="251"/>
      <c r="BU139" s="251"/>
      <c r="BV139" s="251"/>
      <c r="BW139" s="251"/>
      <c r="BX139" s="251"/>
      <c r="BY139" s="251"/>
      <c r="BZ139" s="251"/>
      <c r="CA139" s="251"/>
      <c r="CB139" s="251"/>
      <c r="CC139" s="251"/>
      <c r="CD139" s="251"/>
      <c r="CE139" s="251"/>
      <c r="CF139" s="251"/>
      <c r="CG139" s="251"/>
      <c r="CH139" s="251"/>
      <c r="CI139" s="251"/>
      <c r="CJ139" s="251"/>
      <c r="CK139" s="251"/>
      <c r="CL139" s="251"/>
      <c r="CM139" s="251"/>
      <c r="CN139" s="251"/>
      <c r="CO139" s="251"/>
      <c r="CP139" s="251"/>
      <c r="CQ139" s="251"/>
      <c r="CR139" s="251"/>
      <c r="CS139" s="251"/>
      <c r="CT139" s="251"/>
      <c r="CU139" s="251"/>
      <c r="CV139" s="251"/>
      <c r="CW139" s="251"/>
      <c r="CX139" s="251"/>
      <c r="CY139" s="251"/>
      <c r="CZ139" s="251"/>
      <c r="DA139" s="251"/>
      <c r="DB139" s="251"/>
      <c r="DC139" s="251"/>
      <c r="DD139" s="251"/>
      <c r="DE139" s="251"/>
      <c r="DF139" s="251"/>
      <c r="DG139" s="251"/>
      <c r="DH139" s="251"/>
      <c r="DI139" s="251"/>
      <c r="DJ139" s="251"/>
      <c r="DK139" s="251"/>
      <c r="DL139" s="251"/>
      <c r="DM139" s="251"/>
      <c r="DN139" s="251"/>
      <c r="DO139" s="251"/>
      <c r="DP139" s="251"/>
      <c r="DQ139" s="251"/>
      <c r="DR139" s="251"/>
      <c r="DS139" s="251"/>
      <c r="DT139" s="251"/>
      <c r="DU139" s="251"/>
      <c r="DV139" s="251"/>
      <c r="DW139" s="251"/>
      <c r="DX139" s="251"/>
      <c r="DY139" s="251"/>
      <c r="DZ139" s="251"/>
      <c r="EA139" s="251"/>
      <c r="EB139" s="251"/>
      <c r="EC139" s="251"/>
      <c r="ED139" s="251"/>
      <c r="EE139" s="251"/>
      <c r="EF139" s="251"/>
      <c r="EG139" s="251"/>
      <c r="EH139" s="251"/>
      <c r="EI139" s="251"/>
      <c r="EJ139" s="251"/>
      <c r="EK139" s="251"/>
      <c r="EL139" s="251"/>
      <c r="EM139" s="251"/>
      <c r="EN139" s="251"/>
      <c r="EO139" s="251"/>
      <c r="EP139" s="251"/>
      <c r="EQ139" s="251"/>
      <c r="ER139" s="251"/>
      <c r="ES139" s="251"/>
      <c r="ET139" s="251"/>
      <c r="EU139" s="251"/>
      <c r="EV139" s="251"/>
      <c r="EW139" s="251"/>
      <c r="EX139" s="251"/>
      <c r="EY139" s="251"/>
      <c r="EZ139" s="251"/>
      <c r="FA139" s="251"/>
      <c r="FB139" s="251"/>
      <c r="FC139" s="251"/>
      <c r="FD139" s="251"/>
      <c r="FE139" s="251"/>
      <c r="FF139" s="251"/>
      <c r="FG139" s="251"/>
      <c r="FH139" s="251"/>
      <c r="FI139" s="251"/>
      <c r="FJ139" s="251"/>
      <c r="FK139" s="251"/>
      <c r="FL139" s="251"/>
      <c r="FM139" s="251"/>
      <c r="FN139" s="251"/>
      <c r="FO139" s="251"/>
      <c r="FP139" s="251"/>
      <c r="FQ139" s="251"/>
      <c r="FR139" s="251"/>
      <c r="FS139" s="251"/>
      <c r="FT139" s="251"/>
      <c r="FU139" s="251"/>
      <c r="FV139" s="251"/>
      <c r="FW139" s="251"/>
      <c r="FX139" s="251"/>
      <c r="FY139" s="251"/>
      <c r="FZ139" s="251"/>
      <c r="GA139" s="251"/>
      <c r="GB139" s="251"/>
      <c r="GC139" s="251"/>
      <c r="GD139" s="251"/>
      <c r="GE139" s="251"/>
      <c r="GF139" s="251"/>
      <c r="GG139" s="251"/>
      <c r="GH139" s="251"/>
      <c r="GI139" s="251"/>
      <c r="GJ139" s="251"/>
      <c r="GK139" s="251"/>
      <c r="GL139" s="251"/>
      <c r="GM139" s="251"/>
      <c r="GN139" s="251"/>
      <c r="GO139" s="251"/>
      <c r="GP139" s="251"/>
      <c r="GQ139" s="251"/>
      <c r="GR139" s="251"/>
      <c r="GS139" s="251"/>
      <c r="GT139" s="251"/>
      <c r="GU139" s="251"/>
      <c r="GV139" s="251"/>
      <c r="GW139" s="251"/>
      <c r="GX139" s="251"/>
      <c r="GY139" s="251"/>
      <c r="GZ139" s="251"/>
      <c r="HA139" s="251"/>
      <c r="HB139" s="251"/>
      <c r="HC139" s="251"/>
      <c r="HD139" s="251"/>
      <c r="HE139" s="251"/>
      <c r="HF139" s="251"/>
      <c r="HG139" s="251"/>
      <c r="HH139" s="251"/>
      <c r="HI139" s="251"/>
      <c r="HJ139" s="251"/>
      <c r="HK139" s="251"/>
      <c r="HL139" s="251"/>
      <c r="HM139" s="251"/>
      <c r="HN139" s="251"/>
      <c r="HO139" s="251"/>
      <c r="HP139" s="251"/>
      <c r="HQ139" s="251"/>
      <c r="HR139" s="251"/>
      <c r="HS139" s="251"/>
      <c r="HT139" s="251"/>
      <c r="HU139" s="251"/>
      <c r="HV139" s="251"/>
      <c r="HW139" s="251"/>
      <c r="HX139" s="251"/>
      <c r="HY139" s="251"/>
      <c r="HZ139" s="251"/>
      <c r="IA139" s="251"/>
      <c r="IB139" s="251"/>
      <c r="IC139" s="251"/>
      <c r="ID139" s="251"/>
      <c r="IE139" s="251"/>
      <c r="IF139" s="251"/>
      <c r="IG139" s="251"/>
      <c r="IH139" s="251"/>
      <c r="II139" s="251"/>
      <c r="IJ139" s="251"/>
      <c r="IK139" s="251"/>
      <c r="IL139" s="251"/>
      <c r="IM139" s="251"/>
      <c r="IN139" s="251"/>
      <c r="IO139" s="251"/>
      <c r="IP139" s="251"/>
      <c r="IQ139" s="251"/>
      <c r="IR139" s="251"/>
      <c r="IS139" s="251"/>
      <c r="IT139" s="251"/>
      <c r="IU139" s="251"/>
      <c r="IV139" s="251"/>
      <c r="IW139" s="251"/>
      <c r="IX139" s="251"/>
      <c r="IY139" s="251"/>
      <c r="IZ139" s="251"/>
      <c r="JA139" s="251"/>
      <c r="JB139" s="251"/>
      <c r="JC139" s="251"/>
      <c r="JD139" s="251"/>
      <c r="JE139" s="251"/>
      <c r="JF139" s="251"/>
      <c r="JG139" s="251"/>
      <c r="JH139" s="251"/>
      <c r="JI139" s="251"/>
    </row>
    <row r="140" spans="1:269">
      <c r="A140" s="251"/>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c r="BF140" s="251"/>
      <c r="BG140" s="251"/>
      <c r="BH140" s="251"/>
      <c r="BI140" s="251"/>
      <c r="BJ140" s="251"/>
      <c r="BK140" s="251"/>
      <c r="BL140" s="251"/>
      <c r="BM140" s="251"/>
      <c r="BN140" s="251"/>
      <c r="BO140" s="251"/>
      <c r="BP140" s="251"/>
      <c r="BQ140" s="251"/>
      <c r="BR140" s="251"/>
      <c r="BS140" s="251"/>
      <c r="BT140" s="251"/>
      <c r="BU140" s="251"/>
      <c r="BV140" s="251"/>
      <c r="BW140" s="251"/>
      <c r="BX140" s="251"/>
      <c r="BY140" s="251"/>
      <c r="BZ140" s="251"/>
      <c r="CA140" s="251"/>
      <c r="CB140" s="251"/>
      <c r="CC140" s="251"/>
      <c r="CD140" s="251"/>
      <c r="CE140" s="251"/>
      <c r="CF140" s="251"/>
      <c r="CG140" s="251"/>
      <c r="CH140" s="251"/>
      <c r="CI140" s="251"/>
      <c r="CJ140" s="251"/>
      <c r="CK140" s="251"/>
      <c r="CL140" s="251"/>
      <c r="CM140" s="251"/>
      <c r="CN140" s="251"/>
      <c r="CO140" s="251"/>
      <c r="CP140" s="251"/>
      <c r="CQ140" s="251"/>
      <c r="CR140" s="251"/>
      <c r="CS140" s="251"/>
      <c r="CT140" s="251"/>
      <c r="CU140" s="251"/>
      <c r="CV140" s="251"/>
      <c r="CW140" s="251"/>
      <c r="CX140" s="251"/>
      <c r="CY140" s="251"/>
      <c r="CZ140" s="251"/>
      <c r="DA140" s="251"/>
      <c r="DB140" s="251"/>
      <c r="DC140" s="251"/>
      <c r="DD140" s="251"/>
      <c r="DE140" s="251"/>
      <c r="DF140" s="251"/>
      <c r="DG140" s="251"/>
      <c r="DH140" s="251"/>
      <c r="DI140" s="251"/>
      <c r="DJ140" s="251"/>
      <c r="DK140" s="251"/>
      <c r="DL140" s="251"/>
      <c r="DM140" s="251"/>
      <c r="DN140" s="251"/>
      <c r="DO140" s="251"/>
      <c r="DP140" s="251"/>
      <c r="DQ140" s="251"/>
      <c r="DR140" s="251"/>
      <c r="DS140" s="251"/>
      <c r="DT140" s="251"/>
      <c r="DU140" s="251"/>
      <c r="DV140" s="251"/>
      <c r="DW140" s="251"/>
      <c r="DX140" s="251"/>
      <c r="DY140" s="251"/>
      <c r="DZ140" s="251"/>
      <c r="EA140" s="251"/>
      <c r="EB140" s="251"/>
      <c r="EC140" s="251"/>
      <c r="ED140" s="251"/>
      <c r="EE140" s="251"/>
      <c r="EF140" s="251"/>
      <c r="EG140" s="251"/>
      <c r="EH140" s="251"/>
      <c r="EI140" s="251"/>
      <c r="EJ140" s="251"/>
      <c r="EK140" s="251"/>
      <c r="EL140" s="251"/>
      <c r="EM140" s="251"/>
      <c r="EN140" s="251"/>
      <c r="EO140" s="251"/>
      <c r="EP140" s="251"/>
      <c r="EQ140" s="251"/>
      <c r="ER140" s="251"/>
      <c r="ES140" s="251"/>
      <c r="ET140" s="251"/>
      <c r="EU140" s="251"/>
      <c r="EV140" s="251"/>
      <c r="EW140" s="251"/>
      <c r="EX140" s="251"/>
      <c r="EY140" s="251"/>
      <c r="EZ140" s="251"/>
      <c r="FA140" s="251"/>
      <c r="FB140" s="251"/>
      <c r="FC140" s="251"/>
      <c r="FD140" s="251"/>
      <c r="FE140" s="251"/>
      <c r="FF140" s="251"/>
      <c r="FG140" s="251"/>
      <c r="FH140" s="251"/>
      <c r="FI140" s="251"/>
      <c r="FJ140" s="251"/>
      <c r="FK140" s="251"/>
      <c r="FL140" s="251"/>
      <c r="FM140" s="251"/>
      <c r="FN140" s="251"/>
      <c r="FO140" s="251"/>
      <c r="FP140" s="251"/>
      <c r="FQ140" s="251"/>
      <c r="FR140" s="251"/>
      <c r="FS140" s="251"/>
      <c r="FT140" s="251"/>
      <c r="FU140" s="251"/>
      <c r="FV140" s="251"/>
      <c r="FW140" s="251"/>
      <c r="FX140" s="251"/>
      <c r="FY140" s="251"/>
      <c r="FZ140" s="251"/>
      <c r="GA140" s="251"/>
      <c r="GB140" s="251"/>
      <c r="GC140" s="251"/>
      <c r="GD140" s="251"/>
      <c r="GE140" s="251"/>
      <c r="GF140" s="251"/>
      <c r="GG140" s="251"/>
      <c r="GH140" s="251"/>
      <c r="GI140" s="251"/>
      <c r="GJ140" s="251"/>
      <c r="GK140" s="251"/>
      <c r="GL140" s="251"/>
      <c r="GM140" s="251"/>
      <c r="GN140" s="251"/>
      <c r="GO140" s="251"/>
      <c r="GP140" s="251"/>
      <c r="GQ140" s="251"/>
      <c r="GR140" s="251"/>
      <c r="GS140" s="251"/>
      <c r="GT140" s="251"/>
      <c r="GU140" s="251"/>
      <c r="GV140" s="251"/>
      <c r="GW140" s="251"/>
      <c r="GX140" s="251"/>
      <c r="GY140" s="251"/>
      <c r="GZ140" s="251"/>
      <c r="HA140" s="251"/>
      <c r="HB140" s="251"/>
      <c r="HC140" s="251"/>
      <c r="HD140" s="251"/>
      <c r="HE140" s="251"/>
      <c r="HF140" s="251"/>
      <c r="HG140" s="251"/>
      <c r="HH140" s="251"/>
      <c r="HI140" s="251"/>
      <c r="HJ140" s="251"/>
      <c r="HK140" s="251"/>
      <c r="HL140" s="251"/>
      <c r="HM140" s="251"/>
      <c r="HN140" s="251"/>
      <c r="HO140" s="251"/>
      <c r="HP140" s="251"/>
      <c r="HQ140" s="251"/>
      <c r="HR140" s="251"/>
      <c r="HS140" s="251"/>
      <c r="HT140" s="251"/>
      <c r="HU140" s="251"/>
      <c r="HV140" s="251"/>
      <c r="HW140" s="251"/>
      <c r="HX140" s="251"/>
      <c r="HY140" s="251"/>
      <c r="HZ140" s="251"/>
      <c r="IA140" s="251"/>
      <c r="IB140" s="251"/>
      <c r="IC140" s="251"/>
      <c r="ID140" s="251"/>
      <c r="IE140" s="251"/>
      <c r="IF140" s="251"/>
      <c r="IG140" s="251"/>
      <c r="IH140" s="251"/>
      <c r="II140" s="251"/>
      <c r="IJ140" s="251"/>
      <c r="IK140" s="251"/>
      <c r="IL140" s="251"/>
      <c r="IM140" s="251"/>
      <c r="IN140" s="251"/>
      <c r="IO140" s="251"/>
      <c r="IP140" s="251"/>
      <c r="IQ140" s="251"/>
      <c r="IR140" s="251"/>
      <c r="IS140" s="251"/>
      <c r="IT140" s="251"/>
      <c r="IU140" s="251"/>
      <c r="IV140" s="251"/>
      <c r="IW140" s="251"/>
      <c r="IX140" s="251"/>
      <c r="IY140" s="251"/>
      <c r="IZ140" s="251"/>
      <c r="JA140" s="251"/>
      <c r="JB140" s="251"/>
      <c r="JC140" s="251"/>
      <c r="JD140" s="251"/>
      <c r="JE140" s="251"/>
      <c r="JF140" s="251"/>
      <c r="JG140" s="251"/>
      <c r="JH140" s="251"/>
      <c r="JI140" s="251"/>
    </row>
    <row r="141" spans="1:269">
      <c r="A141" s="251"/>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c r="BF141" s="251"/>
      <c r="BG141" s="251"/>
      <c r="BH141" s="251"/>
      <c r="BI141" s="251"/>
      <c r="BJ141" s="251"/>
      <c r="BK141" s="251"/>
      <c r="BL141" s="251"/>
      <c r="BM141" s="251"/>
      <c r="BN141" s="251"/>
      <c r="BO141" s="251"/>
      <c r="BP141" s="251"/>
      <c r="BQ141" s="251"/>
      <c r="BR141" s="251"/>
      <c r="BS141" s="251"/>
      <c r="BT141" s="251"/>
      <c r="BU141" s="251"/>
      <c r="BV141" s="251"/>
      <c r="BW141" s="251"/>
      <c r="BX141" s="251"/>
      <c r="BY141" s="251"/>
      <c r="BZ141" s="251"/>
      <c r="CA141" s="251"/>
      <c r="CB141" s="251"/>
      <c r="CC141" s="251"/>
      <c r="CD141" s="251"/>
      <c r="CE141" s="251"/>
      <c r="CF141" s="251"/>
      <c r="CG141" s="251"/>
      <c r="CH141" s="251"/>
      <c r="CI141" s="251"/>
      <c r="CJ141" s="251"/>
      <c r="CK141" s="251"/>
      <c r="CL141" s="251"/>
      <c r="CM141" s="251"/>
      <c r="CN141" s="251"/>
      <c r="CO141" s="251"/>
      <c r="CP141" s="251"/>
      <c r="CQ141" s="251"/>
      <c r="CR141" s="251"/>
      <c r="CS141" s="251"/>
      <c r="CT141" s="251"/>
      <c r="CU141" s="251"/>
      <c r="CV141" s="251"/>
      <c r="CW141" s="251"/>
      <c r="CX141" s="251"/>
      <c r="CY141" s="251"/>
      <c r="CZ141" s="251"/>
      <c r="DA141" s="251"/>
      <c r="DB141" s="251"/>
      <c r="DC141" s="251"/>
      <c r="DD141" s="251"/>
      <c r="DE141" s="251"/>
      <c r="DF141" s="251"/>
      <c r="DG141" s="251"/>
      <c r="DH141" s="251"/>
      <c r="DI141" s="251"/>
      <c r="DJ141" s="251"/>
      <c r="DK141" s="251"/>
      <c r="DL141" s="251"/>
      <c r="DM141" s="251"/>
      <c r="DN141" s="251"/>
      <c r="DO141" s="251"/>
      <c r="DP141" s="251"/>
      <c r="DQ141" s="251"/>
      <c r="DR141" s="251"/>
      <c r="DS141" s="251"/>
      <c r="DT141" s="251"/>
      <c r="DU141" s="251"/>
      <c r="DV141" s="251"/>
      <c r="DW141" s="251"/>
      <c r="DX141" s="251"/>
      <c r="DY141" s="251"/>
      <c r="DZ141" s="251"/>
      <c r="EA141" s="251"/>
      <c r="EB141" s="251"/>
      <c r="EC141" s="251"/>
      <c r="ED141" s="251"/>
      <c r="EE141" s="251"/>
      <c r="EF141" s="251"/>
      <c r="EG141" s="251"/>
      <c r="EH141" s="251"/>
      <c r="EI141" s="251"/>
      <c r="EJ141" s="251"/>
      <c r="EK141" s="251"/>
      <c r="EL141" s="251"/>
      <c r="EM141" s="251"/>
      <c r="EN141" s="251"/>
      <c r="EO141" s="251"/>
      <c r="EP141" s="251"/>
      <c r="EQ141" s="251"/>
      <c r="ER141" s="251"/>
      <c r="ES141" s="251"/>
      <c r="ET141" s="251"/>
      <c r="EU141" s="251"/>
      <c r="EV141" s="251"/>
      <c r="EW141" s="251"/>
      <c r="EX141" s="251"/>
      <c r="EY141" s="251"/>
      <c r="EZ141" s="251"/>
      <c r="FA141" s="251"/>
      <c r="FB141" s="251"/>
      <c r="FC141" s="251"/>
      <c r="FD141" s="251"/>
      <c r="FE141" s="251"/>
      <c r="FF141" s="251"/>
      <c r="FG141" s="251"/>
      <c r="FH141" s="251"/>
      <c r="FI141" s="251"/>
      <c r="FJ141" s="251"/>
      <c r="FK141" s="251"/>
      <c r="FL141" s="251"/>
      <c r="FM141" s="251"/>
      <c r="FN141" s="251"/>
      <c r="FO141" s="251"/>
      <c r="FP141" s="251"/>
      <c r="FQ141" s="251"/>
      <c r="FR141" s="251"/>
      <c r="FS141" s="251"/>
      <c r="FT141" s="251"/>
      <c r="FU141" s="251"/>
      <c r="FV141" s="251"/>
      <c r="FW141" s="251"/>
      <c r="FX141" s="251"/>
      <c r="FY141" s="251"/>
      <c r="FZ141" s="251"/>
      <c r="GA141" s="251"/>
      <c r="GB141" s="251"/>
      <c r="GC141" s="251"/>
      <c r="GD141" s="251"/>
      <c r="GE141" s="251"/>
      <c r="GF141" s="251"/>
      <c r="GG141" s="251"/>
      <c r="GH141" s="251"/>
      <c r="GI141" s="251"/>
      <c r="GJ141" s="251"/>
      <c r="GK141" s="251"/>
      <c r="GL141" s="251"/>
      <c r="GM141" s="251"/>
      <c r="GN141" s="251"/>
      <c r="GO141" s="251"/>
      <c r="GP141" s="251"/>
      <c r="GQ141" s="251"/>
      <c r="GR141" s="251"/>
      <c r="GS141" s="251"/>
      <c r="GT141" s="251"/>
      <c r="GU141" s="251"/>
      <c r="GV141" s="251"/>
      <c r="GW141" s="251"/>
      <c r="GX141" s="251"/>
      <c r="GY141" s="251"/>
      <c r="GZ141" s="251"/>
      <c r="HA141" s="251"/>
      <c r="HB141" s="251"/>
      <c r="HC141" s="251"/>
      <c r="HD141" s="251"/>
      <c r="HE141" s="251"/>
      <c r="HF141" s="251"/>
      <c r="HG141" s="251"/>
      <c r="HH141" s="251"/>
      <c r="HI141" s="251"/>
      <c r="HJ141" s="251"/>
      <c r="HK141" s="251"/>
      <c r="HL141" s="251"/>
      <c r="HM141" s="251"/>
      <c r="HN141" s="251"/>
      <c r="HO141" s="251"/>
      <c r="HP141" s="251"/>
      <c r="HQ141" s="251"/>
      <c r="HR141" s="251"/>
      <c r="HS141" s="251"/>
      <c r="HT141" s="251"/>
      <c r="HU141" s="251"/>
      <c r="HV141" s="251"/>
      <c r="HW141" s="251"/>
      <c r="HX141" s="251"/>
      <c r="HY141" s="251"/>
      <c r="HZ141" s="251"/>
      <c r="IA141" s="251"/>
      <c r="IB141" s="251"/>
      <c r="IC141" s="251"/>
      <c r="ID141" s="251"/>
      <c r="IE141" s="251"/>
      <c r="IF141" s="251"/>
      <c r="IG141" s="251"/>
      <c r="IH141" s="251"/>
      <c r="II141" s="251"/>
      <c r="IJ141" s="251"/>
      <c r="IK141" s="251"/>
      <c r="IL141" s="251"/>
      <c r="IM141" s="251"/>
      <c r="IN141" s="251"/>
      <c r="IO141" s="251"/>
      <c r="IP141" s="251"/>
      <c r="IQ141" s="251"/>
      <c r="IR141" s="251"/>
      <c r="IS141" s="251"/>
      <c r="IT141" s="251"/>
      <c r="IU141" s="251"/>
      <c r="IV141" s="251"/>
      <c r="IW141" s="251"/>
      <c r="IX141" s="251"/>
      <c r="IY141" s="251"/>
      <c r="IZ141" s="251"/>
      <c r="JA141" s="251"/>
      <c r="JB141" s="251"/>
      <c r="JC141" s="251"/>
      <c r="JD141" s="251"/>
      <c r="JE141" s="251"/>
      <c r="JF141" s="251"/>
      <c r="JG141" s="251"/>
      <c r="JH141" s="251"/>
      <c r="JI141" s="251"/>
    </row>
    <row r="142" spans="1:269">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c r="BA142" s="251"/>
      <c r="BB142" s="251"/>
      <c r="BC142" s="251"/>
      <c r="BD142" s="251"/>
      <c r="BE142" s="251"/>
      <c r="BF142" s="251"/>
      <c r="BG142" s="251"/>
      <c r="BH142" s="251"/>
      <c r="BI142" s="251"/>
      <c r="BJ142" s="251"/>
      <c r="BK142" s="251"/>
      <c r="BL142" s="251"/>
      <c r="BM142" s="251"/>
      <c r="BN142" s="251"/>
      <c r="BO142" s="251"/>
      <c r="BP142" s="251"/>
      <c r="BQ142" s="251"/>
      <c r="BR142" s="251"/>
      <c r="BS142" s="251"/>
      <c r="BT142" s="251"/>
      <c r="BU142" s="251"/>
      <c r="BV142" s="251"/>
      <c r="BW142" s="251"/>
      <c r="BX142" s="251"/>
      <c r="BY142" s="251"/>
      <c r="BZ142" s="251"/>
      <c r="CA142" s="251"/>
      <c r="CB142" s="251"/>
      <c r="CC142" s="251"/>
      <c r="CD142" s="251"/>
      <c r="CE142" s="251"/>
      <c r="CF142" s="251"/>
      <c r="CG142" s="251"/>
      <c r="CH142" s="251"/>
      <c r="CI142" s="251"/>
      <c r="CJ142" s="251"/>
      <c r="CK142" s="251"/>
      <c r="CL142" s="251"/>
      <c r="CM142" s="251"/>
      <c r="CN142" s="251"/>
      <c r="CO142" s="251"/>
      <c r="CP142" s="251"/>
      <c r="CQ142" s="251"/>
      <c r="CR142" s="251"/>
      <c r="CS142" s="251"/>
      <c r="CT142" s="251"/>
      <c r="CU142" s="251"/>
      <c r="CV142" s="251"/>
      <c r="CW142" s="251"/>
      <c r="CX142" s="251"/>
      <c r="CY142" s="251"/>
      <c r="CZ142" s="251"/>
      <c r="DA142" s="251"/>
      <c r="DB142" s="251"/>
      <c r="DC142" s="251"/>
      <c r="DD142" s="251"/>
      <c r="DE142" s="251"/>
      <c r="DF142" s="251"/>
      <c r="DG142" s="251"/>
      <c r="DH142" s="251"/>
      <c r="DI142" s="251"/>
      <c r="DJ142" s="251"/>
      <c r="DK142" s="251"/>
      <c r="DL142" s="251"/>
      <c r="DM142" s="251"/>
      <c r="DN142" s="251"/>
      <c r="DO142" s="251"/>
      <c r="DP142" s="251"/>
      <c r="DQ142" s="251"/>
      <c r="DR142" s="251"/>
      <c r="DS142" s="251"/>
      <c r="DT142" s="251"/>
      <c r="DU142" s="251"/>
      <c r="DV142" s="251"/>
      <c r="DW142" s="251"/>
      <c r="DX142" s="251"/>
      <c r="DY142" s="251"/>
      <c r="DZ142" s="251"/>
      <c r="EA142" s="251"/>
      <c r="EB142" s="251"/>
      <c r="EC142" s="251"/>
      <c r="ED142" s="251"/>
      <c r="EE142" s="251"/>
      <c r="EF142" s="251"/>
      <c r="EG142" s="251"/>
      <c r="EH142" s="251"/>
      <c r="EI142" s="251"/>
      <c r="EJ142" s="251"/>
      <c r="EK142" s="251"/>
      <c r="EL142" s="251"/>
      <c r="EM142" s="251"/>
      <c r="EN142" s="251"/>
      <c r="EO142" s="251"/>
      <c r="EP142" s="251"/>
      <c r="EQ142" s="251"/>
      <c r="ER142" s="251"/>
      <c r="ES142" s="251"/>
      <c r="ET142" s="251"/>
      <c r="EU142" s="251"/>
      <c r="EV142" s="251"/>
      <c r="EW142" s="251"/>
      <c r="EX142" s="251"/>
      <c r="EY142" s="251"/>
      <c r="EZ142" s="251"/>
      <c r="FA142" s="251"/>
      <c r="FB142" s="251"/>
      <c r="FC142" s="251"/>
      <c r="FD142" s="251"/>
      <c r="FE142" s="251"/>
      <c r="FF142" s="251"/>
      <c r="FG142" s="251"/>
      <c r="FH142" s="251"/>
      <c r="FI142" s="251"/>
      <c r="FJ142" s="251"/>
      <c r="FK142" s="251"/>
      <c r="FL142" s="251"/>
      <c r="FM142" s="251"/>
      <c r="FN142" s="251"/>
      <c r="FO142" s="251"/>
      <c r="FP142" s="251"/>
      <c r="FQ142" s="251"/>
      <c r="FR142" s="251"/>
      <c r="FS142" s="251"/>
      <c r="FT142" s="251"/>
      <c r="FU142" s="251"/>
      <c r="FV142" s="251"/>
      <c r="FW142" s="251"/>
      <c r="FX142" s="251"/>
      <c r="FY142" s="251"/>
      <c r="FZ142" s="251"/>
      <c r="GA142" s="251"/>
      <c r="GB142" s="251"/>
      <c r="GC142" s="251"/>
      <c r="GD142" s="251"/>
      <c r="GE142" s="251"/>
      <c r="GF142" s="251"/>
      <c r="GG142" s="251"/>
      <c r="GH142" s="251"/>
      <c r="GI142" s="251"/>
      <c r="GJ142" s="251"/>
      <c r="GK142" s="251"/>
      <c r="GL142" s="251"/>
      <c r="GM142" s="251"/>
      <c r="GN142" s="251"/>
      <c r="GO142" s="251"/>
      <c r="GP142" s="251"/>
      <c r="GQ142" s="251"/>
      <c r="GR142" s="251"/>
      <c r="GS142" s="251"/>
      <c r="GT142" s="251"/>
      <c r="GU142" s="251"/>
      <c r="GV142" s="251"/>
      <c r="GW142" s="251"/>
      <c r="GX142" s="251"/>
      <c r="GY142" s="251"/>
      <c r="GZ142" s="251"/>
      <c r="HA142" s="251"/>
      <c r="HB142" s="251"/>
      <c r="HC142" s="251"/>
      <c r="HD142" s="251"/>
      <c r="HE142" s="251"/>
      <c r="HF142" s="251"/>
      <c r="HG142" s="251"/>
      <c r="HH142" s="251"/>
      <c r="HI142" s="251"/>
      <c r="HJ142" s="251"/>
      <c r="HK142" s="251"/>
      <c r="HL142" s="251"/>
      <c r="HM142" s="251"/>
      <c r="HN142" s="251"/>
      <c r="HO142" s="251"/>
      <c r="HP142" s="251"/>
      <c r="HQ142" s="251"/>
      <c r="HR142" s="251"/>
      <c r="HS142" s="251"/>
      <c r="HT142" s="251"/>
      <c r="HU142" s="251"/>
      <c r="HV142" s="251"/>
      <c r="HW142" s="251"/>
      <c r="HX142" s="251"/>
      <c r="HY142" s="251"/>
      <c r="HZ142" s="251"/>
      <c r="IA142" s="251"/>
      <c r="IB142" s="251"/>
      <c r="IC142" s="251"/>
      <c r="ID142" s="251"/>
      <c r="IE142" s="251"/>
      <c r="IF142" s="251"/>
      <c r="IG142" s="251"/>
      <c r="IH142" s="251"/>
      <c r="II142" s="251"/>
      <c r="IJ142" s="251"/>
      <c r="IK142" s="251"/>
      <c r="IL142" s="251"/>
      <c r="IM142" s="251"/>
      <c r="IN142" s="251"/>
      <c r="IO142" s="251"/>
      <c r="IP142" s="251"/>
      <c r="IQ142" s="251"/>
      <c r="IR142" s="251"/>
      <c r="IS142" s="251"/>
      <c r="IT142" s="251"/>
      <c r="IU142" s="251"/>
      <c r="IV142" s="251"/>
      <c r="IW142" s="251"/>
      <c r="IX142" s="251"/>
      <c r="IY142" s="251"/>
      <c r="IZ142" s="251"/>
      <c r="JA142" s="251"/>
      <c r="JB142" s="251"/>
      <c r="JC142" s="251"/>
      <c r="JD142" s="251"/>
      <c r="JE142" s="251"/>
      <c r="JF142" s="251"/>
      <c r="JG142" s="251"/>
      <c r="JH142" s="251"/>
      <c r="JI142" s="251"/>
    </row>
    <row r="143" spans="1:269">
      <c r="A143" s="251"/>
      <c r="B143" s="251"/>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c r="BO143" s="251"/>
      <c r="BP143" s="251"/>
      <c r="BQ143" s="251"/>
      <c r="BR143" s="251"/>
      <c r="BS143" s="251"/>
      <c r="BT143" s="251"/>
      <c r="BU143" s="251"/>
      <c r="BV143" s="251"/>
      <c r="BW143" s="251"/>
      <c r="BX143" s="251"/>
      <c r="BY143" s="251"/>
      <c r="BZ143" s="251"/>
      <c r="CA143" s="251"/>
      <c r="CB143" s="251"/>
      <c r="CC143" s="251"/>
      <c r="CD143" s="251"/>
      <c r="CE143" s="251"/>
      <c r="CF143" s="251"/>
      <c r="CG143" s="251"/>
      <c r="CH143" s="251"/>
      <c r="CI143" s="251"/>
      <c r="CJ143" s="251"/>
      <c r="CK143" s="251"/>
      <c r="CL143" s="251"/>
      <c r="CM143" s="251"/>
      <c r="CN143" s="251"/>
      <c r="CO143" s="251"/>
      <c r="CP143" s="251"/>
      <c r="CQ143" s="251"/>
      <c r="CR143" s="251"/>
      <c r="CS143" s="251"/>
      <c r="CT143" s="251"/>
      <c r="CU143" s="251"/>
      <c r="CV143" s="251"/>
      <c r="CW143" s="251"/>
      <c r="CX143" s="251"/>
      <c r="CY143" s="251"/>
      <c r="CZ143" s="251"/>
      <c r="DA143" s="251"/>
      <c r="DB143" s="251"/>
      <c r="DC143" s="251"/>
      <c r="DD143" s="251"/>
      <c r="DE143" s="251"/>
      <c r="DF143" s="251"/>
      <c r="DG143" s="251"/>
      <c r="DH143" s="251"/>
      <c r="DI143" s="251"/>
      <c r="DJ143" s="251"/>
      <c r="DK143" s="251"/>
      <c r="DL143" s="251"/>
      <c r="DM143" s="251"/>
      <c r="DN143" s="251"/>
      <c r="DO143" s="251"/>
      <c r="DP143" s="251"/>
      <c r="DQ143" s="251"/>
      <c r="DR143" s="251"/>
      <c r="DS143" s="251"/>
      <c r="DT143" s="251"/>
      <c r="DU143" s="251"/>
      <c r="DV143" s="251"/>
      <c r="DW143" s="251"/>
      <c r="DX143" s="251"/>
      <c r="DY143" s="251"/>
      <c r="DZ143" s="251"/>
      <c r="EA143" s="251"/>
      <c r="EB143" s="251"/>
      <c r="EC143" s="251"/>
      <c r="ED143" s="251"/>
      <c r="EE143" s="251"/>
      <c r="EF143" s="251"/>
      <c r="EG143" s="251"/>
      <c r="EH143" s="251"/>
      <c r="EI143" s="251"/>
      <c r="EJ143" s="251"/>
      <c r="EK143" s="251"/>
      <c r="EL143" s="251"/>
      <c r="EM143" s="251"/>
      <c r="EN143" s="251"/>
      <c r="EO143" s="251"/>
      <c r="EP143" s="251"/>
      <c r="EQ143" s="251"/>
      <c r="ER143" s="251"/>
      <c r="ES143" s="251"/>
      <c r="ET143" s="251"/>
      <c r="EU143" s="251"/>
      <c r="EV143" s="251"/>
      <c r="EW143" s="251"/>
      <c r="EX143" s="251"/>
      <c r="EY143" s="251"/>
      <c r="EZ143" s="251"/>
      <c r="FA143" s="251"/>
      <c r="FB143" s="251"/>
      <c r="FC143" s="251"/>
      <c r="FD143" s="251"/>
      <c r="FE143" s="251"/>
      <c r="FF143" s="251"/>
      <c r="FG143" s="251"/>
      <c r="FH143" s="251"/>
      <c r="FI143" s="251"/>
      <c r="FJ143" s="251"/>
      <c r="FK143" s="251"/>
      <c r="FL143" s="251"/>
      <c r="FM143" s="251"/>
      <c r="FN143" s="251"/>
      <c r="FO143" s="251"/>
      <c r="FP143" s="251"/>
      <c r="FQ143" s="251"/>
      <c r="FR143" s="251"/>
      <c r="FS143" s="251"/>
      <c r="FT143" s="251"/>
      <c r="FU143" s="251"/>
      <c r="FV143" s="251"/>
      <c r="FW143" s="251"/>
      <c r="FX143" s="251"/>
      <c r="FY143" s="251"/>
      <c r="FZ143" s="251"/>
      <c r="GA143" s="251"/>
      <c r="GB143" s="251"/>
      <c r="GC143" s="251"/>
      <c r="GD143" s="251"/>
      <c r="GE143" s="251"/>
      <c r="GF143" s="251"/>
      <c r="GG143" s="251"/>
      <c r="GH143" s="251"/>
      <c r="GI143" s="251"/>
      <c r="GJ143" s="251"/>
      <c r="GK143" s="251"/>
      <c r="GL143" s="251"/>
      <c r="GM143" s="251"/>
      <c r="GN143" s="251"/>
      <c r="GO143" s="251"/>
      <c r="GP143" s="251"/>
      <c r="GQ143" s="251"/>
      <c r="GR143" s="251"/>
      <c r="GS143" s="251"/>
      <c r="GT143" s="251"/>
      <c r="GU143" s="251"/>
      <c r="GV143" s="251"/>
      <c r="GW143" s="251"/>
      <c r="GX143" s="251"/>
      <c r="GY143" s="251"/>
      <c r="GZ143" s="251"/>
      <c r="HA143" s="251"/>
      <c r="HB143" s="251"/>
      <c r="HC143" s="251"/>
      <c r="HD143" s="251"/>
      <c r="HE143" s="251"/>
      <c r="HF143" s="251"/>
      <c r="HG143" s="251"/>
      <c r="HH143" s="251"/>
      <c r="HI143" s="251"/>
      <c r="HJ143" s="251"/>
      <c r="HK143" s="251"/>
      <c r="HL143" s="251"/>
      <c r="HM143" s="251"/>
      <c r="HN143" s="251"/>
      <c r="HO143" s="251"/>
      <c r="HP143" s="251"/>
      <c r="HQ143" s="251"/>
      <c r="HR143" s="251"/>
      <c r="HS143" s="251"/>
      <c r="HT143" s="251"/>
      <c r="HU143" s="251"/>
      <c r="HV143" s="251"/>
      <c r="HW143" s="251"/>
      <c r="HX143" s="251"/>
      <c r="HY143" s="251"/>
      <c r="HZ143" s="251"/>
      <c r="IA143" s="251"/>
      <c r="IB143" s="251"/>
      <c r="IC143" s="251"/>
      <c r="ID143" s="251"/>
      <c r="IE143" s="251"/>
      <c r="IF143" s="251"/>
      <c r="IG143" s="251"/>
      <c r="IH143" s="251"/>
      <c r="II143" s="251"/>
      <c r="IJ143" s="251"/>
      <c r="IK143" s="251"/>
      <c r="IL143" s="251"/>
      <c r="IM143" s="251"/>
      <c r="IN143" s="251"/>
      <c r="IO143" s="251"/>
      <c r="IP143" s="251"/>
      <c r="IQ143" s="251"/>
      <c r="IR143" s="251"/>
      <c r="IS143" s="251"/>
      <c r="IT143" s="251"/>
      <c r="IU143" s="251"/>
      <c r="IV143" s="251"/>
      <c r="IW143" s="251"/>
      <c r="IX143" s="251"/>
      <c r="IY143" s="251"/>
      <c r="IZ143" s="251"/>
      <c r="JA143" s="251"/>
      <c r="JB143" s="251"/>
      <c r="JC143" s="251"/>
      <c r="JD143" s="251"/>
      <c r="JE143" s="251"/>
      <c r="JF143" s="251"/>
      <c r="JG143" s="251"/>
      <c r="JH143" s="251"/>
      <c r="JI143" s="251"/>
    </row>
    <row r="144" spans="1:269">
      <c r="A144" s="251"/>
      <c r="B144" s="251"/>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1"/>
      <c r="AY144" s="251"/>
      <c r="AZ144" s="251"/>
      <c r="BA144" s="251"/>
      <c r="BB144" s="251"/>
      <c r="BC144" s="251"/>
      <c r="BD144" s="251"/>
      <c r="BE144" s="251"/>
      <c r="BF144" s="251"/>
      <c r="BG144" s="251"/>
      <c r="BH144" s="251"/>
      <c r="BI144" s="251"/>
      <c r="BJ144" s="251"/>
      <c r="BK144" s="251"/>
      <c r="BL144" s="251"/>
      <c r="BM144" s="251"/>
      <c r="BN144" s="251"/>
      <c r="BO144" s="251"/>
      <c r="BP144" s="251"/>
      <c r="BQ144" s="251"/>
      <c r="BR144" s="251"/>
      <c r="BS144" s="251"/>
      <c r="BT144" s="251"/>
      <c r="BU144" s="251"/>
      <c r="BV144" s="251"/>
      <c r="BW144" s="251"/>
      <c r="BX144" s="251"/>
      <c r="BY144" s="251"/>
      <c r="BZ144" s="251"/>
      <c r="CA144" s="251"/>
      <c r="CB144" s="251"/>
      <c r="CC144" s="251"/>
      <c r="CD144" s="251"/>
      <c r="CE144" s="251"/>
      <c r="CF144" s="251"/>
      <c r="CG144" s="251"/>
      <c r="CH144" s="251"/>
      <c r="CI144" s="251"/>
      <c r="CJ144" s="251"/>
      <c r="CK144" s="251"/>
      <c r="CL144" s="251"/>
      <c r="CM144" s="251"/>
      <c r="CN144" s="251"/>
      <c r="CO144" s="251"/>
      <c r="CP144" s="251"/>
      <c r="CQ144" s="251"/>
      <c r="CR144" s="251"/>
      <c r="CS144" s="251"/>
      <c r="CT144" s="251"/>
      <c r="CU144" s="251"/>
      <c r="CV144" s="251"/>
      <c r="CW144" s="251"/>
      <c r="CX144" s="251"/>
      <c r="CY144" s="251"/>
      <c r="CZ144" s="251"/>
      <c r="DA144" s="251"/>
      <c r="DB144" s="251"/>
      <c r="DC144" s="251"/>
      <c r="DD144" s="251"/>
      <c r="DE144" s="251"/>
      <c r="DF144" s="251"/>
      <c r="DG144" s="251"/>
      <c r="DH144" s="251"/>
      <c r="DI144" s="251"/>
      <c r="DJ144" s="251"/>
      <c r="DK144" s="251"/>
      <c r="DL144" s="251"/>
      <c r="DM144" s="251"/>
      <c r="DN144" s="251"/>
      <c r="DO144" s="251"/>
      <c r="DP144" s="251"/>
      <c r="DQ144" s="251"/>
      <c r="DR144" s="251"/>
      <c r="DS144" s="251"/>
      <c r="DT144" s="251"/>
      <c r="DU144" s="251"/>
      <c r="DV144" s="251"/>
      <c r="DW144" s="251"/>
      <c r="DX144" s="251"/>
      <c r="DY144" s="251"/>
      <c r="DZ144" s="251"/>
      <c r="EA144" s="251"/>
      <c r="EB144" s="251"/>
      <c r="EC144" s="251"/>
      <c r="ED144" s="251"/>
      <c r="EE144" s="251"/>
      <c r="EF144" s="251"/>
      <c r="EG144" s="251"/>
      <c r="EH144" s="251"/>
      <c r="EI144" s="251"/>
      <c r="EJ144" s="251"/>
      <c r="EK144" s="251"/>
      <c r="EL144" s="251"/>
      <c r="EM144" s="251"/>
      <c r="EN144" s="251"/>
      <c r="EO144" s="251"/>
      <c r="EP144" s="251"/>
      <c r="EQ144" s="251"/>
      <c r="ER144" s="251"/>
      <c r="ES144" s="251"/>
      <c r="ET144" s="251"/>
      <c r="EU144" s="251"/>
      <c r="EV144" s="251"/>
      <c r="EW144" s="251"/>
      <c r="EX144" s="251"/>
      <c r="EY144" s="251"/>
      <c r="EZ144" s="251"/>
      <c r="FA144" s="251"/>
      <c r="FB144" s="251"/>
      <c r="FC144" s="251"/>
      <c r="FD144" s="251"/>
      <c r="FE144" s="251"/>
      <c r="FF144" s="251"/>
      <c r="FG144" s="251"/>
      <c r="FH144" s="251"/>
      <c r="FI144" s="251"/>
      <c r="FJ144" s="251"/>
      <c r="FK144" s="251"/>
      <c r="FL144" s="251"/>
      <c r="FM144" s="251"/>
      <c r="FN144" s="251"/>
      <c r="FO144" s="251"/>
      <c r="FP144" s="251"/>
      <c r="FQ144" s="251"/>
      <c r="FR144" s="251"/>
      <c r="FS144" s="251"/>
      <c r="FT144" s="251"/>
      <c r="FU144" s="251"/>
      <c r="FV144" s="251"/>
      <c r="FW144" s="251"/>
      <c r="FX144" s="251"/>
      <c r="FY144" s="251"/>
      <c r="FZ144" s="251"/>
      <c r="GA144" s="251"/>
      <c r="GB144" s="251"/>
      <c r="GC144" s="251"/>
      <c r="GD144" s="251"/>
      <c r="GE144" s="251"/>
      <c r="GF144" s="251"/>
      <c r="GG144" s="251"/>
      <c r="GH144" s="251"/>
      <c r="GI144" s="251"/>
      <c r="GJ144" s="251"/>
      <c r="GK144" s="251"/>
      <c r="GL144" s="251"/>
      <c r="GM144" s="251"/>
      <c r="GN144" s="251"/>
      <c r="GO144" s="251"/>
      <c r="GP144" s="251"/>
      <c r="GQ144" s="251"/>
      <c r="GR144" s="251"/>
      <c r="GS144" s="251"/>
      <c r="GT144" s="251"/>
      <c r="GU144" s="251"/>
      <c r="GV144" s="251"/>
      <c r="GW144" s="251"/>
      <c r="GX144" s="251"/>
      <c r="GY144" s="251"/>
      <c r="GZ144" s="251"/>
      <c r="HA144" s="251"/>
      <c r="HB144" s="251"/>
      <c r="HC144" s="251"/>
      <c r="HD144" s="251"/>
      <c r="HE144" s="251"/>
      <c r="HF144" s="251"/>
      <c r="HG144" s="251"/>
      <c r="HH144" s="251"/>
      <c r="HI144" s="251"/>
      <c r="HJ144" s="251"/>
      <c r="HK144" s="251"/>
      <c r="HL144" s="251"/>
      <c r="HM144" s="251"/>
      <c r="HN144" s="251"/>
      <c r="HO144" s="251"/>
      <c r="HP144" s="251"/>
      <c r="HQ144" s="251"/>
      <c r="HR144" s="251"/>
      <c r="HS144" s="251"/>
      <c r="HT144" s="251"/>
      <c r="HU144" s="251"/>
      <c r="HV144" s="251"/>
      <c r="HW144" s="251"/>
      <c r="HX144" s="251"/>
      <c r="HY144" s="251"/>
      <c r="HZ144" s="251"/>
      <c r="IA144" s="251"/>
      <c r="IB144" s="251"/>
      <c r="IC144" s="251"/>
      <c r="ID144" s="251"/>
      <c r="IE144" s="251"/>
      <c r="IF144" s="251"/>
      <c r="IG144" s="251"/>
      <c r="IH144" s="251"/>
      <c r="II144" s="251"/>
      <c r="IJ144" s="251"/>
      <c r="IK144" s="251"/>
      <c r="IL144" s="251"/>
      <c r="IM144" s="251"/>
      <c r="IN144" s="251"/>
      <c r="IO144" s="251"/>
      <c r="IP144" s="251"/>
      <c r="IQ144" s="251"/>
      <c r="IR144" s="251"/>
      <c r="IS144" s="251"/>
      <c r="IT144" s="251"/>
      <c r="IU144" s="251"/>
      <c r="IV144" s="251"/>
      <c r="IW144" s="251"/>
      <c r="IX144" s="251"/>
      <c r="IY144" s="251"/>
      <c r="IZ144" s="251"/>
      <c r="JA144" s="251"/>
      <c r="JB144" s="251"/>
      <c r="JC144" s="251"/>
      <c r="JD144" s="251"/>
      <c r="JE144" s="251"/>
      <c r="JF144" s="251"/>
      <c r="JG144" s="251"/>
      <c r="JH144" s="251"/>
      <c r="JI144" s="251"/>
    </row>
    <row r="145" spans="1:269">
      <c r="A145" s="251"/>
      <c r="B145" s="25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1"/>
      <c r="BR145" s="251"/>
      <c r="BS145" s="251"/>
      <c r="BT145" s="251"/>
      <c r="BU145" s="251"/>
      <c r="BV145" s="251"/>
      <c r="BW145" s="251"/>
      <c r="BX145" s="251"/>
      <c r="BY145" s="251"/>
      <c r="BZ145" s="251"/>
      <c r="CA145" s="251"/>
      <c r="CB145" s="251"/>
      <c r="CC145" s="251"/>
      <c r="CD145" s="251"/>
      <c r="CE145" s="251"/>
      <c r="CF145" s="251"/>
      <c r="CG145" s="251"/>
      <c r="CH145" s="251"/>
      <c r="CI145" s="251"/>
      <c r="CJ145" s="251"/>
      <c r="CK145" s="251"/>
      <c r="CL145" s="251"/>
      <c r="CM145" s="251"/>
      <c r="CN145" s="251"/>
      <c r="CO145" s="251"/>
      <c r="CP145" s="251"/>
      <c r="CQ145" s="251"/>
      <c r="CR145" s="251"/>
      <c r="CS145" s="251"/>
      <c r="CT145" s="251"/>
      <c r="CU145" s="251"/>
      <c r="CV145" s="251"/>
      <c r="CW145" s="251"/>
      <c r="CX145" s="251"/>
      <c r="CY145" s="251"/>
      <c r="CZ145" s="251"/>
      <c r="DA145" s="251"/>
      <c r="DB145" s="251"/>
      <c r="DC145" s="251"/>
      <c r="DD145" s="251"/>
      <c r="DE145" s="251"/>
      <c r="DF145" s="251"/>
      <c r="DG145" s="251"/>
      <c r="DH145" s="251"/>
      <c r="DI145" s="251"/>
      <c r="DJ145" s="251"/>
      <c r="DK145" s="251"/>
      <c r="DL145" s="251"/>
      <c r="DM145" s="251"/>
      <c r="DN145" s="251"/>
      <c r="DO145" s="251"/>
      <c r="DP145" s="251"/>
      <c r="DQ145" s="251"/>
      <c r="DR145" s="251"/>
      <c r="DS145" s="251"/>
      <c r="DT145" s="251"/>
      <c r="DU145" s="251"/>
      <c r="DV145" s="251"/>
      <c r="DW145" s="251"/>
      <c r="DX145" s="251"/>
      <c r="DY145" s="251"/>
      <c r="DZ145" s="251"/>
      <c r="EA145" s="251"/>
      <c r="EB145" s="251"/>
      <c r="EC145" s="251"/>
      <c r="ED145" s="251"/>
      <c r="EE145" s="251"/>
      <c r="EF145" s="251"/>
      <c r="EG145" s="251"/>
      <c r="EH145" s="251"/>
      <c r="EI145" s="251"/>
      <c r="EJ145" s="251"/>
      <c r="EK145" s="251"/>
      <c r="EL145" s="251"/>
      <c r="EM145" s="251"/>
      <c r="EN145" s="251"/>
      <c r="EO145" s="251"/>
      <c r="EP145" s="251"/>
      <c r="EQ145" s="251"/>
      <c r="ER145" s="251"/>
      <c r="ES145" s="251"/>
      <c r="ET145" s="251"/>
      <c r="EU145" s="251"/>
      <c r="EV145" s="251"/>
      <c r="EW145" s="251"/>
      <c r="EX145" s="251"/>
      <c r="EY145" s="251"/>
      <c r="EZ145" s="251"/>
      <c r="FA145" s="251"/>
      <c r="FB145" s="251"/>
      <c r="FC145" s="251"/>
      <c r="FD145" s="251"/>
      <c r="FE145" s="251"/>
      <c r="FF145" s="251"/>
      <c r="FG145" s="251"/>
      <c r="FH145" s="251"/>
      <c r="FI145" s="251"/>
      <c r="FJ145" s="251"/>
      <c r="FK145" s="251"/>
      <c r="FL145" s="251"/>
      <c r="FM145" s="251"/>
      <c r="FN145" s="251"/>
      <c r="FO145" s="251"/>
      <c r="FP145" s="251"/>
      <c r="FQ145" s="251"/>
      <c r="FR145" s="251"/>
      <c r="FS145" s="251"/>
      <c r="FT145" s="251"/>
      <c r="FU145" s="251"/>
      <c r="FV145" s="251"/>
      <c r="FW145" s="251"/>
      <c r="FX145" s="251"/>
      <c r="FY145" s="251"/>
      <c r="FZ145" s="251"/>
      <c r="GA145" s="251"/>
      <c r="GB145" s="251"/>
      <c r="GC145" s="251"/>
      <c r="GD145" s="251"/>
      <c r="GE145" s="251"/>
      <c r="GF145" s="251"/>
      <c r="GG145" s="251"/>
      <c r="GH145" s="251"/>
      <c r="GI145" s="251"/>
      <c r="GJ145" s="251"/>
      <c r="GK145" s="251"/>
      <c r="GL145" s="251"/>
      <c r="GM145" s="251"/>
      <c r="GN145" s="251"/>
      <c r="GO145" s="251"/>
      <c r="GP145" s="251"/>
      <c r="GQ145" s="251"/>
      <c r="GR145" s="251"/>
      <c r="GS145" s="251"/>
      <c r="GT145" s="251"/>
      <c r="GU145" s="251"/>
      <c r="GV145" s="251"/>
      <c r="GW145" s="251"/>
      <c r="GX145" s="251"/>
      <c r="GY145" s="251"/>
      <c r="GZ145" s="251"/>
      <c r="HA145" s="251"/>
      <c r="HB145" s="251"/>
      <c r="HC145" s="251"/>
      <c r="HD145" s="251"/>
      <c r="HE145" s="251"/>
      <c r="HF145" s="251"/>
      <c r="HG145" s="251"/>
      <c r="HH145" s="251"/>
      <c r="HI145" s="251"/>
      <c r="HJ145" s="251"/>
      <c r="HK145" s="251"/>
      <c r="HL145" s="251"/>
      <c r="HM145" s="251"/>
      <c r="HN145" s="251"/>
      <c r="HO145" s="251"/>
      <c r="HP145" s="251"/>
      <c r="HQ145" s="251"/>
      <c r="HR145" s="251"/>
      <c r="HS145" s="251"/>
      <c r="HT145" s="251"/>
      <c r="HU145" s="251"/>
      <c r="HV145" s="251"/>
      <c r="HW145" s="251"/>
      <c r="HX145" s="251"/>
      <c r="HY145" s="251"/>
      <c r="HZ145" s="251"/>
      <c r="IA145" s="251"/>
      <c r="IB145" s="251"/>
      <c r="IC145" s="251"/>
      <c r="ID145" s="251"/>
      <c r="IE145" s="251"/>
      <c r="IF145" s="251"/>
      <c r="IG145" s="251"/>
      <c r="IH145" s="251"/>
      <c r="II145" s="251"/>
      <c r="IJ145" s="251"/>
      <c r="IK145" s="251"/>
      <c r="IL145" s="251"/>
      <c r="IM145" s="251"/>
      <c r="IN145" s="251"/>
      <c r="IO145" s="251"/>
      <c r="IP145" s="251"/>
      <c r="IQ145" s="251"/>
      <c r="IR145" s="251"/>
      <c r="IS145" s="251"/>
      <c r="IT145" s="251"/>
      <c r="IU145" s="251"/>
      <c r="IV145" s="251"/>
      <c r="IW145" s="251"/>
      <c r="IX145" s="251"/>
      <c r="IY145" s="251"/>
      <c r="IZ145" s="251"/>
      <c r="JA145" s="251"/>
      <c r="JB145" s="251"/>
      <c r="JC145" s="251"/>
      <c r="JD145" s="251"/>
      <c r="JE145" s="251"/>
      <c r="JF145" s="251"/>
      <c r="JG145" s="251"/>
      <c r="JH145" s="251"/>
      <c r="JI145" s="251"/>
    </row>
    <row r="146" spans="1:269">
      <c r="A146" s="251"/>
      <c r="B146" s="251"/>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51"/>
      <c r="AY146" s="251"/>
      <c r="AZ146" s="251"/>
      <c r="BA146" s="251"/>
      <c r="BB146" s="251"/>
      <c r="BC146" s="251"/>
      <c r="BD146" s="251"/>
      <c r="BE146" s="251"/>
      <c r="BF146" s="251"/>
      <c r="BG146" s="251"/>
      <c r="BH146" s="251"/>
      <c r="BI146" s="251"/>
      <c r="BJ146" s="251"/>
      <c r="BK146" s="251"/>
      <c r="BL146" s="251"/>
      <c r="BM146" s="251"/>
      <c r="BN146" s="251"/>
      <c r="BO146" s="251"/>
      <c r="BP146" s="251"/>
      <c r="BQ146" s="251"/>
      <c r="BR146" s="251"/>
      <c r="BS146" s="251"/>
      <c r="BT146" s="251"/>
      <c r="BU146" s="251"/>
      <c r="BV146" s="251"/>
      <c r="BW146" s="251"/>
      <c r="BX146" s="251"/>
      <c r="BY146" s="251"/>
      <c r="BZ146" s="251"/>
      <c r="CA146" s="251"/>
      <c r="CB146" s="251"/>
      <c r="CC146" s="251"/>
      <c r="CD146" s="251"/>
      <c r="CE146" s="251"/>
      <c r="CF146" s="251"/>
      <c r="CG146" s="251"/>
      <c r="CH146" s="251"/>
      <c r="CI146" s="251"/>
      <c r="CJ146" s="251"/>
      <c r="CK146" s="251"/>
      <c r="CL146" s="251"/>
      <c r="CM146" s="251"/>
      <c r="CN146" s="251"/>
      <c r="CO146" s="251"/>
      <c r="CP146" s="251"/>
      <c r="CQ146" s="251"/>
      <c r="CR146" s="251"/>
      <c r="CS146" s="251"/>
      <c r="CT146" s="251"/>
      <c r="CU146" s="251"/>
      <c r="CV146" s="251"/>
      <c r="CW146" s="251"/>
      <c r="CX146" s="251"/>
      <c r="CY146" s="251"/>
      <c r="CZ146" s="251"/>
      <c r="DA146" s="251"/>
      <c r="DB146" s="251"/>
      <c r="DC146" s="251"/>
      <c r="DD146" s="251"/>
      <c r="DE146" s="251"/>
      <c r="DF146" s="251"/>
      <c r="DG146" s="251"/>
      <c r="DH146" s="251"/>
      <c r="DI146" s="251"/>
      <c r="DJ146" s="251"/>
      <c r="DK146" s="251"/>
      <c r="DL146" s="251"/>
      <c r="DM146" s="251"/>
      <c r="DN146" s="251"/>
      <c r="DO146" s="251"/>
      <c r="DP146" s="251"/>
      <c r="DQ146" s="251"/>
      <c r="DR146" s="251"/>
      <c r="DS146" s="251"/>
      <c r="DT146" s="251"/>
      <c r="DU146" s="251"/>
      <c r="DV146" s="251"/>
      <c r="DW146" s="251"/>
      <c r="DX146" s="251"/>
      <c r="DY146" s="251"/>
      <c r="DZ146" s="251"/>
      <c r="EA146" s="251"/>
      <c r="EB146" s="251"/>
      <c r="EC146" s="251"/>
      <c r="ED146" s="251"/>
      <c r="EE146" s="251"/>
      <c r="EF146" s="251"/>
      <c r="EG146" s="251"/>
      <c r="EH146" s="251"/>
      <c r="EI146" s="251"/>
      <c r="EJ146" s="251"/>
      <c r="EK146" s="251"/>
      <c r="EL146" s="251"/>
      <c r="EM146" s="251"/>
      <c r="EN146" s="251"/>
      <c r="EO146" s="251"/>
      <c r="EP146" s="251"/>
      <c r="EQ146" s="251"/>
      <c r="ER146" s="251"/>
      <c r="ES146" s="251"/>
      <c r="ET146" s="251"/>
      <c r="EU146" s="251"/>
      <c r="EV146" s="251"/>
      <c r="EW146" s="251"/>
      <c r="EX146" s="251"/>
      <c r="EY146" s="251"/>
      <c r="EZ146" s="251"/>
      <c r="FA146" s="251"/>
      <c r="FB146" s="251"/>
      <c r="FC146" s="251"/>
      <c r="FD146" s="251"/>
      <c r="FE146" s="251"/>
      <c r="FF146" s="251"/>
      <c r="FG146" s="251"/>
      <c r="FH146" s="251"/>
      <c r="FI146" s="251"/>
      <c r="FJ146" s="251"/>
      <c r="FK146" s="251"/>
      <c r="FL146" s="251"/>
      <c r="FM146" s="251"/>
      <c r="FN146" s="251"/>
      <c r="FO146" s="251"/>
      <c r="FP146" s="251"/>
      <c r="FQ146" s="251"/>
      <c r="FR146" s="251"/>
      <c r="FS146" s="251"/>
      <c r="FT146" s="251"/>
      <c r="FU146" s="251"/>
      <c r="FV146" s="251"/>
      <c r="FW146" s="251"/>
      <c r="FX146" s="251"/>
      <c r="FY146" s="251"/>
      <c r="FZ146" s="251"/>
      <c r="GA146" s="251"/>
      <c r="GB146" s="251"/>
      <c r="GC146" s="251"/>
      <c r="GD146" s="251"/>
      <c r="GE146" s="251"/>
      <c r="GF146" s="251"/>
      <c r="GG146" s="251"/>
      <c r="GH146" s="251"/>
      <c r="GI146" s="251"/>
      <c r="GJ146" s="251"/>
      <c r="GK146" s="251"/>
      <c r="GL146" s="251"/>
      <c r="GM146" s="251"/>
      <c r="GN146" s="251"/>
      <c r="GO146" s="251"/>
      <c r="GP146" s="251"/>
      <c r="GQ146" s="251"/>
      <c r="GR146" s="251"/>
      <c r="GS146" s="251"/>
      <c r="GT146" s="251"/>
      <c r="GU146" s="251"/>
      <c r="GV146" s="251"/>
      <c r="GW146" s="251"/>
      <c r="GX146" s="251"/>
      <c r="GY146" s="251"/>
      <c r="GZ146" s="251"/>
      <c r="HA146" s="251"/>
      <c r="HB146" s="251"/>
      <c r="HC146" s="251"/>
      <c r="HD146" s="251"/>
      <c r="HE146" s="251"/>
      <c r="HF146" s="251"/>
      <c r="HG146" s="251"/>
      <c r="HH146" s="251"/>
      <c r="HI146" s="251"/>
      <c r="HJ146" s="251"/>
      <c r="HK146" s="251"/>
      <c r="HL146" s="251"/>
      <c r="HM146" s="251"/>
      <c r="HN146" s="251"/>
      <c r="HO146" s="251"/>
      <c r="HP146" s="251"/>
      <c r="HQ146" s="251"/>
      <c r="HR146" s="251"/>
      <c r="HS146" s="251"/>
      <c r="HT146" s="251"/>
      <c r="HU146" s="251"/>
      <c r="HV146" s="251"/>
      <c r="HW146" s="251"/>
      <c r="HX146" s="251"/>
      <c r="HY146" s="251"/>
      <c r="HZ146" s="251"/>
      <c r="IA146" s="251"/>
      <c r="IB146" s="251"/>
      <c r="IC146" s="251"/>
      <c r="ID146" s="251"/>
      <c r="IE146" s="251"/>
      <c r="IF146" s="251"/>
      <c r="IG146" s="251"/>
      <c r="IH146" s="251"/>
      <c r="II146" s="251"/>
      <c r="IJ146" s="251"/>
      <c r="IK146" s="251"/>
      <c r="IL146" s="251"/>
      <c r="IM146" s="251"/>
      <c r="IN146" s="251"/>
      <c r="IO146" s="251"/>
      <c r="IP146" s="251"/>
      <c r="IQ146" s="251"/>
      <c r="IR146" s="251"/>
      <c r="IS146" s="251"/>
      <c r="IT146" s="251"/>
      <c r="IU146" s="251"/>
      <c r="IV146" s="251"/>
      <c r="IW146" s="251"/>
      <c r="IX146" s="251"/>
      <c r="IY146" s="251"/>
      <c r="IZ146" s="251"/>
      <c r="JA146" s="251"/>
      <c r="JB146" s="251"/>
      <c r="JC146" s="251"/>
      <c r="JD146" s="251"/>
      <c r="JE146" s="251"/>
      <c r="JF146" s="251"/>
      <c r="JG146" s="251"/>
      <c r="JH146" s="251"/>
      <c r="JI146" s="251"/>
    </row>
    <row r="147" spans="1:269">
      <c r="A147" s="251"/>
      <c r="B147" s="251"/>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1"/>
      <c r="AZ147" s="251"/>
      <c r="BA147" s="251"/>
      <c r="BB147" s="251"/>
      <c r="BC147" s="251"/>
      <c r="BD147" s="251"/>
      <c r="BE147" s="251"/>
      <c r="BF147" s="251"/>
      <c r="BG147" s="251"/>
      <c r="BH147" s="251"/>
      <c r="BI147" s="251"/>
      <c r="BJ147" s="251"/>
      <c r="BK147" s="251"/>
      <c r="BL147" s="251"/>
      <c r="BM147" s="251"/>
      <c r="BN147" s="251"/>
      <c r="BO147" s="251"/>
      <c r="BP147" s="251"/>
      <c r="BQ147" s="251"/>
      <c r="BR147" s="251"/>
      <c r="BS147" s="251"/>
      <c r="BT147" s="251"/>
      <c r="BU147" s="251"/>
      <c r="BV147" s="251"/>
      <c r="BW147" s="251"/>
      <c r="BX147" s="251"/>
      <c r="BY147" s="251"/>
      <c r="BZ147" s="251"/>
      <c r="CA147" s="251"/>
      <c r="CB147" s="251"/>
      <c r="CC147" s="251"/>
      <c r="CD147" s="251"/>
      <c r="CE147" s="251"/>
      <c r="CF147" s="251"/>
      <c r="CG147" s="251"/>
      <c r="CH147" s="251"/>
      <c r="CI147" s="251"/>
      <c r="CJ147" s="251"/>
      <c r="CK147" s="251"/>
      <c r="CL147" s="251"/>
      <c r="CM147" s="251"/>
      <c r="CN147" s="251"/>
      <c r="CO147" s="251"/>
      <c r="CP147" s="251"/>
      <c r="CQ147" s="251"/>
      <c r="CR147" s="251"/>
      <c r="CS147" s="251"/>
      <c r="CT147" s="251"/>
      <c r="CU147" s="251"/>
      <c r="CV147" s="251"/>
      <c r="CW147" s="251"/>
      <c r="CX147" s="251"/>
      <c r="CY147" s="251"/>
      <c r="CZ147" s="251"/>
      <c r="DA147" s="251"/>
      <c r="DB147" s="251"/>
      <c r="DC147" s="251"/>
      <c r="DD147" s="251"/>
      <c r="DE147" s="251"/>
      <c r="DF147" s="251"/>
      <c r="DG147" s="251"/>
      <c r="DH147" s="251"/>
      <c r="DI147" s="251"/>
      <c r="DJ147" s="251"/>
      <c r="DK147" s="251"/>
      <c r="DL147" s="251"/>
      <c r="DM147" s="251"/>
      <c r="DN147" s="251"/>
      <c r="DO147" s="251"/>
      <c r="DP147" s="251"/>
      <c r="DQ147" s="251"/>
      <c r="DR147" s="251"/>
      <c r="DS147" s="251"/>
      <c r="DT147" s="251"/>
      <c r="DU147" s="251"/>
      <c r="DV147" s="251"/>
      <c r="DW147" s="251"/>
      <c r="DX147" s="251"/>
      <c r="DY147" s="251"/>
      <c r="DZ147" s="251"/>
      <c r="EA147" s="251"/>
      <c r="EB147" s="251"/>
      <c r="EC147" s="251"/>
      <c r="ED147" s="251"/>
      <c r="EE147" s="251"/>
      <c r="EF147" s="251"/>
      <c r="EG147" s="251"/>
      <c r="EH147" s="251"/>
      <c r="EI147" s="251"/>
      <c r="EJ147" s="251"/>
      <c r="EK147" s="251"/>
      <c r="EL147" s="251"/>
      <c r="EM147" s="251"/>
      <c r="EN147" s="251"/>
      <c r="EO147" s="251"/>
      <c r="EP147" s="251"/>
      <c r="EQ147" s="251"/>
      <c r="ER147" s="251"/>
      <c r="ES147" s="251"/>
      <c r="ET147" s="251"/>
      <c r="EU147" s="251"/>
      <c r="EV147" s="251"/>
      <c r="EW147" s="251"/>
      <c r="EX147" s="251"/>
      <c r="EY147" s="251"/>
      <c r="EZ147" s="251"/>
      <c r="FA147" s="251"/>
      <c r="FB147" s="251"/>
      <c r="FC147" s="251"/>
      <c r="FD147" s="251"/>
      <c r="FE147" s="251"/>
      <c r="FF147" s="251"/>
      <c r="FG147" s="251"/>
      <c r="FH147" s="251"/>
      <c r="FI147" s="251"/>
      <c r="FJ147" s="251"/>
      <c r="FK147" s="251"/>
      <c r="FL147" s="251"/>
      <c r="FM147" s="251"/>
      <c r="FN147" s="251"/>
      <c r="FO147" s="251"/>
      <c r="FP147" s="251"/>
      <c r="FQ147" s="251"/>
      <c r="FR147" s="251"/>
      <c r="FS147" s="251"/>
      <c r="FT147" s="251"/>
      <c r="FU147" s="251"/>
      <c r="FV147" s="251"/>
      <c r="FW147" s="251"/>
      <c r="FX147" s="251"/>
      <c r="FY147" s="251"/>
      <c r="FZ147" s="251"/>
      <c r="GA147" s="251"/>
      <c r="GB147" s="251"/>
      <c r="GC147" s="251"/>
      <c r="GD147" s="251"/>
      <c r="GE147" s="251"/>
      <c r="GF147" s="251"/>
      <c r="GG147" s="251"/>
      <c r="GH147" s="251"/>
      <c r="GI147" s="251"/>
      <c r="GJ147" s="251"/>
      <c r="GK147" s="251"/>
      <c r="GL147" s="251"/>
      <c r="GM147" s="251"/>
      <c r="GN147" s="251"/>
      <c r="GO147" s="251"/>
      <c r="GP147" s="251"/>
      <c r="GQ147" s="251"/>
      <c r="GR147" s="251"/>
      <c r="GS147" s="251"/>
      <c r="GT147" s="251"/>
      <c r="GU147" s="251"/>
      <c r="GV147" s="251"/>
      <c r="GW147" s="251"/>
      <c r="GX147" s="251"/>
      <c r="GY147" s="251"/>
      <c r="GZ147" s="251"/>
      <c r="HA147" s="251"/>
      <c r="HB147" s="251"/>
      <c r="HC147" s="251"/>
      <c r="HD147" s="251"/>
      <c r="HE147" s="251"/>
      <c r="HF147" s="251"/>
      <c r="HG147" s="251"/>
      <c r="HH147" s="251"/>
      <c r="HI147" s="251"/>
      <c r="HJ147" s="251"/>
      <c r="HK147" s="251"/>
      <c r="HL147" s="251"/>
      <c r="HM147" s="251"/>
      <c r="HN147" s="251"/>
      <c r="HO147" s="251"/>
      <c r="HP147" s="251"/>
      <c r="HQ147" s="251"/>
      <c r="HR147" s="251"/>
      <c r="HS147" s="251"/>
      <c r="HT147" s="251"/>
      <c r="HU147" s="251"/>
      <c r="HV147" s="251"/>
      <c r="HW147" s="251"/>
      <c r="HX147" s="251"/>
      <c r="HY147" s="251"/>
      <c r="HZ147" s="251"/>
      <c r="IA147" s="251"/>
      <c r="IB147" s="251"/>
      <c r="IC147" s="251"/>
      <c r="ID147" s="251"/>
      <c r="IE147" s="251"/>
      <c r="IF147" s="251"/>
      <c r="IG147" s="251"/>
      <c r="IH147" s="251"/>
      <c r="II147" s="251"/>
      <c r="IJ147" s="251"/>
      <c r="IK147" s="251"/>
      <c r="IL147" s="251"/>
      <c r="IM147" s="251"/>
      <c r="IN147" s="251"/>
      <c r="IO147" s="251"/>
      <c r="IP147" s="251"/>
      <c r="IQ147" s="251"/>
      <c r="IR147" s="251"/>
      <c r="IS147" s="251"/>
      <c r="IT147" s="251"/>
      <c r="IU147" s="251"/>
      <c r="IV147" s="251"/>
      <c r="IW147" s="251"/>
      <c r="IX147" s="251"/>
      <c r="IY147" s="251"/>
      <c r="IZ147" s="251"/>
      <c r="JA147" s="251"/>
      <c r="JB147" s="251"/>
      <c r="JC147" s="251"/>
      <c r="JD147" s="251"/>
      <c r="JE147" s="251"/>
      <c r="JF147" s="251"/>
      <c r="JG147" s="251"/>
      <c r="JH147" s="251"/>
      <c r="JI147" s="251"/>
    </row>
    <row r="148" spans="1:269">
      <c r="A148" s="251"/>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1"/>
      <c r="BH148" s="251"/>
      <c r="BI148" s="251"/>
      <c r="BJ148" s="251"/>
      <c r="BK148" s="251"/>
      <c r="BL148" s="251"/>
      <c r="BM148" s="251"/>
      <c r="BN148" s="251"/>
      <c r="BO148" s="251"/>
      <c r="BP148" s="251"/>
      <c r="BQ148" s="251"/>
      <c r="BR148" s="251"/>
      <c r="BS148" s="251"/>
      <c r="BT148" s="251"/>
      <c r="BU148" s="251"/>
      <c r="BV148" s="251"/>
      <c r="BW148" s="251"/>
      <c r="BX148" s="251"/>
      <c r="BY148" s="251"/>
      <c r="BZ148" s="251"/>
      <c r="CA148" s="251"/>
      <c r="CB148" s="251"/>
      <c r="CC148" s="251"/>
      <c r="CD148" s="251"/>
      <c r="CE148" s="251"/>
      <c r="CF148" s="251"/>
      <c r="CG148" s="251"/>
      <c r="CH148" s="251"/>
      <c r="CI148" s="251"/>
      <c r="CJ148" s="251"/>
      <c r="CK148" s="251"/>
      <c r="CL148" s="251"/>
      <c r="CM148" s="251"/>
      <c r="CN148" s="251"/>
      <c r="CO148" s="251"/>
      <c r="CP148" s="251"/>
      <c r="CQ148" s="251"/>
      <c r="CR148" s="251"/>
      <c r="CS148" s="251"/>
      <c r="CT148" s="251"/>
      <c r="CU148" s="251"/>
      <c r="CV148" s="251"/>
      <c r="CW148" s="251"/>
      <c r="CX148" s="251"/>
      <c r="CY148" s="251"/>
      <c r="CZ148" s="251"/>
      <c r="DA148" s="251"/>
      <c r="DB148" s="251"/>
      <c r="DC148" s="251"/>
      <c r="DD148" s="251"/>
      <c r="DE148" s="251"/>
      <c r="DF148" s="251"/>
      <c r="DG148" s="251"/>
      <c r="DH148" s="251"/>
      <c r="DI148" s="251"/>
      <c r="DJ148" s="251"/>
      <c r="DK148" s="251"/>
      <c r="DL148" s="251"/>
      <c r="DM148" s="251"/>
      <c r="DN148" s="251"/>
      <c r="DO148" s="251"/>
      <c r="DP148" s="251"/>
      <c r="DQ148" s="251"/>
      <c r="DR148" s="251"/>
      <c r="DS148" s="251"/>
      <c r="DT148" s="251"/>
      <c r="DU148" s="251"/>
      <c r="DV148" s="251"/>
      <c r="DW148" s="251"/>
      <c r="DX148" s="251"/>
      <c r="DY148" s="251"/>
      <c r="DZ148" s="251"/>
      <c r="EA148" s="251"/>
      <c r="EB148" s="251"/>
      <c r="EC148" s="251"/>
      <c r="ED148" s="251"/>
      <c r="EE148" s="251"/>
      <c r="EF148" s="251"/>
      <c r="EG148" s="251"/>
      <c r="EH148" s="251"/>
      <c r="EI148" s="251"/>
      <c r="EJ148" s="251"/>
      <c r="EK148" s="251"/>
      <c r="EL148" s="251"/>
      <c r="EM148" s="251"/>
      <c r="EN148" s="251"/>
      <c r="EO148" s="251"/>
      <c r="EP148" s="251"/>
      <c r="EQ148" s="251"/>
      <c r="ER148" s="251"/>
      <c r="ES148" s="251"/>
      <c r="ET148" s="251"/>
      <c r="EU148" s="251"/>
      <c r="EV148" s="251"/>
      <c r="EW148" s="251"/>
      <c r="EX148" s="251"/>
      <c r="EY148" s="251"/>
      <c r="EZ148" s="251"/>
      <c r="FA148" s="251"/>
      <c r="FB148" s="251"/>
      <c r="FC148" s="251"/>
      <c r="FD148" s="251"/>
      <c r="FE148" s="251"/>
      <c r="FF148" s="251"/>
      <c r="FG148" s="251"/>
      <c r="FH148" s="251"/>
      <c r="FI148" s="251"/>
      <c r="FJ148" s="251"/>
      <c r="FK148" s="251"/>
      <c r="FL148" s="251"/>
      <c r="FM148" s="251"/>
      <c r="FN148" s="251"/>
      <c r="FO148" s="251"/>
      <c r="FP148" s="251"/>
      <c r="FQ148" s="251"/>
      <c r="FR148" s="251"/>
      <c r="FS148" s="251"/>
      <c r="FT148" s="251"/>
      <c r="FU148" s="251"/>
      <c r="FV148" s="251"/>
      <c r="FW148" s="251"/>
      <c r="FX148" s="251"/>
      <c r="FY148" s="251"/>
      <c r="FZ148" s="251"/>
      <c r="GA148" s="251"/>
      <c r="GB148" s="251"/>
      <c r="GC148" s="251"/>
      <c r="GD148" s="251"/>
      <c r="GE148" s="251"/>
      <c r="GF148" s="251"/>
      <c r="GG148" s="251"/>
      <c r="GH148" s="251"/>
      <c r="GI148" s="251"/>
      <c r="GJ148" s="251"/>
      <c r="GK148" s="251"/>
      <c r="GL148" s="251"/>
      <c r="GM148" s="251"/>
      <c r="GN148" s="251"/>
      <c r="GO148" s="251"/>
      <c r="GP148" s="251"/>
      <c r="GQ148" s="251"/>
      <c r="GR148" s="251"/>
      <c r="GS148" s="251"/>
      <c r="GT148" s="251"/>
      <c r="GU148" s="251"/>
      <c r="GV148" s="251"/>
      <c r="GW148" s="251"/>
      <c r="GX148" s="251"/>
      <c r="GY148" s="251"/>
      <c r="GZ148" s="251"/>
      <c r="HA148" s="251"/>
      <c r="HB148" s="251"/>
      <c r="HC148" s="251"/>
      <c r="HD148" s="251"/>
      <c r="HE148" s="251"/>
      <c r="HF148" s="251"/>
      <c r="HG148" s="251"/>
      <c r="HH148" s="251"/>
      <c r="HI148" s="251"/>
      <c r="HJ148" s="251"/>
      <c r="HK148" s="251"/>
      <c r="HL148" s="251"/>
      <c r="HM148" s="251"/>
      <c r="HN148" s="251"/>
      <c r="HO148" s="251"/>
      <c r="HP148" s="251"/>
      <c r="HQ148" s="251"/>
      <c r="HR148" s="251"/>
      <c r="HS148" s="251"/>
      <c r="HT148" s="251"/>
      <c r="HU148" s="251"/>
      <c r="HV148" s="251"/>
      <c r="HW148" s="251"/>
      <c r="HX148" s="251"/>
      <c r="HY148" s="251"/>
      <c r="HZ148" s="251"/>
      <c r="IA148" s="251"/>
      <c r="IB148" s="251"/>
      <c r="IC148" s="251"/>
      <c r="ID148" s="251"/>
      <c r="IE148" s="251"/>
      <c r="IF148" s="251"/>
      <c r="IG148" s="251"/>
      <c r="IH148" s="251"/>
      <c r="II148" s="251"/>
      <c r="IJ148" s="251"/>
      <c r="IK148" s="251"/>
      <c r="IL148" s="251"/>
      <c r="IM148" s="251"/>
      <c r="IN148" s="251"/>
      <c r="IO148" s="251"/>
      <c r="IP148" s="251"/>
      <c r="IQ148" s="251"/>
      <c r="IR148" s="251"/>
      <c r="IS148" s="251"/>
      <c r="IT148" s="251"/>
      <c r="IU148" s="251"/>
      <c r="IV148" s="251"/>
      <c r="IW148" s="251"/>
      <c r="IX148" s="251"/>
      <c r="IY148" s="251"/>
      <c r="IZ148" s="251"/>
      <c r="JA148" s="251"/>
      <c r="JB148" s="251"/>
      <c r="JC148" s="251"/>
      <c r="JD148" s="251"/>
      <c r="JE148" s="251"/>
      <c r="JF148" s="251"/>
      <c r="JG148" s="251"/>
      <c r="JH148" s="251"/>
      <c r="JI148" s="251"/>
    </row>
    <row r="149" spans="1:269">
      <c r="A149" s="251"/>
      <c r="B149" s="251"/>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1"/>
      <c r="BH149" s="251"/>
      <c r="BI149" s="251"/>
      <c r="BJ149" s="251"/>
      <c r="BK149" s="251"/>
      <c r="BL149" s="251"/>
      <c r="BM149" s="251"/>
      <c r="BN149" s="251"/>
      <c r="BO149" s="251"/>
      <c r="BP149" s="251"/>
      <c r="BQ149" s="251"/>
      <c r="BR149" s="251"/>
      <c r="BS149" s="251"/>
      <c r="BT149" s="251"/>
      <c r="BU149" s="251"/>
      <c r="BV149" s="251"/>
      <c r="BW149" s="251"/>
      <c r="BX149" s="251"/>
      <c r="BY149" s="251"/>
      <c r="BZ149" s="251"/>
      <c r="CA149" s="251"/>
      <c r="CB149" s="251"/>
      <c r="CC149" s="251"/>
      <c r="CD149" s="251"/>
      <c r="CE149" s="251"/>
      <c r="CF149" s="251"/>
      <c r="CG149" s="251"/>
      <c r="CH149" s="251"/>
      <c r="CI149" s="251"/>
      <c r="CJ149" s="251"/>
      <c r="CK149" s="251"/>
      <c r="CL149" s="251"/>
      <c r="CM149" s="251"/>
      <c r="CN149" s="251"/>
      <c r="CO149" s="251"/>
      <c r="CP149" s="251"/>
      <c r="CQ149" s="251"/>
      <c r="CR149" s="251"/>
      <c r="CS149" s="251"/>
      <c r="CT149" s="251"/>
      <c r="CU149" s="251"/>
      <c r="CV149" s="251"/>
      <c r="CW149" s="251"/>
      <c r="CX149" s="251"/>
      <c r="CY149" s="251"/>
      <c r="CZ149" s="251"/>
      <c r="DA149" s="251"/>
      <c r="DB149" s="251"/>
      <c r="DC149" s="251"/>
      <c r="DD149" s="251"/>
      <c r="DE149" s="251"/>
      <c r="DF149" s="251"/>
      <c r="DG149" s="251"/>
      <c r="DH149" s="251"/>
      <c r="DI149" s="251"/>
      <c r="DJ149" s="251"/>
      <c r="DK149" s="251"/>
      <c r="DL149" s="251"/>
      <c r="DM149" s="251"/>
      <c r="DN149" s="251"/>
      <c r="DO149" s="251"/>
      <c r="DP149" s="251"/>
      <c r="DQ149" s="251"/>
      <c r="DR149" s="251"/>
      <c r="DS149" s="251"/>
      <c r="DT149" s="251"/>
      <c r="DU149" s="251"/>
      <c r="DV149" s="251"/>
      <c r="DW149" s="251"/>
      <c r="DX149" s="251"/>
      <c r="DY149" s="251"/>
      <c r="DZ149" s="251"/>
      <c r="EA149" s="251"/>
      <c r="EB149" s="251"/>
      <c r="EC149" s="251"/>
      <c r="ED149" s="251"/>
      <c r="EE149" s="251"/>
      <c r="EF149" s="251"/>
      <c r="EG149" s="251"/>
      <c r="EH149" s="251"/>
      <c r="EI149" s="251"/>
      <c r="EJ149" s="251"/>
      <c r="EK149" s="251"/>
      <c r="EL149" s="251"/>
      <c r="EM149" s="251"/>
      <c r="EN149" s="251"/>
      <c r="EO149" s="251"/>
      <c r="EP149" s="251"/>
      <c r="EQ149" s="251"/>
      <c r="ER149" s="251"/>
      <c r="ES149" s="251"/>
      <c r="ET149" s="251"/>
      <c r="EU149" s="251"/>
      <c r="EV149" s="251"/>
      <c r="EW149" s="251"/>
      <c r="EX149" s="251"/>
      <c r="EY149" s="251"/>
      <c r="EZ149" s="251"/>
      <c r="FA149" s="251"/>
      <c r="FB149" s="251"/>
      <c r="FC149" s="251"/>
      <c r="FD149" s="251"/>
      <c r="FE149" s="251"/>
      <c r="FF149" s="251"/>
      <c r="FG149" s="251"/>
      <c r="FH149" s="251"/>
      <c r="FI149" s="251"/>
      <c r="FJ149" s="251"/>
      <c r="FK149" s="251"/>
      <c r="FL149" s="251"/>
      <c r="FM149" s="251"/>
      <c r="FN149" s="251"/>
      <c r="FO149" s="251"/>
      <c r="FP149" s="251"/>
      <c r="FQ149" s="251"/>
      <c r="FR149" s="251"/>
      <c r="FS149" s="251"/>
      <c r="FT149" s="251"/>
      <c r="FU149" s="251"/>
      <c r="FV149" s="251"/>
      <c r="FW149" s="251"/>
      <c r="FX149" s="251"/>
      <c r="FY149" s="251"/>
      <c r="FZ149" s="251"/>
      <c r="GA149" s="251"/>
      <c r="GB149" s="251"/>
      <c r="GC149" s="251"/>
      <c r="GD149" s="251"/>
      <c r="GE149" s="251"/>
      <c r="GF149" s="251"/>
      <c r="GG149" s="251"/>
      <c r="GH149" s="251"/>
      <c r="GI149" s="251"/>
      <c r="GJ149" s="251"/>
      <c r="GK149" s="251"/>
      <c r="GL149" s="251"/>
      <c r="GM149" s="251"/>
      <c r="GN149" s="251"/>
      <c r="GO149" s="251"/>
      <c r="GP149" s="251"/>
      <c r="GQ149" s="251"/>
      <c r="GR149" s="251"/>
      <c r="GS149" s="251"/>
      <c r="GT149" s="251"/>
      <c r="GU149" s="251"/>
      <c r="GV149" s="251"/>
      <c r="GW149" s="251"/>
      <c r="GX149" s="251"/>
      <c r="GY149" s="251"/>
      <c r="GZ149" s="251"/>
      <c r="HA149" s="251"/>
      <c r="HB149" s="251"/>
      <c r="HC149" s="251"/>
      <c r="HD149" s="251"/>
      <c r="HE149" s="251"/>
      <c r="HF149" s="251"/>
      <c r="HG149" s="251"/>
      <c r="HH149" s="251"/>
      <c r="HI149" s="251"/>
      <c r="HJ149" s="251"/>
      <c r="HK149" s="251"/>
      <c r="HL149" s="251"/>
      <c r="HM149" s="251"/>
      <c r="HN149" s="251"/>
      <c r="HO149" s="251"/>
      <c r="HP149" s="251"/>
      <c r="HQ149" s="251"/>
      <c r="HR149" s="251"/>
      <c r="HS149" s="251"/>
      <c r="HT149" s="251"/>
      <c r="HU149" s="251"/>
      <c r="HV149" s="251"/>
      <c r="HW149" s="251"/>
      <c r="HX149" s="251"/>
      <c r="HY149" s="251"/>
      <c r="HZ149" s="251"/>
      <c r="IA149" s="251"/>
      <c r="IB149" s="251"/>
      <c r="IC149" s="251"/>
      <c r="ID149" s="251"/>
      <c r="IE149" s="251"/>
      <c r="IF149" s="251"/>
      <c r="IG149" s="251"/>
      <c r="IH149" s="251"/>
      <c r="II149" s="251"/>
      <c r="IJ149" s="251"/>
      <c r="IK149" s="251"/>
      <c r="IL149" s="251"/>
      <c r="IM149" s="251"/>
      <c r="IN149" s="251"/>
      <c r="IO149" s="251"/>
      <c r="IP149" s="251"/>
      <c r="IQ149" s="251"/>
      <c r="IR149" s="251"/>
      <c r="IS149" s="251"/>
      <c r="IT149" s="251"/>
      <c r="IU149" s="251"/>
      <c r="IV149" s="251"/>
      <c r="IW149" s="251"/>
      <c r="IX149" s="251"/>
      <c r="IY149" s="251"/>
      <c r="IZ149" s="251"/>
      <c r="JA149" s="251"/>
      <c r="JB149" s="251"/>
      <c r="JC149" s="251"/>
      <c r="JD149" s="251"/>
      <c r="JE149" s="251"/>
      <c r="JF149" s="251"/>
      <c r="JG149" s="251"/>
      <c r="JH149" s="251"/>
      <c r="JI149" s="251"/>
    </row>
    <row r="150" spans="1:269">
      <c r="A150" s="251"/>
      <c r="B150" s="251"/>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c r="BF150" s="251"/>
      <c r="BG150" s="251"/>
      <c r="BH150" s="251"/>
      <c r="BI150" s="251"/>
      <c r="BJ150" s="251"/>
      <c r="BK150" s="251"/>
      <c r="BL150" s="251"/>
      <c r="BM150" s="251"/>
      <c r="BN150" s="251"/>
      <c r="BO150" s="251"/>
      <c r="BP150" s="251"/>
      <c r="BQ150" s="251"/>
      <c r="BR150" s="251"/>
      <c r="BS150" s="251"/>
      <c r="BT150" s="251"/>
      <c r="BU150" s="251"/>
      <c r="BV150" s="251"/>
      <c r="BW150" s="251"/>
      <c r="BX150" s="251"/>
      <c r="BY150" s="251"/>
      <c r="BZ150" s="251"/>
      <c r="CA150" s="251"/>
      <c r="CB150" s="251"/>
      <c r="CC150" s="251"/>
      <c r="CD150" s="251"/>
      <c r="CE150" s="251"/>
      <c r="CF150" s="251"/>
      <c r="CG150" s="251"/>
      <c r="CH150" s="251"/>
      <c r="CI150" s="251"/>
      <c r="CJ150" s="251"/>
      <c r="CK150" s="251"/>
      <c r="CL150" s="251"/>
      <c r="CM150" s="251"/>
      <c r="CN150" s="251"/>
      <c r="CO150" s="251"/>
      <c r="CP150" s="251"/>
      <c r="CQ150" s="251"/>
      <c r="CR150" s="251"/>
      <c r="CS150" s="251"/>
      <c r="CT150" s="251"/>
      <c r="CU150" s="251"/>
      <c r="CV150" s="251"/>
      <c r="CW150" s="251"/>
      <c r="CX150" s="251"/>
      <c r="CY150" s="251"/>
      <c r="CZ150" s="251"/>
      <c r="DA150" s="251"/>
      <c r="DB150" s="251"/>
      <c r="DC150" s="251"/>
      <c r="DD150" s="251"/>
      <c r="DE150" s="251"/>
      <c r="DF150" s="251"/>
      <c r="DG150" s="251"/>
      <c r="DH150" s="251"/>
      <c r="DI150" s="251"/>
      <c r="DJ150" s="251"/>
      <c r="DK150" s="251"/>
      <c r="DL150" s="251"/>
      <c r="DM150" s="251"/>
      <c r="DN150" s="251"/>
      <c r="DO150" s="251"/>
      <c r="DP150" s="251"/>
      <c r="DQ150" s="251"/>
      <c r="DR150" s="251"/>
      <c r="DS150" s="251"/>
      <c r="DT150" s="251"/>
      <c r="DU150" s="251"/>
      <c r="DV150" s="251"/>
      <c r="DW150" s="251"/>
      <c r="DX150" s="251"/>
      <c r="DY150" s="251"/>
      <c r="DZ150" s="251"/>
      <c r="EA150" s="251"/>
      <c r="EB150" s="251"/>
      <c r="EC150" s="251"/>
      <c r="ED150" s="251"/>
      <c r="EE150" s="251"/>
      <c r="EF150" s="251"/>
      <c r="EG150" s="251"/>
      <c r="EH150" s="251"/>
      <c r="EI150" s="251"/>
      <c r="EJ150" s="251"/>
      <c r="EK150" s="251"/>
      <c r="EL150" s="251"/>
      <c r="EM150" s="251"/>
      <c r="EN150" s="251"/>
      <c r="EO150" s="251"/>
      <c r="EP150" s="251"/>
      <c r="EQ150" s="251"/>
      <c r="ER150" s="251"/>
      <c r="ES150" s="251"/>
      <c r="ET150" s="251"/>
      <c r="EU150" s="251"/>
      <c r="EV150" s="251"/>
      <c r="EW150" s="251"/>
      <c r="EX150" s="251"/>
      <c r="EY150" s="251"/>
      <c r="EZ150" s="251"/>
      <c r="FA150" s="251"/>
      <c r="FB150" s="251"/>
      <c r="FC150" s="251"/>
      <c r="FD150" s="251"/>
      <c r="FE150" s="251"/>
      <c r="FF150" s="251"/>
      <c r="FG150" s="251"/>
      <c r="FH150" s="251"/>
      <c r="FI150" s="251"/>
      <c r="FJ150" s="251"/>
      <c r="FK150" s="251"/>
      <c r="FL150" s="251"/>
      <c r="FM150" s="251"/>
      <c r="FN150" s="251"/>
      <c r="FO150" s="251"/>
      <c r="FP150" s="251"/>
      <c r="FQ150" s="251"/>
      <c r="FR150" s="251"/>
      <c r="FS150" s="251"/>
      <c r="FT150" s="251"/>
      <c r="FU150" s="251"/>
      <c r="FV150" s="251"/>
      <c r="FW150" s="251"/>
      <c r="FX150" s="251"/>
      <c r="FY150" s="251"/>
      <c r="FZ150" s="251"/>
      <c r="GA150" s="251"/>
      <c r="GB150" s="251"/>
      <c r="GC150" s="251"/>
      <c r="GD150" s="251"/>
      <c r="GE150" s="251"/>
      <c r="GF150" s="251"/>
      <c r="GG150" s="251"/>
      <c r="GH150" s="251"/>
      <c r="GI150" s="251"/>
      <c r="GJ150" s="251"/>
      <c r="GK150" s="251"/>
      <c r="GL150" s="251"/>
      <c r="GM150" s="251"/>
      <c r="GN150" s="251"/>
      <c r="GO150" s="251"/>
      <c r="GP150" s="251"/>
      <c r="GQ150" s="251"/>
      <c r="GR150" s="251"/>
      <c r="GS150" s="251"/>
      <c r="GT150" s="251"/>
      <c r="GU150" s="251"/>
      <c r="GV150" s="251"/>
      <c r="GW150" s="251"/>
      <c r="GX150" s="251"/>
      <c r="GY150" s="251"/>
      <c r="GZ150" s="251"/>
      <c r="HA150" s="251"/>
      <c r="HB150" s="251"/>
      <c r="HC150" s="251"/>
      <c r="HD150" s="251"/>
      <c r="HE150" s="251"/>
      <c r="HF150" s="251"/>
      <c r="HG150" s="251"/>
      <c r="HH150" s="251"/>
      <c r="HI150" s="251"/>
      <c r="HJ150" s="251"/>
      <c r="HK150" s="251"/>
      <c r="HL150" s="251"/>
      <c r="HM150" s="251"/>
      <c r="HN150" s="251"/>
      <c r="HO150" s="251"/>
      <c r="HP150" s="251"/>
      <c r="HQ150" s="251"/>
      <c r="HR150" s="251"/>
      <c r="HS150" s="251"/>
      <c r="HT150" s="251"/>
      <c r="HU150" s="251"/>
      <c r="HV150" s="251"/>
      <c r="HW150" s="251"/>
      <c r="HX150" s="251"/>
      <c r="HY150" s="251"/>
      <c r="HZ150" s="251"/>
      <c r="IA150" s="251"/>
      <c r="IB150" s="251"/>
      <c r="IC150" s="251"/>
      <c r="ID150" s="251"/>
      <c r="IE150" s="251"/>
      <c r="IF150" s="251"/>
      <c r="IG150" s="251"/>
      <c r="IH150" s="251"/>
      <c r="II150" s="251"/>
      <c r="IJ150" s="251"/>
      <c r="IK150" s="251"/>
      <c r="IL150" s="251"/>
      <c r="IM150" s="251"/>
      <c r="IN150" s="251"/>
      <c r="IO150" s="251"/>
      <c r="IP150" s="251"/>
      <c r="IQ150" s="251"/>
      <c r="IR150" s="251"/>
      <c r="IS150" s="251"/>
      <c r="IT150" s="251"/>
      <c r="IU150" s="251"/>
      <c r="IV150" s="251"/>
      <c r="IW150" s="251"/>
      <c r="IX150" s="251"/>
      <c r="IY150" s="251"/>
      <c r="IZ150" s="251"/>
      <c r="JA150" s="251"/>
      <c r="JB150" s="251"/>
      <c r="JC150" s="251"/>
      <c r="JD150" s="251"/>
      <c r="JE150" s="251"/>
      <c r="JF150" s="251"/>
      <c r="JG150" s="251"/>
      <c r="JH150" s="251"/>
      <c r="JI150" s="251"/>
    </row>
    <row r="151" spans="1:269">
      <c r="A151" s="251"/>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1"/>
      <c r="BR151" s="251"/>
      <c r="BS151" s="251"/>
      <c r="BT151" s="251"/>
      <c r="BU151" s="251"/>
      <c r="BV151" s="251"/>
      <c r="BW151" s="251"/>
      <c r="BX151" s="251"/>
      <c r="BY151" s="251"/>
      <c r="BZ151" s="251"/>
      <c r="CA151" s="251"/>
      <c r="CB151" s="251"/>
      <c r="CC151" s="251"/>
      <c r="CD151" s="251"/>
      <c r="CE151" s="251"/>
      <c r="CF151" s="251"/>
      <c r="CG151" s="251"/>
      <c r="CH151" s="251"/>
      <c r="CI151" s="251"/>
      <c r="CJ151" s="251"/>
      <c r="CK151" s="251"/>
      <c r="CL151" s="251"/>
      <c r="CM151" s="251"/>
      <c r="CN151" s="251"/>
      <c r="CO151" s="251"/>
      <c r="CP151" s="251"/>
      <c r="CQ151" s="251"/>
      <c r="CR151" s="251"/>
      <c r="CS151" s="251"/>
      <c r="CT151" s="251"/>
      <c r="CU151" s="251"/>
      <c r="CV151" s="251"/>
      <c r="CW151" s="251"/>
      <c r="CX151" s="251"/>
      <c r="CY151" s="251"/>
      <c r="CZ151" s="251"/>
      <c r="DA151" s="251"/>
      <c r="DB151" s="251"/>
      <c r="DC151" s="251"/>
      <c r="DD151" s="251"/>
      <c r="DE151" s="251"/>
      <c r="DF151" s="251"/>
      <c r="DG151" s="251"/>
      <c r="DH151" s="251"/>
      <c r="DI151" s="251"/>
      <c r="DJ151" s="251"/>
      <c r="DK151" s="251"/>
      <c r="DL151" s="251"/>
      <c r="DM151" s="251"/>
      <c r="DN151" s="251"/>
      <c r="DO151" s="251"/>
      <c r="DP151" s="251"/>
      <c r="DQ151" s="251"/>
      <c r="DR151" s="251"/>
      <c r="DS151" s="251"/>
      <c r="DT151" s="251"/>
      <c r="DU151" s="251"/>
      <c r="DV151" s="251"/>
      <c r="DW151" s="251"/>
      <c r="DX151" s="251"/>
      <c r="DY151" s="251"/>
      <c r="DZ151" s="251"/>
      <c r="EA151" s="251"/>
      <c r="EB151" s="251"/>
      <c r="EC151" s="251"/>
      <c r="ED151" s="251"/>
      <c r="EE151" s="251"/>
      <c r="EF151" s="251"/>
      <c r="EG151" s="251"/>
      <c r="EH151" s="251"/>
      <c r="EI151" s="251"/>
      <c r="EJ151" s="251"/>
      <c r="EK151" s="251"/>
      <c r="EL151" s="251"/>
      <c r="EM151" s="251"/>
      <c r="EN151" s="251"/>
      <c r="EO151" s="251"/>
      <c r="EP151" s="251"/>
      <c r="EQ151" s="251"/>
      <c r="ER151" s="251"/>
      <c r="ES151" s="251"/>
      <c r="ET151" s="251"/>
      <c r="EU151" s="251"/>
      <c r="EV151" s="251"/>
      <c r="EW151" s="251"/>
      <c r="EX151" s="251"/>
      <c r="EY151" s="251"/>
      <c r="EZ151" s="251"/>
      <c r="FA151" s="251"/>
      <c r="FB151" s="251"/>
      <c r="FC151" s="251"/>
      <c r="FD151" s="251"/>
      <c r="FE151" s="251"/>
      <c r="FF151" s="251"/>
      <c r="FG151" s="251"/>
      <c r="FH151" s="251"/>
      <c r="FI151" s="251"/>
      <c r="FJ151" s="251"/>
      <c r="FK151" s="251"/>
      <c r="FL151" s="251"/>
      <c r="FM151" s="251"/>
      <c r="FN151" s="251"/>
      <c r="FO151" s="251"/>
      <c r="FP151" s="251"/>
      <c r="FQ151" s="251"/>
      <c r="FR151" s="251"/>
      <c r="FS151" s="251"/>
      <c r="FT151" s="251"/>
      <c r="FU151" s="251"/>
      <c r="FV151" s="251"/>
      <c r="FW151" s="251"/>
      <c r="FX151" s="251"/>
      <c r="FY151" s="251"/>
      <c r="FZ151" s="251"/>
      <c r="GA151" s="251"/>
      <c r="GB151" s="251"/>
      <c r="GC151" s="251"/>
      <c r="GD151" s="251"/>
      <c r="GE151" s="251"/>
      <c r="GF151" s="251"/>
      <c r="GG151" s="251"/>
      <c r="GH151" s="251"/>
      <c r="GI151" s="251"/>
      <c r="GJ151" s="251"/>
      <c r="GK151" s="251"/>
      <c r="GL151" s="251"/>
      <c r="GM151" s="251"/>
      <c r="GN151" s="251"/>
      <c r="GO151" s="251"/>
      <c r="GP151" s="251"/>
      <c r="GQ151" s="251"/>
      <c r="GR151" s="251"/>
      <c r="GS151" s="251"/>
      <c r="GT151" s="251"/>
      <c r="GU151" s="251"/>
      <c r="GV151" s="251"/>
      <c r="GW151" s="251"/>
      <c r="GX151" s="251"/>
      <c r="GY151" s="251"/>
      <c r="GZ151" s="251"/>
      <c r="HA151" s="251"/>
      <c r="HB151" s="251"/>
      <c r="HC151" s="251"/>
      <c r="HD151" s="251"/>
      <c r="HE151" s="251"/>
      <c r="HF151" s="251"/>
      <c r="HG151" s="251"/>
      <c r="HH151" s="251"/>
      <c r="HI151" s="251"/>
      <c r="HJ151" s="251"/>
      <c r="HK151" s="251"/>
      <c r="HL151" s="251"/>
      <c r="HM151" s="251"/>
      <c r="HN151" s="251"/>
      <c r="HO151" s="251"/>
      <c r="HP151" s="251"/>
      <c r="HQ151" s="251"/>
      <c r="HR151" s="251"/>
      <c r="HS151" s="251"/>
      <c r="HT151" s="251"/>
      <c r="HU151" s="251"/>
      <c r="HV151" s="251"/>
      <c r="HW151" s="251"/>
      <c r="HX151" s="251"/>
      <c r="HY151" s="251"/>
      <c r="HZ151" s="251"/>
      <c r="IA151" s="251"/>
      <c r="IB151" s="251"/>
      <c r="IC151" s="251"/>
      <c r="ID151" s="251"/>
      <c r="IE151" s="251"/>
      <c r="IF151" s="251"/>
      <c r="IG151" s="251"/>
      <c r="IH151" s="251"/>
      <c r="II151" s="251"/>
      <c r="IJ151" s="251"/>
      <c r="IK151" s="251"/>
      <c r="IL151" s="251"/>
      <c r="IM151" s="251"/>
      <c r="IN151" s="251"/>
      <c r="IO151" s="251"/>
      <c r="IP151" s="251"/>
      <c r="IQ151" s="251"/>
      <c r="IR151" s="251"/>
      <c r="IS151" s="251"/>
      <c r="IT151" s="251"/>
      <c r="IU151" s="251"/>
      <c r="IV151" s="251"/>
      <c r="IW151" s="251"/>
      <c r="IX151" s="251"/>
      <c r="IY151" s="251"/>
      <c r="IZ151" s="251"/>
      <c r="JA151" s="251"/>
      <c r="JB151" s="251"/>
      <c r="JC151" s="251"/>
      <c r="JD151" s="251"/>
      <c r="JE151" s="251"/>
      <c r="JF151" s="251"/>
      <c r="JG151" s="251"/>
      <c r="JH151" s="251"/>
      <c r="JI151" s="251"/>
    </row>
    <row r="152" spans="1:269">
      <c r="A152" s="251"/>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c r="BF152" s="251"/>
      <c r="BG152" s="251"/>
      <c r="BH152" s="251"/>
      <c r="BI152" s="251"/>
      <c r="BJ152" s="251"/>
      <c r="BK152" s="251"/>
      <c r="BL152" s="251"/>
      <c r="BM152" s="251"/>
      <c r="BN152" s="251"/>
      <c r="BO152" s="251"/>
      <c r="BP152" s="251"/>
      <c r="BQ152" s="251"/>
      <c r="BR152" s="251"/>
      <c r="BS152" s="251"/>
      <c r="BT152" s="251"/>
      <c r="BU152" s="251"/>
      <c r="BV152" s="251"/>
      <c r="BW152" s="251"/>
      <c r="BX152" s="251"/>
      <c r="BY152" s="251"/>
      <c r="BZ152" s="251"/>
      <c r="CA152" s="251"/>
      <c r="CB152" s="251"/>
      <c r="CC152" s="251"/>
      <c r="CD152" s="251"/>
      <c r="CE152" s="251"/>
      <c r="CF152" s="251"/>
      <c r="CG152" s="251"/>
      <c r="CH152" s="251"/>
      <c r="CI152" s="251"/>
      <c r="CJ152" s="251"/>
      <c r="CK152" s="251"/>
      <c r="CL152" s="251"/>
      <c r="CM152" s="251"/>
      <c r="CN152" s="251"/>
      <c r="CO152" s="251"/>
      <c r="CP152" s="251"/>
      <c r="CQ152" s="251"/>
      <c r="CR152" s="251"/>
      <c r="CS152" s="251"/>
      <c r="CT152" s="251"/>
      <c r="CU152" s="251"/>
      <c r="CV152" s="251"/>
      <c r="CW152" s="251"/>
      <c r="CX152" s="251"/>
      <c r="CY152" s="251"/>
      <c r="CZ152" s="251"/>
      <c r="DA152" s="251"/>
      <c r="DB152" s="251"/>
      <c r="DC152" s="251"/>
      <c r="DD152" s="251"/>
      <c r="DE152" s="251"/>
      <c r="DF152" s="251"/>
      <c r="DG152" s="251"/>
      <c r="DH152" s="251"/>
      <c r="DI152" s="251"/>
      <c r="DJ152" s="251"/>
      <c r="DK152" s="251"/>
      <c r="DL152" s="251"/>
      <c r="DM152" s="251"/>
      <c r="DN152" s="251"/>
      <c r="DO152" s="251"/>
      <c r="DP152" s="251"/>
      <c r="DQ152" s="251"/>
      <c r="DR152" s="251"/>
      <c r="DS152" s="251"/>
      <c r="DT152" s="251"/>
      <c r="DU152" s="251"/>
      <c r="DV152" s="251"/>
      <c r="DW152" s="251"/>
      <c r="DX152" s="251"/>
      <c r="DY152" s="251"/>
      <c r="DZ152" s="251"/>
      <c r="EA152" s="251"/>
      <c r="EB152" s="251"/>
      <c r="EC152" s="251"/>
      <c r="ED152" s="251"/>
      <c r="EE152" s="251"/>
      <c r="EF152" s="251"/>
      <c r="EG152" s="251"/>
      <c r="EH152" s="251"/>
      <c r="EI152" s="251"/>
      <c r="EJ152" s="251"/>
      <c r="EK152" s="251"/>
      <c r="EL152" s="251"/>
      <c r="EM152" s="251"/>
      <c r="EN152" s="251"/>
      <c r="EO152" s="251"/>
      <c r="EP152" s="251"/>
      <c r="EQ152" s="251"/>
      <c r="ER152" s="251"/>
      <c r="ES152" s="251"/>
      <c r="ET152" s="251"/>
      <c r="EU152" s="251"/>
      <c r="EV152" s="251"/>
      <c r="EW152" s="251"/>
      <c r="EX152" s="251"/>
      <c r="EY152" s="251"/>
      <c r="EZ152" s="251"/>
      <c r="FA152" s="251"/>
      <c r="FB152" s="251"/>
      <c r="FC152" s="251"/>
      <c r="FD152" s="251"/>
      <c r="FE152" s="251"/>
      <c r="FF152" s="251"/>
      <c r="FG152" s="251"/>
      <c r="FH152" s="251"/>
      <c r="FI152" s="251"/>
      <c r="FJ152" s="251"/>
      <c r="FK152" s="251"/>
      <c r="FL152" s="251"/>
      <c r="FM152" s="251"/>
      <c r="FN152" s="251"/>
      <c r="FO152" s="251"/>
      <c r="FP152" s="251"/>
      <c r="FQ152" s="251"/>
      <c r="FR152" s="251"/>
      <c r="FS152" s="251"/>
      <c r="FT152" s="251"/>
      <c r="FU152" s="251"/>
      <c r="FV152" s="251"/>
      <c r="FW152" s="251"/>
      <c r="FX152" s="251"/>
      <c r="FY152" s="251"/>
      <c r="FZ152" s="251"/>
      <c r="GA152" s="251"/>
      <c r="GB152" s="251"/>
      <c r="GC152" s="251"/>
      <c r="GD152" s="251"/>
      <c r="GE152" s="251"/>
      <c r="GF152" s="251"/>
      <c r="GG152" s="251"/>
      <c r="GH152" s="251"/>
      <c r="GI152" s="251"/>
      <c r="GJ152" s="251"/>
      <c r="GK152" s="251"/>
      <c r="GL152" s="251"/>
      <c r="GM152" s="251"/>
      <c r="GN152" s="251"/>
      <c r="GO152" s="251"/>
      <c r="GP152" s="251"/>
      <c r="GQ152" s="251"/>
      <c r="GR152" s="251"/>
      <c r="GS152" s="251"/>
      <c r="GT152" s="251"/>
      <c r="GU152" s="251"/>
      <c r="GV152" s="251"/>
      <c r="GW152" s="251"/>
      <c r="GX152" s="251"/>
      <c r="GY152" s="251"/>
      <c r="GZ152" s="251"/>
      <c r="HA152" s="251"/>
      <c r="HB152" s="251"/>
      <c r="HC152" s="251"/>
      <c r="HD152" s="251"/>
      <c r="HE152" s="251"/>
      <c r="HF152" s="251"/>
      <c r="HG152" s="251"/>
      <c r="HH152" s="251"/>
      <c r="HI152" s="251"/>
      <c r="HJ152" s="251"/>
      <c r="HK152" s="251"/>
      <c r="HL152" s="251"/>
      <c r="HM152" s="251"/>
      <c r="HN152" s="251"/>
      <c r="HO152" s="251"/>
      <c r="HP152" s="251"/>
      <c r="HQ152" s="251"/>
      <c r="HR152" s="251"/>
      <c r="HS152" s="251"/>
      <c r="HT152" s="251"/>
      <c r="HU152" s="251"/>
      <c r="HV152" s="251"/>
      <c r="HW152" s="251"/>
      <c r="HX152" s="251"/>
      <c r="HY152" s="251"/>
      <c r="HZ152" s="251"/>
      <c r="IA152" s="251"/>
      <c r="IB152" s="251"/>
      <c r="IC152" s="251"/>
      <c r="ID152" s="251"/>
      <c r="IE152" s="251"/>
      <c r="IF152" s="251"/>
      <c r="IG152" s="251"/>
      <c r="IH152" s="251"/>
      <c r="II152" s="251"/>
      <c r="IJ152" s="251"/>
      <c r="IK152" s="251"/>
      <c r="IL152" s="251"/>
      <c r="IM152" s="251"/>
      <c r="IN152" s="251"/>
      <c r="IO152" s="251"/>
      <c r="IP152" s="251"/>
      <c r="IQ152" s="251"/>
      <c r="IR152" s="251"/>
      <c r="IS152" s="251"/>
      <c r="IT152" s="251"/>
      <c r="IU152" s="251"/>
      <c r="IV152" s="251"/>
      <c r="IW152" s="251"/>
      <c r="IX152" s="251"/>
      <c r="IY152" s="251"/>
      <c r="IZ152" s="251"/>
      <c r="JA152" s="251"/>
      <c r="JB152" s="251"/>
      <c r="JC152" s="251"/>
      <c r="JD152" s="251"/>
      <c r="JE152" s="251"/>
      <c r="JF152" s="251"/>
      <c r="JG152" s="251"/>
      <c r="JH152" s="251"/>
      <c r="JI152" s="251"/>
    </row>
    <row r="153" spans="1:269">
      <c r="A153" s="251"/>
      <c r="B153" s="251"/>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c r="BF153" s="251"/>
      <c r="BG153" s="251"/>
      <c r="BH153" s="251"/>
      <c r="BI153" s="251"/>
      <c r="BJ153" s="251"/>
      <c r="BK153" s="251"/>
      <c r="BL153" s="251"/>
      <c r="BM153" s="251"/>
      <c r="BN153" s="251"/>
      <c r="BO153" s="251"/>
      <c r="BP153" s="251"/>
      <c r="BQ153" s="251"/>
      <c r="BR153" s="251"/>
      <c r="BS153" s="251"/>
      <c r="BT153" s="251"/>
      <c r="BU153" s="251"/>
      <c r="BV153" s="251"/>
      <c r="BW153" s="251"/>
      <c r="BX153" s="251"/>
      <c r="BY153" s="251"/>
      <c r="BZ153" s="251"/>
      <c r="CA153" s="251"/>
      <c r="CB153" s="251"/>
      <c r="CC153" s="251"/>
      <c r="CD153" s="251"/>
      <c r="CE153" s="251"/>
      <c r="CF153" s="251"/>
      <c r="CG153" s="251"/>
      <c r="CH153" s="251"/>
      <c r="CI153" s="251"/>
      <c r="CJ153" s="251"/>
      <c r="CK153" s="251"/>
      <c r="CL153" s="251"/>
      <c r="CM153" s="251"/>
      <c r="CN153" s="251"/>
      <c r="CO153" s="251"/>
      <c r="CP153" s="251"/>
      <c r="CQ153" s="251"/>
      <c r="CR153" s="251"/>
      <c r="CS153" s="251"/>
      <c r="CT153" s="251"/>
      <c r="CU153" s="251"/>
      <c r="CV153" s="251"/>
      <c r="CW153" s="251"/>
      <c r="CX153" s="251"/>
      <c r="CY153" s="251"/>
      <c r="CZ153" s="251"/>
      <c r="DA153" s="251"/>
      <c r="DB153" s="251"/>
      <c r="DC153" s="251"/>
      <c r="DD153" s="251"/>
      <c r="DE153" s="251"/>
      <c r="DF153" s="251"/>
      <c r="DG153" s="251"/>
      <c r="DH153" s="251"/>
      <c r="DI153" s="251"/>
      <c r="DJ153" s="251"/>
      <c r="DK153" s="251"/>
      <c r="DL153" s="251"/>
      <c r="DM153" s="251"/>
      <c r="DN153" s="251"/>
      <c r="DO153" s="251"/>
      <c r="DP153" s="251"/>
      <c r="DQ153" s="251"/>
      <c r="DR153" s="251"/>
      <c r="DS153" s="251"/>
      <c r="DT153" s="251"/>
      <c r="DU153" s="251"/>
      <c r="DV153" s="251"/>
      <c r="DW153" s="251"/>
      <c r="DX153" s="251"/>
      <c r="DY153" s="251"/>
      <c r="DZ153" s="251"/>
      <c r="EA153" s="251"/>
      <c r="EB153" s="251"/>
      <c r="EC153" s="251"/>
      <c r="ED153" s="251"/>
      <c r="EE153" s="251"/>
      <c r="EF153" s="251"/>
      <c r="EG153" s="251"/>
      <c r="EH153" s="251"/>
      <c r="EI153" s="251"/>
      <c r="EJ153" s="251"/>
      <c r="EK153" s="251"/>
      <c r="EL153" s="251"/>
      <c r="EM153" s="251"/>
      <c r="EN153" s="251"/>
      <c r="EO153" s="251"/>
      <c r="EP153" s="251"/>
      <c r="EQ153" s="251"/>
      <c r="ER153" s="251"/>
      <c r="ES153" s="251"/>
      <c r="ET153" s="251"/>
      <c r="EU153" s="251"/>
      <c r="EV153" s="251"/>
      <c r="EW153" s="251"/>
      <c r="EX153" s="251"/>
      <c r="EY153" s="251"/>
      <c r="EZ153" s="251"/>
      <c r="FA153" s="251"/>
      <c r="FB153" s="251"/>
      <c r="FC153" s="251"/>
      <c r="FD153" s="251"/>
      <c r="FE153" s="251"/>
      <c r="FF153" s="251"/>
      <c r="FG153" s="251"/>
      <c r="FH153" s="251"/>
      <c r="FI153" s="251"/>
      <c r="FJ153" s="251"/>
      <c r="FK153" s="251"/>
      <c r="FL153" s="251"/>
      <c r="FM153" s="251"/>
      <c r="FN153" s="251"/>
      <c r="FO153" s="251"/>
      <c r="FP153" s="251"/>
      <c r="FQ153" s="251"/>
      <c r="FR153" s="251"/>
      <c r="FS153" s="251"/>
      <c r="FT153" s="251"/>
      <c r="FU153" s="251"/>
      <c r="FV153" s="251"/>
      <c r="FW153" s="251"/>
      <c r="FX153" s="251"/>
      <c r="FY153" s="251"/>
      <c r="FZ153" s="251"/>
      <c r="GA153" s="251"/>
      <c r="GB153" s="251"/>
      <c r="GC153" s="251"/>
      <c r="GD153" s="251"/>
      <c r="GE153" s="251"/>
      <c r="GF153" s="251"/>
      <c r="GG153" s="251"/>
      <c r="GH153" s="251"/>
      <c r="GI153" s="251"/>
      <c r="GJ153" s="251"/>
      <c r="GK153" s="251"/>
      <c r="GL153" s="251"/>
      <c r="GM153" s="251"/>
      <c r="GN153" s="251"/>
      <c r="GO153" s="251"/>
      <c r="GP153" s="251"/>
      <c r="GQ153" s="251"/>
      <c r="GR153" s="251"/>
      <c r="GS153" s="251"/>
      <c r="GT153" s="251"/>
      <c r="GU153" s="251"/>
      <c r="GV153" s="251"/>
      <c r="GW153" s="251"/>
      <c r="GX153" s="251"/>
      <c r="GY153" s="251"/>
      <c r="GZ153" s="251"/>
      <c r="HA153" s="251"/>
      <c r="HB153" s="251"/>
      <c r="HC153" s="251"/>
      <c r="HD153" s="251"/>
      <c r="HE153" s="251"/>
      <c r="HF153" s="251"/>
      <c r="HG153" s="251"/>
      <c r="HH153" s="251"/>
      <c r="HI153" s="251"/>
      <c r="HJ153" s="251"/>
      <c r="HK153" s="251"/>
      <c r="HL153" s="251"/>
      <c r="HM153" s="251"/>
      <c r="HN153" s="251"/>
      <c r="HO153" s="251"/>
      <c r="HP153" s="251"/>
      <c r="HQ153" s="251"/>
      <c r="HR153" s="251"/>
      <c r="HS153" s="251"/>
      <c r="HT153" s="251"/>
      <c r="HU153" s="251"/>
      <c r="HV153" s="251"/>
      <c r="HW153" s="251"/>
      <c r="HX153" s="251"/>
      <c r="HY153" s="251"/>
      <c r="HZ153" s="251"/>
      <c r="IA153" s="251"/>
      <c r="IB153" s="251"/>
      <c r="IC153" s="251"/>
      <c r="ID153" s="251"/>
      <c r="IE153" s="251"/>
      <c r="IF153" s="251"/>
      <c r="IG153" s="251"/>
      <c r="IH153" s="251"/>
      <c r="II153" s="251"/>
      <c r="IJ153" s="251"/>
      <c r="IK153" s="251"/>
      <c r="IL153" s="251"/>
      <c r="IM153" s="251"/>
      <c r="IN153" s="251"/>
      <c r="IO153" s="251"/>
      <c r="IP153" s="251"/>
      <c r="IQ153" s="251"/>
      <c r="IR153" s="251"/>
      <c r="IS153" s="251"/>
      <c r="IT153" s="251"/>
      <c r="IU153" s="251"/>
      <c r="IV153" s="251"/>
      <c r="IW153" s="251"/>
      <c r="IX153" s="251"/>
      <c r="IY153" s="251"/>
      <c r="IZ153" s="251"/>
      <c r="JA153" s="251"/>
      <c r="JB153" s="251"/>
      <c r="JC153" s="251"/>
      <c r="JD153" s="251"/>
      <c r="JE153" s="251"/>
      <c r="JF153" s="251"/>
      <c r="JG153" s="251"/>
      <c r="JH153" s="251"/>
      <c r="JI153" s="251"/>
    </row>
    <row r="154" spans="1:269">
      <c r="A154" s="251"/>
      <c r="B154" s="251"/>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c r="AQ154" s="251"/>
      <c r="AR154" s="251"/>
      <c r="AS154" s="251"/>
      <c r="AT154" s="251"/>
      <c r="AU154" s="251"/>
      <c r="AV154" s="251"/>
      <c r="AW154" s="251"/>
      <c r="AX154" s="251"/>
      <c r="AY154" s="251"/>
      <c r="AZ154" s="251"/>
      <c r="BA154" s="251"/>
      <c r="BB154" s="251"/>
      <c r="BC154" s="251"/>
      <c r="BD154" s="251"/>
      <c r="BE154" s="251"/>
      <c r="BF154" s="251"/>
      <c r="BG154" s="251"/>
      <c r="BH154" s="251"/>
      <c r="BI154" s="251"/>
      <c r="BJ154" s="251"/>
      <c r="BK154" s="251"/>
      <c r="BL154" s="251"/>
      <c r="BM154" s="251"/>
      <c r="BN154" s="251"/>
      <c r="BO154" s="251"/>
      <c r="BP154" s="251"/>
      <c r="BQ154" s="251"/>
      <c r="BR154" s="251"/>
      <c r="BS154" s="251"/>
      <c r="BT154" s="251"/>
      <c r="BU154" s="251"/>
      <c r="BV154" s="251"/>
      <c r="BW154" s="251"/>
      <c r="BX154" s="251"/>
      <c r="BY154" s="251"/>
      <c r="BZ154" s="251"/>
      <c r="CA154" s="251"/>
      <c r="CB154" s="251"/>
      <c r="CC154" s="251"/>
      <c r="CD154" s="251"/>
      <c r="CE154" s="251"/>
      <c r="CF154" s="251"/>
      <c r="CG154" s="251"/>
      <c r="CH154" s="251"/>
      <c r="CI154" s="251"/>
      <c r="CJ154" s="251"/>
      <c r="CK154" s="251"/>
      <c r="CL154" s="251"/>
      <c r="CM154" s="251"/>
      <c r="CN154" s="251"/>
      <c r="CO154" s="251"/>
      <c r="CP154" s="251"/>
      <c r="CQ154" s="251"/>
      <c r="CR154" s="251"/>
      <c r="CS154" s="251"/>
      <c r="CT154" s="251"/>
      <c r="CU154" s="251"/>
      <c r="CV154" s="251"/>
      <c r="CW154" s="251"/>
      <c r="CX154" s="251"/>
      <c r="CY154" s="251"/>
      <c r="CZ154" s="251"/>
      <c r="DA154" s="251"/>
      <c r="DB154" s="251"/>
      <c r="DC154" s="251"/>
      <c r="DD154" s="251"/>
      <c r="DE154" s="251"/>
      <c r="DF154" s="251"/>
      <c r="DG154" s="251"/>
      <c r="DH154" s="251"/>
      <c r="DI154" s="251"/>
      <c r="DJ154" s="251"/>
      <c r="DK154" s="251"/>
      <c r="DL154" s="251"/>
      <c r="DM154" s="251"/>
      <c r="DN154" s="251"/>
      <c r="DO154" s="251"/>
      <c r="DP154" s="251"/>
      <c r="DQ154" s="251"/>
      <c r="DR154" s="251"/>
      <c r="DS154" s="251"/>
      <c r="DT154" s="251"/>
      <c r="DU154" s="251"/>
      <c r="DV154" s="251"/>
      <c r="DW154" s="251"/>
      <c r="DX154" s="251"/>
      <c r="DY154" s="251"/>
      <c r="DZ154" s="251"/>
      <c r="EA154" s="251"/>
      <c r="EB154" s="251"/>
      <c r="EC154" s="251"/>
      <c r="ED154" s="251"/>
      <c r="EE154" s="251"/>
      <c r="EF154" s="251"/>
      <c r="EG154" s="251"/>
      <c r="EH154" s="251"/>
      <c r="EI154" s="251"/>
      <c r="EJ154" s="251"/>
      <c r="EK154" s="251"/>
      <c r="EL154" s="251"/>
      <c r="EM154" s="251"/>
      <c r="EN154" s="251"/>
      <c r="EO154" s="251"/>
      <c r="EP154" s="251"/>
      <c r="EQ154" s="251"/>
      <c r="ER154" s="251"/>
      <c r="ES154" s="251"/>
      <c r="ET154" s="251"/>
      <c r="EU154" s="251"/>
      <c r="EV154" s="251"/>
      <c r="EW154" s="251"/>
      <c r="EX154" s="251"/>
      <c r="EY154" s="251"/>
      <c r="EZ154" s="251"/>
      <c r="FA154" s="251"/>
      <c r="FB154" s="251"/>
      <c r="FC154" s="251"/>
      <c r="FD154" s="251"/>
      <c r="FE154" s="251"/>
      <c r="FF154" s="251"/>
      <c r="FG154" s="251"/>
      <c r="FH154" s="251"/>
      <c r="FI154" s="251"/>
      <c r="FJ154" s="251"/>
      <c r="FK154" s="251"/>
      <c r="FL154" s="251"/>
      <c r="FM154" s="251"/>
      <c r="FN154" s="251"/>
      <c r="FO154" s="251"/>
      <c r="FP154" s="251"/>
      <c r="FQ154" s="251"/>
      <c r="FR154" s="251"/>
      <c r="FS154" s="251"/>
      <c r="FT154" s="251"/>
      <c r="FU154" s="251"/>
      <c r="FV154" s="251"/>
      <c r="FW154" s="251"/>
      <c r="FX154" s="251"/>
      <c r="FY154" s="251"/>
      <c r="FZ154" s="251"/>
      <c r="GA154" s="251"/>
      <c r="GB154" s="251"/>
      <c r="GC154" s="251"/>
      <c r="GD154" s="251"/>
      <c r="GE154" s="251"/>
      <c r="GF154" s="251"/>
      <c r="GG154" s="251"/>
      <c r="GH154" s="251"/>
      <c r="GI154" s="251"/>
      <c r="GJ154" s="251"/>
      <c r="GK154" s="251"/>
      <c r="GL154" s="251"/>
      <c r="GM154" s="251"/>
      <c r="GN154" s="251"/>
      <c r="GO154" s="251"/>
      <c r="GP154" s="251"/>
      <c r="GQ154" s="251"/>
      <c r="GR154" s="251"/>
      <c r="GS154" s="251"/>
      <c r="GT154" s="251"/>
      <c r="GU154" s="251"/>
      <c r="GV154" s="251"/>
      <c r="GW154" s="251"/>
      <c r="GX154" s="251"/>
      <c r="GY154" s="251"/>
      <c r="GZ154" s="251"/>
      <c r="HA154" s="251"/>
      <c r="HB154" s="251"/>
      <c r="HC154" s="251"/>
      <c r="HD154" s="251"/>
      <c r="HE154" s="251"/>
      <c r="HF154" s="251"/>
      <c r="HG154" s="251"/>
      <c r="HH154" s="251"/>
      <c r="HI154" s="251"/>
      <c r="HJ154" s="251"/>
      <c r="HK154" s="251"/>
      <c r="HL154" s="251"/>
      <c r="HM154" s="251"/>
      <c r="HN154" s="251"/>
      <c r="HO154" s="251"/>
      <c r="HP154" s="251"/>
      <c r="HQ154" s="251"/>
      <c r="HR154" s="251"/>
      <c r="HS154" s="251"/>
      <c r="HT154" s="251"/>
      <c r="HU154" s="251"/>
      <c r="HV154" s="251"/>
      <c r="HW154" s="251"/>
      <c r="HX154" s="251"/>
      <c r="HY154" s="251"/>
      <c r="HZ154" s="251"/>
      <c r="IA154" s="251"/>
      <c r="IB154" s="251"/>
      <c r="IC154" s="251"/>
      <c r="ID154" s="251"/>
      <c r="IE154" s="251"/>
      <c r="IF154" s="251"/>
      <c r="IG154" s="251"/>
      <c r="IH154" s="251"/>
      <c r="II154" s="251"/>
      <c r="IJ154" s="251"/>
      <c r="IK154" s="251"/>
      <c r="IL154" s="251"/>
      <c r="IM154" s="251"/>
      <c r="IN154" s="251"/>
      <c r="IO154" s="251"/>
      <c r="IP154" s="251"/>
      <c r="IQ154" s="251"/>
      <c r="IR154" s="251"/>
      <c r="IS154" s="251"/>
      <c r="IT154" s="251"/>
      <c r="IU154" s="251"/>
      <c r="IV154" s="251"/>
      <c r="IW154" s="251"/>
      <c r="IX154" s="251"/>
      <c r="IY154" s="251"/>
      <c r="IZ154" s="251"/>
      <c r="JA154" s="251"/>
      <c r="JB154" s="251"/>
      <c r="JC154" s="251"/>
      <c r="JD154" s="251"/>
      <c r="JE154" s="251"/>
      <c r="JF154" s="251"/>
      <c r="JG154" s="251"/>
      <c r="JH154" s="251"/>
      <c r="JI154" s="251"/>
    </row>
    <row r="155" spans="1:269">
      <c r="A155" s="251"/>
      <c r="B155" s="251"/>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1"/>
      <c r="BB155" s="251"/>
      <c r="BC155" s="251"/>
      <c r="BD155" s="251"/>
      <c r="BE155" s="251"/>
      <c r="BF155" s="251"/>
      <c r="BG155" s="251"/>
      <c r="BH155" s="251"/>
      <c r="BI155" s="251"/>
      <c r="BJ155" s="251"/>
      <c r="BK155" s="251"/>
      <c r="BL155" s="251"/>
      <c r="BM155" s="251"/>
      <c r="BN155" s="251"/>
      <c r="BO155" s="251"/>
      <c r="BP155" s="251"/>
      <c r="BQ155" s="251"/>
      <c r="BR155" s="251"/>
      <c r="BS155" s="251"/>
      <c r="BT155" s="251"/>
      <c r="BU155" s="251"/>
      <c r="BV155" s="251"/>
      <c r="BW155" s="251"/>
      <c r="BX155" s="251"/>
      <c r="BY155" s="251"/>
      <c r="BZ155" s="251"/>
      <c r="CA155" s="251"/>
      <c r="CB155" s="251"/>
      <c r="CC155" s="251"/>
      <c r="CD155" s="251"/>
      <c r="CE155" s="251"/>
      <c r="CF155" s="251"/>
      <c r="CG155" s="251"/>
      <c r="CH155" s="251"/>
      <c r="CI155" s="251"/>
      <c r="CJ155" s="251"/>
      <c r="CK155" s="251"/>
      <c r="CL155" s="251"/>
      <c r="CM155" s="251"/>
      <c r="CN155" s="251"/>
      <c r="CO155" s="251"/>
      <c r="CP155" s="251"/>
      <c r="CQ155" s="251"/>
      <c r="CR155" s="251"/>
      <c r="CS155" s="251"/>
      <c r="CT155" s="251"/>
      <c r="CU155" s="251"/>
      <c r="CV155" s="251"/>
      <c r="CW155" s="251"/>
      <c r="CX155" s="251"/>
      <c r="CY155" s="251"/>
      <c r="CZ155" s="251"/>
      <c r="DA155" s="251"/>
      <c r="DB155" s="251"/>
      <c r="DC155" s="251"/>
      <c r="DD155" s="251"/>
      <c r="DE155" s="251"/>
      <c r="DF155" s="251"/>
      <c r="DG155" s="251"/>
      <c r="DH155" s="251"/>
      <c r="DI155" s="251"/>
      <c r="DJ155" s="251"/>
      <c r="DK155" s="251"/>
      <c r="DL155" s="251"/>
      <c r="DM155" s="251"/>
      <c r="DN155" s="251"/>
      <c r="DO155" s="251"/>
      <c r="DP155" s="251"/>
      <c r="DQ155" s="251"/>
      <c r="DR155" s="251"/>
      <c r="DS155" s="251"/>
      <c r="DT155" s="251"/>
      <c r="DU155" s="251"/>
      <c r="DV155" s="251"/>
      <c r="DW155" s="251"/>
      <c r="DX155" s="251"/>
      <c r="DY155" s="251"/>
      <c r="DZ155" s="251"/>
      <c r="EA155" s="251"/>
      <c r="EB155" s="251"/>
      <c r="EC155" s="251"/>
      <c r="ED155" s="251"/>
      <c r="EE155" s="251"/>
      <c r="EF155" s="251"/>
      <c r="EG155" s="251"/>
      <c r="EH155" s="251"/>
      <c r="EI155" s="251"/>
      <c r="EJ155" s="251"/>
      <c r="EK155" s="251"/>
      <c r="EL155" s="251"/>
      <c r="EM155" s="251"/>
      <c r="EN155" s="251"/>
      <c r="EO155" s="251"/>
      <c r="EP155" s="251"/>
      <c r="EQ155" s="251"/>
      <c r="ER155" s="251"/>
      <c r="ES155" s="251"/>
      <c r="ET155" s="251"/>
      <c r="EU155" s="251"/>
      <c r="EV155" s="251"/>
      <c r="EW155" s="251"/>
      <c r="EX155" s="251"/>
      <c r="EY155" s="251"/>
      <c r="EZ155" s="251"/>
      <c r="FA155" s="251"/>
      <c r="FB155" s="251"/>
      <c r="FC155" s="251"/>
      <c r="FD155" s="251"/>
      <c r="FE155" s="251"/>
      <c r="FF155" s="251"/>
      <c r="FG155" s="251"/>
      <c r="FH155" s="251"/>
      <c r="FI155" s="251"/>
      <c r="FJ155" s="251"/>
      <c r="FK155" s="251"/>
      <c r="FL155" s="251"/>
      <c r="FM155" s="251"/>
      <c r="FN155" s="251"/>
      <c r="FO155" s="251"/>
      <c r="FP155" s="251"/>
      <c r="FQ155" s="251"/>
      <c r="FR155" s="251"/>
      <c r="FS155" s="251"/>
      <c r="FT155" s="251"/>
      <c r="FU155" s="251"/>
      <c r="FV155" s="251"/>
      <c r="FW155" s="251"/>
      <c r="FX155" s="251"/>
      <c r="FY155" s="251"/>
      <c r="FZ155" s="251"/>
      <c r="GA155" s="251"/>
      <c r="GB155" s="251"/>
      <c r="GC155" s="251"/>
      <c r="GD155" s="251"/>
      <c r="GE155" s="251"/>
      <c r="GF155" s="251"/>
      <c r="GG155" s="251"/>
      <c r="GH155" s="251"/>
      <c r="GI155" s="251"/>
      <c r="GJ155" s="251"/>
      <c r="GK155" s="251"/>
      <c r="GL155" s="251"/>
      <c r="GM155" s="251"/>
      <c r="GN155" s="251"/>
      <c r="GO155" s="251"/>
      <c r="GP155" s="251"/>
      <c r="GQ155" s="251"/>
      <c r="GR155" s="251"/>
      <c r="GS155" s="251"/>
      <c r="GT155" s="251"/>
      <c r="GU155" s="251"/>
      <c r="GV155" s="251"/>
      <c r="GW155" s="251"/>
      <c r="GX155" s="251"/>
      <c r="GY155" s="251"/>
      <c r="GZ155" s="251"/>
      <c r="HA155" s="251"/>
      <c r="HB155" s="251"/>
      <c r="HC155" s="251"/>
      <c r="HD155" s="251"/>
      <c r="HE155" s="251"/>
      <c r="HF155" s="251"/>
      <c r="HG155" s="251"/>
      <c r="HH155" s="251"/>
      <c r="HI155" s="251"/>
      <c r="HJ155" s="251"/>
      <c r="HK155" s="251"/>
      <c r="HL155" s="251"/>
      <c r="HM155" s="251"/>
      <c r="HN155" s="251"/>
      <c r="HO155" s="251"/>
      <c r="HP155" s="251"/>
      <c r="HQ155" s="251"/>
      <c r="HR155" s="251"/>
      <c r="HS155" s="251"/>
      <c r="HT155" s="251"/>
      <c r="HU155" s="251"/>
      <c r="HV155" s="251"/>
      <c r="HW155" s="251"/>
      <c r="HX155" s="251"/>
      <c r="HY155" s="251"/>
      <c r="HZ155" s="251"/>
      <c r="IA155" s="251"/>
      <c r="IB155" s="251"/>
      <c r="IC155" s="251"/>
      <c r="ID155" s="251"/>
      <c r="IE155" s="251"/>
      <c r="IF155" s="251"/>
      <c r="IG155" s="251"/>
      <c r="IH155" s="251"/>
      <c r="II155" s="251"/>
      <c r="IJ155" s="251"/>
      <c r="IK155" s="251"/>
      <c r="IL155" s="251"/>
      <c r="IM155" s="251"/>
      <c r="IN155" s="251"/>
      <c r="IO155" s="251"/>
      <c r="IP155" s="251"/>
      <c r="IQ155" s="251"/>
      <c r="IR155" s="251"/>
      <c r="IS155" s="251"/>
      <c r="IT155" s="251"/>
      <c r="IU155" s="251"/>
      <c r="IV155" s="251"/>
      <c r="IW155" s="251"/>
      <c r="IX155" s="251"/>
      <c r="IY155" s="251"/>
      <c r="IZ155" s="251"/>
      <c r="JA155" s="251"/>
      <c r="JB155" s="251"/>
      <c r="JC155" s="251"/>
      <c r="JD155" s="251"/>
      <c r="JE155" s="251"/>
      <c r="JF155" s="251"/>
      <c r="JG155" s="251"/>
      <c r="JH155" s="251"/>
      <c r="JI155" s="251"/>
    </row>
    <row r="156" spans="1:269">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1"/>
      <c r="AX156" s="251"/>
      <c r="AY156" s="251"/>
      <c r="AZ156" s="251"/>
      <c r="BA156" s="251"/>
      <c r="BB156" s="251"/>
      <c r="BC156" s="251"/>
      <c r="BD156" s="251"/>
      <c r="BE156" s="251"/>
      <c r="BF156" s="251"/>
      <c r="BG156" s="251"/>
      <c r="BH156" s="251"/>
      <c r="BI156" s="251"/>
      <c r="BJ156" s="251"/>
      <c r="BK156" s="251"/>
      <c r="BL156" s="251"/>
      <c r="BM156" s="251"/>
      <c r="BN156" s="251"/>
      <c r="BO156" s="251"/>
      <c r="BP156" s="251"/>
      <c r="BQ156" s="251"/>
      <c r="BR156" s="251"/>
      <c r="BS156" s="251"/>
      <c r="BT156" s="251"/>
      <c r="BU156" s="251"/>
      <c r="BV156" s="251"/>
      <c r="BW156" s="251"/>
      <c r="BX156" s="251"/>
      <c r="BY156" s="251"/>
      <c r="BZ156" s="251"/>
      <c r="CA156" s="251"/>
      <c r="CB156" s="251"/>
      <c r="CC156" s="251"/>
      <c r="CD156" s="251"/>
      <c r="CE156" s="251"/>
      <c r="CF156" s="251"/>
      <c r="CG156" s="251"/>
      <c r="CH156" s="251"/>
      <c r="CI156" s="251"/>
      <c r="CJ156" s="251"/>
      <c r="CK156" s="251"/>
      <c r="CL156" s="251"/>
      <c r="CM156" s="251"/>
      <c r="CN156" s="251"/>
      <c r="CO156" s="251"/>
      <c r="CP156" s="251"/>
      <c r="CQ156" s="251"/>
      <c r="CR156" s="251"/>
      <c r="CS156" s="251"/>
      <c r="CT156" s="251"/>
      <c r="CU156" s="251"/>
      <c r="CV156" s="251"/>
      <c r="CW156" s="251"/>
      <c r="CX156" s="251"/>
      <c r="CY156" s="251"/>
      <c r="CZ156" s="251"/>
      <c r="DA156" s="251"/>
      <c r="DB156" s="251"/>
      <c r="DC156" s="251"/>
      <c r="DD156" s="251"/>
      <c r="DE156" s="251"/>
      <c r="DF156" s="251"/>
      <c r="DG156" s="251"/>
      <c r="DH156" s="251"/>
      <c r="DI156" s="251"/>
      <c r="DJ156" s="251"/>
      <c r="DK156" s="251"/>
      <c r="DL156" s="251"/>
      <c r="DM156" s="251"/>
      <c r="DN156" s="251"/>
      <c r="DO156" s="251"/>
      <c r="DP156" s="251"/>
      <c r="DQ156" s="251"/>
      <c r="DR156" s="251"/>
      <c r="DS156" s="251"/>
      <c r="DT156" s="251"/>
      <c r="DU156" s="251"/>
      <c r="DV156" s="251"/>
      <c r="DW156" s="251"/>
      <c r="DX156" s="251"/>
      <c r="DY156" s="251"/>
      <c r="DZ156" s="251"/>
      <c r="EA156" s="251"/>
      <c r="EB156" s="251"/>
      <c r="EC156" s="251"/>
      <c r="ED156" s="251"/>
      <c r="EE156" s="251"/>
      <c r="EF156" s="251"/>
      <c r="EG156" s="251"/>
      <c r="EH156" s="251"/>
      <c r="EI156" s="251"/>
      <c r="EJ156" s="251"/>
      <c r="EK156" s="251"/>
      <c r="EL156" s="251"/>
      <c r="EM156" s="251"/>
      <c r="EN156" s="251"/>
      <c r="EO156" s="251"/>
      <c r="EP156" s="251"/>
      <c r="EQ156" s="251"/>
      <c r="ER156" s="251"/>
      <c r="ES156" s="251"/>
      <c r="ET156" s="251"/>
      <c r="EU156" s="251"/>
      <c r="EV156" s="251"/>
      <c r="EW156" s="251"/>
      <c r="EX156" s="251"/>
      <c r="EY156" s="251"/>
      <c r="EZ156" s="251"/>
      <c r="FA156" s="251"/>
      <c r="FB156" s="251"/>
      <c r="FC156" s="251"/>
      <c r="FD156" s="251"/>
      <c r="FE156" s="251"/>
      <c r="FF156" s="251"/>
      <c r="FG156" s="251"/>
      <c r="FH156" s="251"/>
      <c r="FI156" s="251"/>
      <c r="FJ156" s="251"/>
      <c r="FK156" s="251"/>
      <c r="FL156" s="251"/>
      <c r="FM156" s="251"/>
      <c r="FN156" s="251"/>
      <c r="FO156" s="251"/>
      <c r="FP156" s="251"/>
      <c r="FQ156" s="251"/>
      <c r="FR156" s="251"/>
      <c r="FS156" s="251"/>
      <c r="FT156" s="251"/>
      <c r="FU156" s="251"/>
      <c r="FV156" s="251"/>
      <c r="FW156" s="251"/>
      <c r="FX156" s="251"/>
      <c r="FY156" s="251"/>
      <c r="FZ156" s="251"/>
      <c r="GA156" s="251"/>
      <c r="GB156" s="251"/>
      <c r="GC156" s="251"/>
      <c r="GD156" s="251"/>
      <c r="GE156" s="251"/>
      <c r="GF156" s="251"/>
      <c r="GG156" s="251"/>
      <c r="GH156" s="251"/>
      <c r="GI156" s="251"/>
      <c r="GJ156" s="251"/>
      <c r="GK156" s="251"/>
      <c r="GL156" s="251"/>
      <c r="GM156" s="251"/>
      <c r="GN156" s="251"/>
      <c r="GO156" s="251"/>
      <c r="GP156" s="251"/>
      <c r="GQ156" s="251"/>
      <c r="GR156" s="251"/>
      <c r="GS156" s="251"/>
      <c r="GT156" s="251"/>
      <c r="GU156" s="251"/>
      <c r="GV156" s="251"/>
      <c r="GW156" s="251"/>
      <c r="GX156" s="251"/>
      <c r="GY156" s="251"/>
      <c r="GZ156" s="251"/>
      <c r="HA156" s="251"/>
      <c r="HB156" s="251"/>
      <c r="HC156" s="251"/>
      <c r="HD156" s="251"/>
      <c r="HE156" s="251"/>
      <c r="HF156" s="251"/>
      <c r="HG156" s="251"/>
      <c r="HH156" s="251"/>
      <c r="HI156" s="251"/>
      <c r="HJ156" s="251"/>
      <c r="HK156" s="251"/>
      <c r="HL156" s="251"/>
      <c r="HM156" s="251"/>
      <c r="HN156" s="251"/>
      <c r="HO156" s="251"/>
      <c r="HP156" s="251"/>
      <c r="HQ156" s="251"/>
      <c r="HR156" s="251"/>
      <c r="HS156" s="251"/>
      <c r="HT156" s="251"/>
      <c r="HU156" s="251"/>
      <c r="HV156" s="251"/>
      <c r="HW156" s="251"/>
      <c r="HX156" s="251"/>
      <c r="HY156" s="251"/>
      <c r="HZ156" s="251"/>
      <c r="IA156" s="251"/>
      <c r="IB156" s="251"/>
      <c r="IC156" s="251"/>
      <c r="ID156" s="251"/>
      <c r="IE156" s="251"/>
      <c r="IF156" s="251"/>
      <c r="IG156" s="251"/>
      <c r="IH156" s="251"/>
      <c r="II156" s="251"/>
      <c r="IJ156" s="251"/>
      <c r="IK156" s="251"/>
      <c r="IL156" s="251"/>
      <c r="IM156" s="251"/>
      <c r="IN156" s="251"/>
      <c r="IO156" s="251"/>
      <c r="IP156" s="251"/>
      <c r="IQ156" s="251"/>
      <c r="IR156" s="251"/>
      <c r="IS156" s="251"/>
      <c r="IT156" s="251"/>
      <c r="IU156" s="251"/>
      <c r="IV156" s="251"/>
      <c r="IW156" s="251"/>
      <c r="IX156" s="251"/>
      <c r="IY156" s="251"/>
      <c r="IZ156" s="251"/>
      <c r="JA156" s="251"/>
      <c r="JB156" s="251"/>
      <c r="JC156" s="251"/>
      <c r="JD156" s="251"/>
      <c r="JE156" s="251"/>
      <c r="JF156" s="251"/>
      <c r="JG156" s="251"/>
      <c r="JH156" s="251"/>
      <c r="JI156" s="251"/>
    </row>
    <row r="157" spans="1:269">
      <c r="A157" s="251"/>
      <c r="B157" s="251"/>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251"/>
      <c r="BE157" s="251"/>
      <c r="BF157" s="251"/>
      <c r="BG157" s="251"/>
      <c r="BH157" s="251"/>
      <c r="BI157" s="251"/>
      <c r="BJ157" s="251"/>
      <c r="BK157" s="251"/>
      <c r="BL157" s="251"/>
      <c r="BM157" s="251"/>
      <c r="BN157" s="251"/>
      <c r="BO157" s="251"/>
      <c r="BP157" s="251"/>
      <c r="BQ157" s="251"/>
      <c r="BR157" s="251"/>
      <c r="BS157" s="251"/>
      <c r="BT157" s="251"/>
      <c r="BU157" s="251"/>
      <c r="BV157" s="251"/>
      <c r="BW157" s="251"/>
      <c r="BX157" s="251"/>
      <c r="BY157" s="251"/>
      <c r="BZ157" s="251"/>
      <c r="CA157" s="251"/>
      <c r="CB157" s="251"/>
      <c r="CC157" s="251"/>
      <c r="CD157" s="251"/>
      <c r="CE157" s="251"/>
      <c r="CF157" s="251"/>
      <c r="CG157" s="251"/>
      <c r="CH157" s="251"/>
      <c r="CI157" s="251"/>
      <c r="CJ157" s="251"/>
      <c r="CK157" s="251"/>
      <c r="CL157" s="251"/>
      <c r="CM157" s="251"/>
      <c r="CN157" s="251"/>
      <c r="CO157" s="251"/>
      <c r="CP157" s="251"/>
      <c r="CQ157" s="251"/>
      <c r="CR157" s="251"/>
      <c r="CS157" s="251"/>
      <c r="CT157" s="251"/>
      <c r="CU157" s="251"/>
      <c r="CV157" s="251"/>
      <c r="CW157" s="251"/>
      <c r="CX157" s="251"/>
      <c r="CY157" s="251"/>
      <c r="CZ157" s="251"/>
      <c r="DA157" s="251"/>
      <c r="DB157" s="251"/>
      <c r="DC157" s="251"/>
      <c r="DD157" s="251"/>
      <c r="DE157" s="251"/>
      <c r="DF157" s="251"/>
      <c r="DG157" s="251"/>
      <c r="DH157" s="251"/>
      <c r="DI157" s="251"/>
      <c r="DJ157" s="251"/>
      <c r="DK157" s="251"/>
      <c r="DL157" s="251"/>
      <c r="DM157" s="251"/>
      <c r="DN157" s="251"/>
      <c r="DO157" s="251"/>
      <c r="DP157" s="251"/>
      <c r="DQ157" s="251"/>
      <c r="DR157" s="251"/>
      <c r="DS157" s="251"/>
      <c r="DT157" s="251"/>
      <c r="DU157" s="251"/>
      <c r="DV157" s="251"/>
      <c r="DW157" s="251"/>
      <c r="DX157" s="251"/>
      <c r="DY157" s="251"/>
      <c r="DZ157" s="251"/>
      <c r="EA157" s="251"/>
      <c r="EB157" s="251"/>
      <c r="EC157" s="251"/>
      <c r="ED157" s="251"/>
      <c r="EE157" s="251"/>
      <c r="EF157" s="251"/>
      <c r="EG157" s="251"/>
      <c r="EH157" s="251"/>
      <c r="EI157" s="251"/>
      <c r="EJ157" s="251"/>
      <c r="EK157" s="251"/>
      <c r="EL157" s="251"/>
      <c r="EM157" s="251"/>
      <c r="EN157" s="251"/>
      <c r="EO157" s="251"/>
      <c r="EP157" s="251"/>
      <c r="EQ157" s="251"/>
      <c r="ER157" s="251"/>
      <c r="ES157" s="251"/>
      <c r="ET157" s="251"/>
      <c r="EU157" s="251"/>
      <c r="EV157" s="251"/>
      <c r="EW157" s="251"/>
      <c r="EX157" s="251"/>
      <c r="EY157" s="251"/>
      <c r="EZ157" s="251"/>
      <c r="FA157" s="251"/>
      <c r="FB157" s="251"/>
      <c r="FC157" s="251"/>
      <c r="FD157" s="251"/>
      <c r="FE157" s="251"/>
      <c r="FF157" s="251"/>
      <c r="FG157" s="251"/>
      <c r="FH157" s="251"/>
      <c r="FI157" s="251"/>
      <c r="FJ157" s="251"/>
      <c r="FK157" s="251"/>
      <c r="FL157" s="251"/>
      <c r="FM157" s="251"/>
      <c r="FN157" s="251"/>
      <c r="FO157" s="251"/>
      <c r="FP157" s="251"/>
      <c r="FQ157" s="251"/>
      <c r="FR157" s="251"/>
      <c r="FS157" s="251"/>
      <c r="FT157" s="251"/>
      <c r="FU157" s="251"/>
      <c r="FV157" s="251"/>
      <c r="FW157" s="251"/>
      <c r="FX157" s="251"/>
      <c r="FY157" s="251"/>
      <c r="FZ157" s="251"/>
      <c r="GA157" s="251"/>
      <c r="GB157" s="251"/>
      <c r="GC157" s="251"/>
      <c r="GD157" s="251"/>
      <c r="GE157" s="251"/>
      <c r="GF157" s="251"/>
      <c r="GG157" s="251"/>
      <c r="GH157" s="251"/>
      <c r="GI157" s="251"/>
      <c r="GJ157" s="251"/>
      <c r="GK157" s="251"/>
      <c r="GL157" s="251"/>
      <c r="GM157" s="251"/>
      <c r="GN157" s="251"/>
      <c r="GO157" s="251"/>
      <c r="GP157" s="251"/>
      <c r="GQ157" s="251"/>
      <c r="GR157" s="251"/>
      <c r="GS157" s="251"/>
      <c r="GT157" s="251"/>
      <c r="GU157" s="251"/>
      <c r="GV157" s="251"/>
      <c r="GW157" s="251"/>
      <c r="GX157" s="251"/>
      <c r="GY157" s="251"/>
      <c r="GZ157" s="251"/>
      <c r="HA157" s="251"/>
      <c r="HB157" s="251"/>
      <c r="HC157" s="251"/>
      <c r="HD157" s="251"/>
      <c r="HE157" s="251"/>
      <c r="HF157" s="251"/>
      <c r="HG157" s="251"/>
      <c r="HH157" s="251"/>
      <c r="HI157" s="251"/>
      <c r="HJ157" s="251"/>
      <c r="HK157" s="251"/>
      <c r="HL157" s="251"/>
      <c r="HM157" s="251"/>
      <c r="HN157" s="251"/>
      <c r="HO157" s="251"/>
      <c r="HP157" s="251"/>
      <c r="HQ157" s="251"/>
      <c r="HR157" s="251"/>
      <c r="HS157" s="251"/>
      <c r="HT157" s="251"/>
      <c r="HU157" s="251"/>
      <c r="HV157" s="251"/>
      <c r="HW157" s="251"/>
      <c r="HX157" s="251"/>
      <c r="HY157" s="251"/>
      <c r="HZ157" s="251"/>
      <c r="IA157" s="251"/>
      <c r="IB157" s="251"/>
      <c r="IC157" s="251"/>
      <c r="ID157" s="251"/>
      <c r="IE157" s="251"/>
      <c r="IF157" s="251"/>
      <c r="IG157" s="251"/>
      <c r="IH157" s="251"/>
      <c r="II157" s="251"/>
      <c r="IJ157" s="251"/>
      <c r="IK157" s="251"/>
      <c r="IL157" s="251"/>
      <c r="IM157" s="251"/>
      <c r="IN157" s="251"/>
      <c r="IO157" s="251"/>
      <c r="IP157" s="251"/>
      <c r="IQ157" s="251"/>
      <c r="IR157" s="251"/>
      <c r="IS157" s="251"/>
      <c r="IT157" s="251"/>
      <c r="IU157" s="251"/>
      <c r="IV157" s="251"/>
      <c r="IW157" s="251"/>
      <c r="IX157" s="251"/>
      <c r="IY157" s="251"/>
      <c r="IZ157" s="251"/>
      <c r="JA157" s="251"/>
      <c r="JB157" s="251"/>
      <c r="JC157" s="251"/>
      <c r="JD157" s="251"/>
      <c r="JE157" s="251"/>
      <c r="JF157" s="251"/>
      <c r="JG157" s="251"/>
      <c r="JH157" s="251"/>
      <c r="JI157" s="251"/>
    </row>
    <row r="158" spans="1:269">
      <c r="A158" s="251"/>
      <c r="B158" s="251"/>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c r="BA158" s="251"/>
      <c r="BB158" s="251"/>
      <c r="BC158" s="251"/>
      <c r="BD158" s="251"/>
      <c r="BE158" s="251"/>
      <c r="BF158" s="251"/>
      <c r="BG158" s="251"/>
      <c r="BH158" s="251"/>
      <c r="BI158" s="251"/>
      <c r="BJ158" s="251"/>
      <c r="BK158" s="251"/>
      <c r="BL158" s="251"/>
      <c r="BM158" s="251"/>
      <c r="BN158" s="251"/>
      <c r="BO158" s="251"/>
      <c r="BP158" s="251"/>
      <c r="BQ158" s="251"/>
      <c r="BR158" s="251"/>
      <c r="BS158" s="251"/>
      <c r="BT158" s="251"/>
      <c r="BU158" s="251"/>
      <c r="BV158" s="251"/>
      <c r="BW158" s="251"/>
      <c r="BX158" s="251"/>
      <c r="BY158" s="251"/>
      <c r="BZ158" s="251"/>
      <c r="CA158" s="251"/>
      <c r="CB158" s="251"/>
      <c r="CC158" s="251"/>
      <c r="CD158" s="251"/>
      <c r="CE158" s="251"/>
      <c r="CF158" s="251"/>
      <c r="CG158" s="251"/>
      <c r="CH158" s="251"/>
      <c r="CI158" s="251"/>
      <c r="CJ158" s="251"/>
      <c r="CK158" s="251"/>
      <c r="CL158" s="251"/>
      <c r="CM158" s="251"/>
      <c r="CN158" s="251"/>
      <c r="CO158" s="251"/>
      <c r="CP158" s="251"/>
      <c r="CQ158" s="251"/>
      <c r="CR158" s="251"/>
      <c r="CS158" s="251"/>
      <c r="CT158" s="251"/>
      <c r="CU158" s="251"/>
      <c r="CV158" s="251"/>
      <c r="CW158" s="251"/>
      <c r="CX158" s="251"/>
      <c r="CY158" s="251"/>
      <c r="CZ158" s="251"/>
      <c r="DA158" s="251"/>
      <c r="DB158" s="251"/>
      <c r="DC158" s="251"/>
      <c r="DD158" s="251"/>
      <c r="DE158" s="251"/>
      <c r="DF158" s="251"/>
      <c r="DG158" s="251"/>
      <c r="DH158" s="251"/>
      <c r="DI158" s="251"/>
      <c r="DJ158" s="251"/>
      <c r="DK158" s="251"/>
      <c r="DL158" s="251"/>
      <c r="DM158" s="251"/>
      <c r="DN158" s="251"/>
      <c r="DO158" s="251"/>
      <c r="DP158" s="251"/>
      <c r="DQ158" s="251"/>
      <c r="DR158" s="251"/>
      <c r="DS158" s="251"/>
      <c r="DT158" s="251"/>
      <c r="DU158" s="251"/>
      <c r="DV158" s="251"/>
      <c r="DW158" s="251"/>
      <c r="DX158" s="251"/>
      <c r="DY158" s="251"/>
      <c r="DZ158" s="251"/>
      <c r="EA158" s="251"/>
      <c r="EB158" s="251"/>
      <c r="EC158" s="251"/>
      <c r="ED158" s="251"/>
      <c r="EE158" s="251"/>
      <c r="EF158" s="251"/>
      <c r="EG158" s="251"/>
      <c r="EH158" s="251"/>
      <c r="EI158" s="251"/>
      <c r="EJ158" s="251"/>
      <c r="EK158" s="251"/>
      <c r="EL158" s="251"/>
      <c r="EM158" s="251"/>
      <c r="EN158" s="251"/>
      <c r="EO158" s="251"/>
      <c r="EP158" s="251"/>
      <c r="EQ158" s="251"/>
      <c r="ER158" s="251"/>
      <c r="ES158" s="251"/>
      <c r="ET158" s="251"/>
      <c r="EU158" s="251"/>
      <c r="EV158" s="251"/>
      <c r="EW158" s="251"/>
      <c r="EX158" s="251"/>
      <c r="EY158" s="251"/>
      <c r="EZ158" s="251"/>
      <c r="FA158" s="251"/>
      <c r="FB158" s="251"/>
      <c r="FC158" s="251"/>
      <c r="FD158" s="251"/>
      <c r="FE158" s="251"/>
      <c r="FF158" s="251"/>
      <c r="FG158" s="251"/>
      <c r="FH158" s="251"/>
      <c r="FI158" s="251"/>
      <c r="FJ158" s="251"/>
      <c r="FK158" s="251"/>
      <c r="FL158" s="251"/>
      <c r="FM158" s="251"/>
      <c r="FN158" s="251"/>
      <c r="FO158" s="251"/>
      <c r="FP158" s="251"/>
      <c r="FQ158" s="251"/>
      <c r="FR158" s="251"/>
      <c r="FS158" s="251"/>
      <c r="FT158" s="251"/>
      <c r="FU158" s="251"/>
      <c r="FV158" s="251"/>
      <c r="FW158" s="251"/>
      <c r="FX158" s="251"/>
      <c r="FY158" s="251"/>
      <c r="FZ158" s="251"/>
      <c r="GA158" s="251"/>
      <c r="GB158" s="251"/>
      <c r="GC158" s="251"/>
      <c r="GD158" s="251"/>
      <c r="GE158" s="251"/>
      <c r="GF158" s="251"/>
      <c r="GG158" s="251"/>
      <c r="GH158" s="251"/>
      <c r="GI158" s="251"/>
      <c r="GJ158" s="251"/>
      <c r="GK158" s="251"/>
      <c r="GL158" s="251"/>
      <c r="GM158" s="251"/>
      <c r="GN158" s="251"/>
      <c r="GO158" s="251"/>
      <c r="GP158" s="251"/>
      <c r="GQ158" s="251"/>
      <c r="GR158" s="251"/>
      <c r="GS158" s="251"/>
      <c r="GT158" s="251"/>
      <c r="GU158" s="251"/>
      <c r="GV158" s="251"/>
      <c r="GW158" s="251"/>
      <c r="GX158" s="251"/>
      <c r="GY158" s="251"/>
      <c r="GZ158" s="251"/>
      <c r="HA158" s="251"/>
      <c r="HB158" s="251"/>
      <c r="HC158" s="251"/>
      <c r="HD158" s="251"/>
      <c r="HE158" s="251"/>
      <c r="HF158" s="251"/>
      <c r="HG158" s="251"/>
      <c r="HH158" s="251"/>
      <c r="HI158" s="251"/>
      <c r="HJ158" s="251"/>
      <c r="HK158" s="251"/>
      <c r="HL158" s="251"/>
      <c r="HM158" s="251"/>
      <c r="HN158" s="251"/>
      <c r="HO158" s="251"/>
      <c r="HP158" s="251"/>
      <c r="HQ158" s="251"/>
      <c r="HR158" s="251"/>
      <c r="HS158" s="251"/>
      <c r="HT158" s="251"/>
      <c r="HU158" s="251"/>
      <c r="HV158" s="251"/>
      <c r="HW158" s="251"/>
      <c r="HX158" s="251"/>
      <c r="HY158" s="251"/>
      <c r="HZ158" s="251"/>
      <c r="IA158" s="251"/>
      <c r="IB158" s="251"/>
      <c r="IC158" s="251"/>
      <c r="ID158" s="251"/>
      <c r="IE158" s="251"/>
      <c r="IF158" s="251"/>
      <c r="IG158" s="251"/>
      <c r="IH158" s="251"/>
      <c r="II158" s="251"/>
      <c r="IJ158" s="251"/>
      <c r="IK158" s="251"/>
      <c r="IL158" s="251"/>
      <c r="IM158" s="251"/>
      <c r="IN158" s="251"/>
      <c r="IO158" s="251"/>
      <c r="IP158" s="251"/>
      <c r="IQ158" s="251"/>
      <c r="IR158" s="251"/>
      <c r="IS158" s="251"/>
      <c r="IT158" s="251"/>
      <c r="IU158" s="251"/>
      <c r="IV158" s="251"/>
      <c r="IW158" s="251"/>
      <c r="IX158" s="251"/>
      <c r="IY158" s="251"/>
      <c r="IZ158" s="251"/>
      <c r="JA158" s="251"/>
      <c r="JB158" s="251"/>
      <c r="JC158" s="251"/>
      <c r="JD158" s="251"/>
      <c r="JE158" s="251"/>
      <c r="JF158" s="251"/>
      <c r="JG158" s="251"/>
      <c r="JH158" s="251"/>
      <c r="JI158" s="251"/>
    </row>
    <row r="159" spans="1:269">
      <c r="A159" s="251"/>
      <c r="B159" s="251"/>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251"/>
      <c r="AV159" s="251"/>
      <c r="AW159" s="251"/>
      <c r="AX159" s="251"/>
      <c r="AY159" s="251"/>
      <c r="AZ159" s="251"/>
      <c r="BA159" s="251"/>
      <c r="BB159" s="251"/>
      <c r="BC159" s="251"/>
      <c r="BD159" s="251"/>
      <c r="BE159" s="251"/>
      <c r="BF159" s="251"/>
      <c r="BG159" s="251"/>
      <c r="BH159" s="251"/>
      <c r="BI159" s="251"/>
      <c r="BJ159" s="251"/>
      <c r="BK159" s="251"/>
      <c r="BL159" s="251"/>
      <c r="BM159" s="251"/>
      <c r="BN159" s="251"/>
      <c r="BO159" s="251"/>
      <c r="BP159" s="251"/>
      <c r="BQ159" s="251"/>
      <c r="BR159" s="251"/>
      <c r="BS159" s="251"/>
      <c r="BT159" s="251"/>
      <c r="BU159" s="251"/>
      <c r="BV159" s="251"/>
      <c r="BW159" s="251"/>
      <c r="BX159" s="251"/>
      <c r="BY159" s="251"/>
      <c r="BZ159" s="251"/>
      <c r="CA159" s="251"/>
      <c r="CB159" s="251"/>
      <c r="CC159" s="251"/>
      <c r="CD159" s="251"/>
      <c r="CE159" s="251"/>
      <c r="CF159" s="251"/>
      <c r="CG159" s="251"/>
      <c r="CH159" s="251"/>
      <c r="CI159" s="251"/>
      <c r="CJ159" s="251"/>
      <c r="CK159" s="251"/>
      <c r="CL159" s="251"/>
      <c r="CM159" s="251"/>
      <c r="CN159" s="251"/>
      <c r="CO159" s="251"/>
      <c r="CP159" s="251"/>
      <c r="CQ159" s="251"/>
      <c r="CR159" s="251"/>
      <c r="CS159" s="251"/>
      <c r="CT159" s="251"/>
      <c r="CU159" s="251"/>
      <c r="CV159" s="251"/>
      <c r="CW159" s="251"/>
      <c r="CX159" s="251"/>
      <c r="CY159" s="251"/>
      <c r="CZ159" s="251"/>
      <c r="DA159" s="251"/>
      <c r="DB159" s="251"/>
      <c r="DC159" s="251"/>
      <c r="DD159" s="251"/>
      <c r="DE159" s="251"/>
      <c r="DF159" s="251"/>
      <c r="DG159" s="251"/>
      <c r="DH159" s="251"/>
      <c r="DI159" s="251"/>
      <c r="DJ159" s="251"/>
      <c r="DK159" s="251"/>
      <c r="DL159" s="251"/>
      <c r="DM159" s="251"/>
      <c r="DN159" s="251"/>
      <c r="DO159" s="251"/>
      <c r="DP159" s="251"/>
      <c r="DQ159" s="251"/>
      <c r="DR159" s="251"/>
      <c r="DS159" s="251"/>
      <c r="DT159" s="251"/>
      <c r="DU159" s="251"/>
      <c r="DV159" s="251"/>
      <c r="DW159" s="251"/>
      <c r="DX159" s="251"/>
      <c r="DY159" s="251"/>
      <c r="DZ159" s="251"/>
      <c r="EA159" s="251"/>
      <c r="EB159" s="251"/>
      <c r="EC159" s="251"/>
      <c r="ED159" s="251"/>
      <c r="EE159" s="251"/>
      <c r="EF159" s="251"/>
      <c r="EG159" s="251"/>
      <c r="EH159" s="251"/>
      <c r="EI159" s="251"/>
      <c r="EJ159" s="251"/>
      <c r="EK159" s="251"/>
      <c r="EL159" s="251"/>
      <c r="EM159" s="251"/>
      <c r="EN159" s="251"/>
      <c r="EO159" s="251"/>
      <c r="EP159" s="251"/>
      <c r="EQ159" s="251"/>
      <c r="ER159" s="251"/>
      <c r="ES159" s="251"/>
      <c r="ET159" s="251"/>
      <c r="EU159" s="251"/>
      <c r="EV159" s="251"/>
      <c r="EW159" s="251"/>
      <c r="EX159" s="251"/>
      <c r="EY159" s="251"/>
      <c r="EZ159" s="251"/>
      <c r="FA159" s="251"/>
      <c r="FB159" s="251"/>
      <c r="FC159" s="251"/>
      <c r="FD159" s="251"/>
      <c r="FE159" s="251"/>
      <c r="FF159" s="251"/>
      <c r="FG159" s="251"/>
      <c r="FH159" s="251"/>
      <c r="FI159" s="251"/>
      <c r="FJ159" s="251"/>
      <c r="FK159" s="251"/>
      <c r="FL159" s="251"/>
      <c r="FM159" s="251"/>
      <c r="FN159" s="251"/>
      <c r="FO159" s="251"/>
      <c r="FP159" s="251"/>
      <c r="FQ159" s="251"/>
      <c r="FR159" s="251"/>
      <c r="FS159" s="251"/>
      <c r="FT159" s="251"/>
      <c r="FU159" s="251"/>
      <c r="FV159" s="251"/>
      <c r="FW159" s="251"/>
      <c r="FX159" s="251"/>
      <c r="FY159" s="251"/>
      <c r="FZ159" s="251"/>
      <c r="GA159" s="251"/>
      <c r="GB159" s="251"/>
      <c r="GC159" s="251"/>
      <c r="GD159" s="251"/>
      <c r="GE159" s="251"/>
      <c r="GF159" s="251"/>
      <c r="GG159" s="251"/>
      <c r="GH159" s="251"/>
      <c r="GI159" s="251"/>
      <c r="GJ159" s="251"/>
      <c r="GK159" s="251"/>
      <c r="GL159" s="251"/>
      <c r="GM159" s="251"/>
      <c r="GN159" s="251"/>
      <c r="GO159" s="251"/>
      <c r="GP159" s="251"/>
      <c r="GQ159" s="251"/>
      <c r="GR159" s="251"/>
      <c r="GS159" s="251"/>
      <c r="GT159" s="251"/>
      <c r="GU159" s="251"/>
      <c r="GV159" s="251"/>
      <c r="GW159" s="251"/>
      <c r="GX159" s="251"/>
      <c r="GY159" s="251"/>
      <c r="GZ159" s="251"/>
      <c r="HA159" s="251"/>
      <c r="HB159" s="251"/>
      <c r="HC159" s="251"/>
      <c r="HD159" s="251"/>
      <c r="HE159" s="251"/>
      <c r="HF159" s="251"/>
      <c r="HG159" s="251"/>
      <c r="HH159" s="251"/>
      <c r="HI159" s="251"/>
      <c r="HJ159" s="251"/>
      <c r="HK159" s="251"/>
      <c r="HL159" s="251"/>
      <c r="HM159" s="251"/>
      <c r="HN159" s="251"/>
      <c r="HO159" s="251"/>
      <c r="HP159" s="251"/>
      <c r="HQ159" s="251"/>
      <c r="HR159" s="251"/>
      <c r="HS159" s="251"/>
      <c r="HT159" s="251"/>
      <c r="HU159" s="251"/>
      <c r="HV159" s="251"/>
      <c r="HW159" s="251"/>
      <c r="HX159" s="251"/>
      <c r="HY159" s="251"/>
      <c r="HZ159" s="251"/>
      <c r="IA159" s="251"/>
      <c r="IB159" s="251"/>
      <c r="IC159" s="251"/>
      <c r="ID159" s="251"/>
      <c r="IE159" s="251"/>
      <c r="IF159" s="251"/>
      <c r="IG159" s="251"/>
      <c r="IH159" s="251"/>
      <c r="II159" s="251"/>
      <c r="IJ159" s="251"/>
      <c r="IK159" s="251"/>
      <c r="IL159" s="251"/>
      <c r="IM159" s="251"/>
      <c r="IN159" s="251"/>
      <c r="IO159" s="251"/>
      <c r="IP159" s="251"/>
      <c r="IQ159" s="251"/>
      <c r="IR159" s="251"/>
      <c r="IS159" s="251"/>
      <c r="IT159" s="251"/>
      <c r="IU159" s="251"/>
      <c r="IV159" s="251"/>
      <c r="IW159" s="251"/>
      <c r="IX159" s="251"/>
      <c r="IY159" s="251"/>
      <c r="IZ159" s="251"/>
      <c r="JA159" s="251"/>
      <c r="JB159" s="251"/>
      <c r="JC159" s="251"/>
      <c r="JD159" s="251"/>
      <c r="JE159" s="251"/>
      <c r="JF159" s="251"/>
      <c r="JG159" s="251"/>
      <c r="JH159" s="251"/>
      <c r="JI159" s="251"/>
    </row>
    <row r="160" spans="1:269">
      <c r="A160" s="251"/>
      <c r="B160" s="251"/>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251"/>
      <c r="AV160" s="251"/>
      <c r="AW160" s="251"/>
      <c r="AX160" s="251"/>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251"/>
      <c r="BU160" s="251"/>
      <c r="BV160" s="251"/>
      <c r="BW160" s="251"/>
      <c r="BX160" s="251"/>
      <c r="BY160" s="251"/>
      <c r="BZ160" s="251"/>
      <c r="CA160" s="251"/>
      <c r="CB160" s="251"/>
      <c r="CC160" s="251"/>
      <c r="CD160" s="251"/>
      <c r="CE160" s="251"/>
      <c r="CF160" s="251"/>
      <c r="CG160" s="251"/>
      <c r="CH160" s="251"/>
      <c r="CI160" s="251"/>
      <c r="CJ160" s="251"/>
      <c r="CK160" s="251"/>
      <c r="CL160" s="251"/>
      <c r="CM160" s="251"/>
      <c r="CN160" s="251"/>
      <c r="CO160" s="251"/>
      <c r="CP160" s="251"/>
      <c r="CQ160" s="251"/>
      <c r="CR160" s="251"/>
      <c r="CS160" s="251"/>
      <c r="CT160" s="251"/>
      <c r="CU160" s="251"/>
      <c r="CV160" s="251"/>
      <c r="CW160" s="251"/>
      <c r="CX160" s="251"/>
      <c r="CY160" s="251"/>
      <c r="CZ160" s="251"/>
      <c r="DA160" s="251"/>
      <c r="DB160" s="251"/>
      <c r="DC160" s="251"/>
      <c r="DD160" s="251"/>
      <c r="DE160" s="251"/>
      <c r="DF160" s="251"/>
      <c r="DG160" s="251"/>
      <c r="DH160" s="251"/>
      <c r="DI160" s="251"/>
      <c r="DJ160" s="251"/>
      <c r="DK160" s="251"/>
      <c r="DL160" s="251"/>
      <c r="DM160" s="251"/>
      <c r="DN160" s="251"/>
      <c r="DO160" s="251"/>
      <c r="DP160" s="251"/>
      <c r="DQ160" s="251"/>
      <c r="DR160" s="251"/>
      <c r="DS160" s="251"/>
      <c r="DT160" s="251"/>
      <c r="DU160" s="251"/>
      <c r="DV160" s="251"/>
      <c r="DW160" s="251"/>
      <c r="DX160" s="251"/>
      <c r="DY160" s="251"/>
      <c r="DZ160" s="251"/>
      <c r="EA160" s="251"/>
      <c r="EB160" s="251"/>
      <c r="EC160" s="251"/>
      <c r="ED160" s="251"/>
      <c r="EE160" s="251"/>
      <c r="EF160" s="251"/>
      <c r="EG160" s="251"/>
      <c r="EH160" s="251"/>
      <c r="EI160" s="251"/>
      <c r="EJ160" s="251"/>
      <c r="EK160" s="251"/>
      <c r="EL160" s="251"/>
      <c r="EM160" s="251"/>
      <c r="EN160" s="251"/>
      <c r="EO160" s="251"/>
      <c r="EP160" s="251"/>
      <c r="EQ160" s="251"/>
      <c r="ER160" s="251"/>
      <c r="ES160" s="251"/>
      <c r="ET160" s="251"/>
      <c r="EU160" s="251"/>
      <c r="EV160" s="251"/>
      <c r="EW160" s="251"/>
      <c r="EX160" s="251"/>
      <c r="EY160" s="251"/>
      <c r="EZ160" s="251"/>
      <c r="FA160" s="251"/>
      <c r="FB160" s="251"/>
      <c r="FC160" s="251"/>
      <c r="FD160" s="251"/>
      <c r="FE160" s="251"/>
      <c r="FF160" s="251"/>
      <c r="FG160" s="251"/>
      <c r="FH160" s="251"/>
      <c r="FI160" s="251"/>
      <c r="FJ160" s="251"/>
      <c r="FK160" s="251"/>
      <c r="FL160" s="251"/>
      <c r="FM160" s="251"/>
      <c r="FN160" s="251"/>
      <c r="FO160" s="251"/>
      <c r="FP160" s="251"/>
      <c r="FQ160" s="251"/>
      <c r="FR160" s="251"/>
      <c r="FS160" s="251"/>
      <c r="FT160" s="251"/>
      <c r="FU160" s="251"/>
      <c r="FV160" s="251"/>
      <c r="FW160" s="251"/>
      <c r="FX160" s="251"/>
      <c r="FY160" s="251"/>
      <c r="FZ160" s="251"/>
      <c r="GA160" s="251"/>
      <c r="GB160" s="251"/>
      <c r="GC160" s="251"/>
      <c r="GD160" s="251"/>
      <c r="GE160" s="251"/>
      <c r="GF160" s="251"/>
      <c r="GG160" s="251"/>
      <c r="GH160" s="251"/>
      <c r="GI160" s="251"/>
      <c r="GJ160" s="251"/>
      <c r="GK160" s="251"/>
      <c r="GL160" s="251"/>
      <c r="GM160" s="251"/>
      <c r="GN160" s="251"/>
      <c r="GO160" s="251"/>
      <c r="GP160" s="251"/>
      <c r="GQ160" s="251"/>
      <c r="GR160" s="251"/>
      <c r="GS160" s="251"/>
      <c r="GT160" s="251"/>
      <c r="GU160" s="251"/>
      <c r="GV160" s="251"/>
      <c r="GW160" s="251"/>
      <c r="GX160" s="251"/>
      <c r="GY160" s="251"/>
      <c r="GZ160" s="251"/>
      <c r="HA160" s="251"/>
      <c r="HB160" s="251"/>
      <c r="HC160" s="251"/>
      <c r="HD160" s="251"/>
      <c r="HE160" s="251"/>
      <c r="HF160" s="251"/>
      <c r="HG160" s="251"/>
      <c r="HH160" s="251"/>
      <c r="HI160" s="251"/>
      <c r="HJ160" s="251"/>
      <c r="HK160" s="251"/>
      <c r="HL160" s="251"/>
      <c r="HM160" s="251"/>
      <c r="HN160" s="251"/>
      <c r="HO160" s="251"/>
      <c r="HP160" s="251"/>
      <c r="HQ160" s="251"/>
      <c r="HR160" s="251"/>
      <c r="HS160" s="251"/>
      <c r="HT160" s="251"/>
      <c r="HU160" s="251"/>
      <c r="HV160" s="251"/>
      <c r="HW160" s="251"/>
      <c r="HX160" s="251"/>
      <c r="HY160" s="251"/>
      <c r="HZ160" s="251"/>
      <c r="IA160" s="251"/>
      <c r="IB160" s="251"/>
      <c r="IC160" s="251"/>
      <c r="ID160" s="251"/>
      <c r="IE160" s="251"/>
      <c r="IF160" s="251"/>
      <c r="IG160" s="251"/>
      <c r="IH160" s="251"/>
      <c r="II160" s="251"/>
      <c r="IJ160" s="251"/>
      <c r="IK160" s="251"/>
      <c r="IL160" s="251"/>
      <c r="IM160" s="251"/>
      <c r="IN160" s="251"/>
      <c r="IO160" s="251"/>
      <c r="IP160" s="251"/>
      <c r="IQ160" s="251"/>
      <c r="IR160" s="251"/>
      <c r="IS160" s="251"/>
      <c r="IT160" s="251"/>
      <c r="IU160" s="251"/>
      <c r="IV160" s="251"/>
      <c r="IW160" s="251"/>
      <c r="IX160" s="251"/>
      <c r="IY160" s="251"/>
      <c r="IZ160" s="251"/>
      <c r="JA160" s="251"/>
      <c r="JB160" s="251"/>
      <c r="JC160" s="251"/>
      <c r="JD160" s="251"/>
      <c r="JE160" s="251"/>
      <c r="JF160" s="251"/>
      <c r="JG160" s="251"/>
      <c r="JH160" s="251"/>
      <c r="JI160" s="251"/>
    </row>
    <row r="161" spans="1:269">
      <c r="A161" s="251"/>
      <c r="B161" s="251"/>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51"/>
      <c r="BR161" s="251"/>
      <c r="BS161" s="251"/>
      <c r="BT161" s="251"/>
      <c r="BU161" s="251"/>
      <c r="BV161" s="251"/>
      <c r="BW161" s="251"/>
      <c r="BX161" s="251"/>
      <c r="BY161" s="251"/>
      <c r="BZ161" s="251"/>
      <c r="CA161" s="251"/>
      <c r="CB161" s="251"/>
      <c r="CC161" s="251"/>
      <c r="CD161" s="251"/>
      <c r="CE161" s="251"/>
      <c r="CF161" s="251"/>
      <c r="CG161" s="251"/>
      <c r="CH161" s="251"/>
      <c r="CI161" s="251"/>
      <c r="CJ161" s="251"/>
      <c r="CK161" s="251"/>
      <c r="CL161" s="251"/>
      <c r="CM161" s="251"/>
      <c r="CN161" s="251"/>
      <c r="CO161" s="251"/>
      <c r="CP161" s="251"/>
      <c r="CQ161" s="251"/>
      <c r="CR161" s="251"/>
      <c r="CS161" s="251"/>
      <c r="CT161" s="251"/>
      <c r="CU161" s="251"/>
      <c r="CV161" s="251"/>
      <c r="CW161" s="251"/>
      <c r="CX161" s="251"/>
      <c r="CY161" s="251"/>
      <c r="CZ161" s="251"/>
      <c r="DA161" s="251"/>
      <c r="DB161" s="251"/>
      <c r="DC161" s="251"/>
      <c r="DD161" s="251"/>
      <c r="DE161" s="251"/>
      <c r="DF161" s="251"/>
      <c r="DG161" s="251"/>
      <c r="DH161" s="251"/>
      <c r="DI161" s="251"/>
      <c r="DJ161" s="251"/>
      <c r="DK161" s="251"/>
      <c r="DL161" s="251"/>
      <c r="DM161" s="251"/>
      <c r="DN161" s="251"/>
      <c r="DO161" s="251"/>
      <c r="DP161" s="251"/>
      <c r="DQ161" s="251"/>
      <c r="DR161" s="251"/>
      <c r="DS161" s="251"/>
      <c r="DT161" s="251"/>
      <c r="DU161" s="251"/>
      <c r="DV161" s="251"/>
      <c r="DW161" s="251"/>
      <c r="DX161" s="251"/>
      <c r="DY161" s="251"/>
      <c r="DZ161" s="251"/>
      <c r="EA161" s="251"/>
      <c r="EB161" s="251"/>
      <c r="EC161" s="251"/>
      <c r="ED161" s="251"/>
      <c r="EE161" s="251"/>
      <c r="EF161" s="251"/>
      <c r="EG161" s="251"/>
      <c r="EH161" s="251"/>
      <c r="EI161" s="251"/>
      <c r="EJ161" s="251"/>
      <c r="EK161" s="251"/>
      <c r="EL161" s="251"/>
      <c r="EM161" s="251"/>
      <c r="EN161" s="251"/>
      <c r="EO161" s="251"/>
      <c r="EP161" s="251"/>
      <c r="EQ161" s="251"/>
      <c r="ER161" s="251"/>
      <c r="ES161" s="251"/>
      <c r="ET161" s="251"/>
      <c r="EU161" s="251"/>
      <c r="EV161" s="251"/>
      <c r="EW161" s="251"/>
      <c r="EX161" s="251"/>
      <c r="EY161" s="251"/>
      <c r="EZ161" s="251"/>
      <c r="FA161" s="251"/>
      <c r="FB161" s="251"/>
      <c r="FC161" s="251"/>
      <c r="FD161" s="251"/>
      <c r="FE161" s="251"/>
      <c r="FF161" s="251"/>
      <c r="FG161" s="251"/>
      <c r="FH161" s="251"/>
      <c r="FI161" s="251"/>
      <c r="FJ161" s="251"/>
      <c r="FK161" s="251"/>
      <c r="FL161" s="251"/>
      <c r="FM161" s="251"/>
      <c r="FN161" s="251"/>
      <c r="FO161" s="251"/>
      <c r="FP161" s="251"/>
      <c r="FQ161" s="251"/>
      <c r="FR161" s="251"/>
      <c r="FS161" s="251"/>
      <c r="FT161" s="251"/>
      <c r="FU161" s="251"/>
      <c r="FV161" s="251"/>
      <c r="FW161" s="251"/>
      <c r="FX161" s="251"/>
      <c r="FY161" s="251"/>
      <c r="FZ161" s="251"/>
      <c r="GA161" s="251"/>
      <c r="GB161" s="251"/>
      <c r="GC161" s="251"/>
      <c r="GD161" s="251"/>
      <c r="GE161" s="251"/>
      <c r="GF161" s="251"/>
      <c r="GG161" s="251"/>
      <c r="GH161" s="251"/>
      <c r="GI161" s="251"/>
      <c r="GJ161" s="251"/>
      <c r="GK161" s="251"/>
      <c r="GL161" s="251"/>
      <c r="GM161" s="251"/>
      <c r="GN161" s="251"/>
      <c r="GO161" s="251"/>
      <c r="GP161" s="251"/>
      <c r="GQ161" s="251"/>
      <c r="GR161" s="251"/>
      <c r="GS161" s="251"/>
      <c r="GT161" s="251"/>
      <c r="GU161" s="251"/>
      <c r="GV161" s="251"/>
      <c r="GW161" s="251"/>
      <c r="GX161" s="251"/>
      <c r="GY161" s="251"/>
      <c r="GZ161" s="251"/>
      <c r="HA161" s="251"/>
      <c r="HB161" s="251"/>
      <c r="HC161" s="251"/>
      <c r="HD161" s="251"/>
      <c r="HE161" s="251"/>
      <c r="HF161" s="251"/>
      <c r="HG161" s="251"/>
      <c r="HH161" s="251"/>
      <c r="HI161" s="251"/>
      <c r="HJ161" s="251"/>
      <c r="HK161" s="251"/>
      <c r="HL161" s="251"/>
      <c r="HM161" s="251"/>
      <c r="HN161" s="251"/>
      <c r="HO161" s="251"/>
      <c r="HP161" s="251"/>
      <c r="HQ161" s="251"/>
      <c r="HR161" s="251"/>
      <c r="HS161" s="251"/>
      <c r="HT161" s="251"/>
      <c r="HU161" s="251"/>
      <c r="HV161" s="251"/>
      <c r="HW161" s="251"/>
      <c r="HX161" s="251"/>
      <c r="HY161" s="251"/>
      <c r="HZ161" s="251"/>
      <c r="IA161" s="251"/>
      <c r="IB161" s="251"/>
      <c r="IC161" s="251"/>
      <c r="ID161" s="251"/>
      <c r="IE161" s="251"/>
      <c r="IF161" s="251"/>
      <c r="IG161" s="251"/>
      <c r="IH161" s="251"/>
      <c r="II161" s="251"/>
      <c r="IJ161" s="251"/>
      <c r="IK161" s="251"/>
      <c r="IL161" s="251"/>
      <c r="IM161" s="251"/>
      <c r="IN161" s="251"/>
      <c r="IO161" s="251"/>
      <c r="IP161" s="251"/>
      <c r="IQ161" s="251"/>
      <c r="IR161" s="251"/>
      <c r="IS161" s="251"/>
      <c r="IT161" s="251"/>
      <c r="IU161" s="251"/>
      <c r="IV161" s="251"/>
      <c r="IW161" s="251"/>
      <c r="IX161" s="251"/>
      <c r="IY161" s="251"/>
      <c r="IZ161" s="251"/>
      <c r="JA161" s="251"/>
      <c r="JB161" s="251"/>
      <c r="JC161" s="251"/>
      <c r="JD161" s="251"/>
      <c r="JE161" s="251"/>
      <c r="JF161" s="251"/>
      <c r="JG161" s="251"/>
      <c r="JH161" s="251"/>
      <c r="JI161" s="251"/>
    </row>
    <row r="162" spans="1:269">
      <c r="A162" s="251"/>
      <c r="B162" s="251"/>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1"/>
      <c r="BV162" s="251"/>
      <c r="BW162" s="251"/>
      <c r="BX162" s="251"/>
      <c r="BY162" s="251"/>
      <c r="BZ162" s="251"/>
      <c r="CA162" s="251"/>
      <c r="CB162" s="251"/>
      <c r="CC162" s="251"/>
      <c r="CD162" s="251"/>
      <c r="CE162" s="251"/>
      <c r="CF162" s="251"/>
      <c r="CG162" s="251"/>
      <c r="CH162" s="251"/>
      <c r="CI162" s="251"/>
      <c r="CJ162" s="251"/>
      <c r="CK162" s="251"/>
      <c r="CL162" s="251"/>
      <c r="CM162" s="251"/>
      <c r="CN162" s="251"/>
      <c r="CO162" s="251"/>
      <c r="CP162" s="251"/>
      <c r="CQ162" s="251"/>
      <c r="CR162" s="251"/>
      <c r="CS162" s="251"/>
      <c r="CT162" s="251"/>
      <c r="CU162" s="251"/>
      <c r="CV162" s="251"/>
      <c r="CW162" s="251"/>
      <c r="CX162" s="251"/>
      <c r="CY162" s="251"/>
      <c r="CZ162" s="251"/>
      <c r="DA162" s="251"/>
      <c r="DB162" s="251"/>
      <c r="DC162" s="251"/>
      <c r="DD162" s="251"/>
      <c r="DE162" s="251"/>
      <c r="DF162" s="251"/>
      <c r="DG162" s="251"/>
      <c r="DH162" s="251"/>
      <c r="DI162" s="251"/>
      <c r="DJ162" s="251"/>
      <c r="DK162" s="251"/>
      <c r="DL162" s="251"/>
      <c r="DM162" s="251"/>
      <c r="DN162" s="251"/>
      <c r="DO162" s="251"/>
      <c r="DP162" s="251"/>
      <c r="DQ162" s="251"/>
      <c r="DR162" s="251"/>
      <c r="DS162" s="251"/>
      <c r="DT162" s="251"/>
      <c r="DU162" s="251"/>
      <c r="DV162" s="251"/>
      <c r="DW162" s="251"/>
      <c r="DX162" s="251"/>
      <c r="DY162" s="251"/>
      <c r="DZ162" s="251"/>
      <c r="EA162" s="251"/>
      <c r="EB162" s="251"/>
      <c r="EC162" s="251"/>
      <c r="ED162" s="251"/>
      <c r="EE162" s="251"/>
      <c r="EF162" s="251"/>
      <c r="EG162" s="251"/>
      <c r="EH162" s="251"/>
      <c r="EI162" s="251"/>
      <c r="EJ162" s="251"/>
      <c r="EK162" s="251"/>
      <c r="EL162" s="251"/>
      <c r="EM162" s="251"/>
      <c r="EN162" s="251"/>
      <c r="EO162" s="251"/>
      <c r="EP162" s="251"/>
      <c r="EQ162" s="251"/>
      <c r="ER162" s="251"/>
      <c r="ES162" s="251"/>
      <c r="ET162" s="251"/>
      <c r="EU162" s="251"/>
      <c r="EV162" s="251"/>
      <c r="EW162" s="251"/>
      <c r="EX162" s="251"/>
      <c r="EY162" s="251"/>
      <c r="EZ162" s="251"/>
      <c r="FA162" s="251"/>
      <c r="FB162" s="251"/>
      <c r="FC162" s="251"/>
      <c r="FD162" s="251"/>
      <c r="FE162" s="251"/>
      <c r="FF162" s="251"/>
      <c r="FG162" s="251"/>
      <c r="FH162" s="251"/>
      <c r="FI162" s="251"/>
      <c r="FJ162" s="251"/>
      <c r="FK162" s="251"/>
      <c r="FL162" s="251"/>
      <c r="FM162" s="251"/>
      <c r="FN162" s="251"/>
      <c r="FO162" s="251"/>
      <c r="FP162" s="251"/>
      <c r="FQ162" s="251"/>
      <c r="FR162" s="251"/>
      <c r="FS162" s="251"/>
      <c r="FT162" s="251"/>
      <c r="FU162" s="251"/>
      <c r="FV162" s="251"/>
      <c r="FW162" s="251"/>
      <c r="FX162" s="251"/>
      <c r="FY162" s="251"/>
      <c r="FZ162" s="251"/>
      <c r="GA162" s="251"/>
      <c r="GB162" s="251"/>
      <c r="GC162" s="251"/>
      <c r="GD162" s="251"/>
      <c r="GE162" s="251"/>
      <c r="GF162" s="251"/>
      <c r="GG162" s="251"/>
      <c r="GH162" s="251"/>
      <c r="GI162" s="251"/>
      <c r="GJ162" s="251"/>
      <c r="GK162" s="251"/>
      <c r="GL162" s="251"/>
      <c r="GM162" s="251"/>
      <c r="GN162" s="251"/>
      <c r="GO162" s="251"/>
      <c r="GP162" s="251"/>
      <c r="GQ162" s="251"/>
      <c r="GR162" s="251"/>
      <c r="GS162" s="251"/>
      <c r="GT162" s="251"/>
      <c r="GU162" s="251"/>
      <c r="GV162" s="251"/>
      <c r="GW162" s="251"/>
      <c r="GX162" s="251"/>
      <c r="GY162" s="251"/>
      <c r="GZ162" s="251"/>
      <c r="HA162" s="251"/>
      <c r="HB162" s="251"/>
      <c r="HC162" s="251"/>
      <c r="HD162" s="251"/>
      <c r="HE162" s="251"/>
      <c r="HF162" s="251"/>
      <c r="HG162" s="251"/>
      <c r="HH162" s="251"/>
      <c r="HI162" s="251"/>
      <c r="HJ162" s="251"/>
      <c r="HK162" s="251"/>
      <c r="HL162" s="251"/>
      <c r="HM162" s="251"/>
      <c r="HN162" s="251"/>
      <c r="HO162" s="251"/>
      <c r="HP162" s="251"/>
      <c r="HQ162" s="251"/>
      <c r="HR162" s="251"/>
      <c r="HS162" s="251"/>
      <c r="HT162" s="251"/>
      <c r="HU162" s="251"/>
      <c r="HV162" s="251"/>
      <c r="HW162" s="251"/>
      <c r="HX162" s="251"/>
      <c r="HY162" s="251"/>
      <c r="HZ162" s="251"/>
      <c r="IA162" s="251"/>
      <c r="IB162" s="251"/>
      <c r="IC162" s="251"/>
      <c r="ID162" s="251"/>
      <c r="IE162" s="251"/>
      <c r="IF162" s="251"/>
      <c r="IG162" s="251"/>
      <c r="IH162" s="251"/>
      <c r="II162" s="251"/>
      <c r="IJ162" s="251"/>
      <c r="IK162" s="251"/>
      <c r="IL162" s="251"/>
      <c r="IM162" s="251"/>
      <c r="IN162" s="251"/>
      <c r="IO162" s="251"/>
      <c r="IP162" s="251"/>
      <c r="IQ162" s="251"/>
      <c r="IR162" s="251"/>
      <c r="IS162" s="251"/>
      <c r="IT162" s="251"/>
      <c r="IU162" s="251"/>
      <c r="IV162" s="251"/>
      <c r="IW162" s="251"/>
      <c r="IX162" s="251"/>
      <c r="IY162" s="251"/>
      <c r="IZ162" s="251"/>
      <c r="JA162" s="251"/>
      <c r="JB162" s="251"/>
      <c r="JC162" s="251"/>
      <c r="JD162" s="251"/>
      <c r="JE162" s="251"/>
      <c r="JF162" s="251"/>
      <c r="JG162" s="251"/>
      <c r="JH162" s="251"/>
      <c r="JI162" s="251"/>
    </row>
    <row r="163" spans="1:269">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1"/>
      <c r="BX163" s="251"/>
      <c r="BY163" s="251"/>
      <c r="BZ163" s="251"/>
      <c r="CA163" s="251"/>
      <c r="CB163" s="251"/>
      <c r="CC163" s="251"/>
      <c r="CD163" s="251"/>
      <c r="CE163" s="251"/>
      <c r="CF163" s="251"/>
      <c r="CG163" s="251"/>
      <c r="CH163" s="251"/>
      <c r="CI163" s="251"/>
      <c r="CJ163" s="251"/>
      <c r="CK163" s="251"/>
      <c r="CL163" s="251"/>
      <c r="CM163" s="251"/>
      <c r="CN163" s="251"/>
      <c r="CO163" s="251"/>
      <c r="CP163" s="251"/>
      <c r="CQ163" s="251"/>
      <c r="CR163" s="251"/>
      <c r="CS163" s="251"/>
      <c r="CT163" s="251"/>
      <c r="CU163" s="251"/>
      <c r="CV163" s="251"/>
      <c r="CW163" s="251"/>
      <c r="CX163" s="251"/>
      <c r="CY163" s="251"/>
      <c r="CZ163" s="251"/>
      <c r="DA163" s="251"/>
      <c r="DB163" s="251"/>
      <c r="DC163" s="251"/>
      <c r="DD163" s="251"/>
      <c r="DE163" s="251"/>
      <c r="DF163" s="251"/>
      <c r="DG163" s="251"/>
      <c r="DH163" s="251"/>
      <c r="DI163" s="251"/>
      <c r="DJ163" s="251"/>
      <c r="DK163" s="251"/>
      <c r="DL163" s="251"/>
      <c r="DM163" s="251"/>
      <c r="DN163" s="251"/>
      <c r="DO163" s="251"/>
      <c r="DP163" s="251"/>
      <c r="DQ163" s="251"/>
      <c r="DR163" s="251"/>
      <c r="DS163" s="251"/>
      <c r="DT163" s="251"/>
      <c r="DU163" s="251"/>
      <c r="DV163" s="251"/>
      <c r="DW163" s="251"/>
      <c r="DX163" s="251"/>
      <c r="DY163" s="251"/>
      <c r="DZ163" s="251"/>
      <c r="EA163" s="251"/>
      <c r="EB163" s="251"/>
      <c r="EC163" s="251"/>
      <c r="ED163" s="251"/>
      <c r="EE163" s="251"/>
      <c r="EF163" s="251"/>
      <c r="EG163" s="251"/>
      <c r="EH163" s="251"/>
      <c r="EI163" s="251"/>
      <c r="EJ163" s="251"/>
      <c r="EK163" s="251"/>
      <c r="EL163" s="251"/>
      <c r="EM163" s="251"/>
      <c r="EN163" s="251"/>
      <c r="EO163" s="251"/>
      <c r="EP163" s="251"/>
      <c r="EQ163" s="251"/>
      <c r="ER163" s="251"/>
      <c r="ES163" s="251"/>
      <c r="ET163" s="251"/>
      <c r="EU163" s="251"/>
      <c r="EV163" s="251"/>
      <c r="EW163" s="251"/>
      <c r="EX163" s="251"/>
      <c r="EY163" s="251"/>
      <c r="EZ163" s="251"/>
      <c r="FA163" s="251"/>
      <c r="FB163" s="251"/>
      <c r="FC163" s="251"/>
      <c r="FD163" s="251"/>
      <c r="FE163" s="251"/>
      <c r="FF163" s="251"/>
      <c r="FG163" s="251"/>
      <c r="FH163" s="251"/>
      <c r="FI163" s="251"/>
      <c r="FJ163" s="251"/>
      <c r="FK163" s="251"/>
      <c r="FL163" s="251"/>
      <c r="FM163" s="251"/>
      <c r="FN163" s="251"/>
      <c r="FO163" s="251"/>
      <c r="FP163" s="251"/>
      <c r="FQ163" s="251"/>
      <c r="FR163" s="251"/>
      <c r="FS163" s="251"/>
      <c r="FT163" s="251"/>
      <c r="FU163" s="251"/>
      <c r="FV163" s="251"/>
      <c r="FW163" s="251"/>
      <c r="FX163" s="251"/>
      <c r="FY163" s="251"/>
      <c r="FZ163" s="251"/>
      <c r="GA163" s="251"/>
      <c r="GB163" s="251"/>
      <c r="GC163" s="251"/>
      <c r="GD163" s="251"/>
      <c r="GE163" s="251"/>
      <c r="GF163" s="251"/>
      <c r="GG163" s="251"/>
      <c r="GH163" s="251"/>
      <c r="GI163" s="251"/>
      <c r="GJ163" s="251"/>
      <c r="GK163" s="251"/>
      <c r="GL163" s="251"/>
      <c r="GM163" s="251"/>
      <c r="GN163" s="251"/>
      <c r="GO163" s="251"/>
      <c r="GP163" s="251"/>
      <c r="GQ163" s="251"/>
      <c r="GR163" s="251"/>
      <c r="GS163" s="251"/>
      <c r="GT163" s="251"/>
      <c r="GU163" s="251"/>
      <c r="GV163" s="251"/>
      <c r="GW163" s="251"/>
      <c r="GX163" s="251"/>
      <c r="GY163" s="251"/>
      <c r="GZ163" s="251"/>
      <c r="HA163" s="251"/>
      <c r="HB163" s="251"/>
      <c r="HC163" s="251"/>
      <c r="HD163" s="251"/>
      <c r="HE163" s="251"/>
      <c r="HF163" s="251"/>
      <c r="HG163" s="251"/>
      <c r="HH163" s="251"/>
      <c r="HI163" s="251"/>
      <c r="HJ163" s="251"/>
      <c r="HK163" s="251"/>
      <c r="HL163" s="251"/>
      <c r="HM163" s="251"/>
      <c r="HN163" s="251"/>
      <c r="HO163" s="251"/>
      <c r="HP163" s="251"/>
      <c r="HQ163" s="251"/>
      <c r="HR163" s="251"/>
      <c r="HS163" s="251"/>
      <c r="HT163" s="251"/>
      <c r="HU163" s="251"/>
      <c r="HV163" s="251"/>
      <c r="HW163" s="251"/>
      <c r="HX163" s="251"/>
      <c r="HY163" s="251"/>
      <c r="HZ163" s="251"/>
      <c r="IA163" s="251"/>
      <c r="IB163" s="251"/>
      <c r="IC163" s="251"/>
      <c r="ID163" s="251"/>
      <c r="IE163" s="251"/>
      <c r="IF163" s="251"/>
      <c r="IG163" s="251"/>
      <c r="IH163" s="251"/>
      <c r="II163" s="251"/>
      <c r="IJ163" s="251"/>
      <c r="IK163" s="251"/>
      <c r="IL163" s="251"/>
      <c r="IM163" s="251"/>
      <c r="IN163" s="251"/>
      <c r="IO163" s="251"/>
      <c r="IP163" s="251"/>
      <c r="IQ163" s="251"/>
      <c r="IR163" s="251"/>
      <c r="IS163" s="251"/>
      <c r="IT163" s="251"/>
      <c r="IU163" s="251"/>
      <c r="IV163" s="251"/>
      <c r="IW163" s="251"/>
      <c r="IX163" s="251"/>
      <c r="IY163" s="251"/>
      <c r="IZ163" s="251"/>
      <c r="JA163" s="251"/>
      <c r="JB163" s="251"/>
      <c r="JC163" s="251"/>
      <c r="JD163" s="251"/>
      <c r="JE163" s="251"/>
      <c r="JF163" s="251"/>
      <c r="JG163" s="251"/>
      <c r="JH163" s="251"/>
      <c r="JI163" s="251"/>
    </row>
    <row r="164" spans="1:269">
      <c r="A164" s="251"/>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1"/>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51"/>
      <c r="BR164" s="251"/>
      <c r="BS164" s="251"/>
      <c r="BT164" s="251"/>
      <c r="BU164" s="251"/>
      <c r="BV164" s="251"/>
      <c r="BW164" s="251"/>
      <c r="BX164" s="251"/>
      <c r="BY164" s="251"/>
      <c r="BZ164" s="251"/>
      <c r="CA164" s="251"/>
      <c r="CB164" s="251"/>
      <c r="CC164" s="251"/>
      <c r="CD164" s="251"/>
      <c r="CE164" s="251"/>
      <c r="CF164" s="251"/>
      <c r="CG164" s="251"/>
      <c r="CH164" s="251"/>
      <c r="CI164" s="251"/>
      <c r="CJ164" s="251"/>
      <c r="CK164" s="251"/>
      <c r="CL164" s="251"/>
      <c r="CM164" s="251"/>
      <c r="CN164" s="251"/>
      <c r="CO164" s="251"/>
      <c r="CP164" s="251"/>
      <c r="CQ164" s="251"/>
      <c r="CR164" s="251"/>
      <c r="CS164" s="251"/>
      <c r="CT164" s="251"/>
      <c r="CU164" s="251"/>
      <c r="CV164" s="251"/>
      <c r="CW164" s="251"/>
      <c r="CX164" s="251"/>
      <c r="CY164" s="251"/>
      <c r="CZ164" s="251"/>
      <c r="DA164" s="251"/>
      <c r="DB164" s="251"/>
      <c r="DC164" s="251"/>
      <c r="DD164" s="251"/>
      <c r="DE164" s="251"/>
      <c r="DF164" s="251"/>
      <c r="DG164" s="251"/>
      <c r="DH164" s="251"/>
      <c r="DI164" s="251"/>
      <c r="DJ164" s="251"/>
      <c r="DK164" s="251"/>
      <c r="DL164" s="251"/>
      <c r="DM164" s="251"/>
      <c r="DN164" s="251"/>
      <c r="DO164" s="251"/>
      <c r="DP164" s="251"/>
      <c r="DQ164" s="251"/>
      <c r="DR164" s="251"/>
      <c r="DS164" s="251"/>
      <c r="DT164" s="251"/>
      <c r="DU164" s="251"/>
      <c r="DV164" s="251"/>
      <c r="DW164" s="251"/>
      <c r="DX164" s="251"/>
      <c r="DY164" s="251"/>
      <c r="DZ164" s="251"/>
      <c r="EA164" s="251"/>
      <c r="EB164" s="251"/>
      <c r="EC164" s="251"/>
      <c r="ED164" s="251"/>
      <c r="EE164" s="251"/>
      <c r="EF164" s="251"/>
      <c r="EG164" s="251"/>
      <c r="EH164" s="251"/>
      <c r="EI164" s="251"/>
      <c r="EJ164" s="251"/>
      <c r="EK164" s="251"/>
      <c r="EL164" s="251"/>
      <c r="EM164" s="251"/>
      <c r="EN164" s="251"/>
      <c r="EO164" s="251"/>
      <c r="EP164" s="251"/>
      <c r="EQ164" s="251"/>
      <c r="ER164" s="251"/>
      <c r="ES164" s="251"/>
      <c r="ET164" s="251"/>
      <c r="EU164" s="251"/>
      <c r="EV164" s="251"/>
      <c r="EW164" s="251"/>
      <c r="EX164" s="251"/>
      <c r="EY164" s="251"/>
      <c r="EZ164" s="251"/>
      <c r="FA164" s="251"/>
      <c r="FB164" s="251"/>
      <c r="FC164" s="251"/>
      <c r="FD164" s="251"/>
      <c r="FE164" s="251"/>
      <c r="FF164" s="251"/>
      <c r="FG164" s="251"/>
      <c r="FH164" s="251"/>
      <c r="FI164" s="251"/>
      <c r="FJ164" s="251"/>
      <c r="FK164" s="251"/>
      <c r="FL164" s="251"/>
      <c r="FM164" s="251"/>
      <c r="FN164" s="251"/>
      <c r="FO164" s="251"/>
      <c r="FP164" s="251"/>
      <c r="FQ164" s="251"/>
      <c r="FR164" s="251"/>
      <c r="FS164" s="251"/>
      <c r="FT164" s="251"/>
      <c r="FU164" s="251"/>
      <c r="FV164" s="251"/>
      <c r="FW164" s="251"/>
      <c r="FX164" s="251"/>
      <c r="FY164" s="251"/>
      <c r="FZ164" s="251"/>
      <c r="GA164" s="251"/>
      <c r="GB164" s="251"/>
      <c r="GC164" s="251"/>
      <c r="GD164" s="251"/>
      <c r="GE164" s="251"/>
      <c r="GF164" s="251"/>
      <c r="GG164" s="251"/>
      <c r="GH164" s="251"/>
      <c r="GI164" s="251"/>
      <c r="GJ164" s="251"/>
      <c r="GK164" s="251"/>
      <c r="GL164" s="251"/>
      <c r="GM164" s="251"/>
      <c r="GN164" s="251"/>
      <c r="GO164" s="251"/>
      <c r="GP164" s="251"/>
      <c r="GQ164" s="251"/>
      <c r="GR164" s="251"/>
      <c r="GS164" s="251"/>
      <c r="GT164" s="251"/>
      <c r="GU164" s="251"/>
      <c r="GV164" s="251"/>
      <c r="GW164" s="251"/>
      <c r="GX164" s="251"/>
      <c r="GY164" s="251"/>
      <c r="GZ164" s="251"/>
      <c r="HA164" s="251"/>
      <c r="HB164" s="251"/>
      <c r="HC164" s="251"/>
      <c r="HD164" s="251"/>
      <c r="HE164" s="251"/>
      <c r="HF164" s="251"/>
      <c r="HG164" s="251"/>
      <c r="HH164" s="251"/>
      <c r="HI164" s="251"/>
      <c r="HJ164" s="251"/>
      <c r="HK164" s="251"/>
      <c r="HL164" s="251"/>
      <c r="HM164" s="251"/>
      <c r="HN164" s="251"/>
      <c r="HO164" s="251"/>
      <c r="HP164" s="251"/>
      <c r="HQ164" s="251"/>
      <c r="HR164" s="251"/>
      <c r="HS164" s="251"/>
      <c r="HT164" s="251"/>
      <c r="HU164" s="251"/>
      <c r="HV164" s="251"/>
      <c r="HW164" s="251"/>
      <c r="HX164" s="251"/>
      <c r="HY164" s="251"/>
      <c r="HZ164" s="251"/>
      <c r="IA164" s="251"/>
      <c r="IB164" s="251"/>
      <c r="IC164" s="251"/>
      <c r="ID164" s="251"/>
      <c r="IE164" s="251"/>
      <c r="IF164" s="251"/>
      <c r="IG164" s="251"/>
      <c r="IH164" s="251"/>
      <c r="II164" s="251"/>
      <c r="IJ164" s="251"/>
      <c r="IK164" s="251"/>
      <c r="IL164" s="251"/>
      <c r="IM164" s="251"/>
      <c r="IN164" s="251"/>
      <c r="IO164" s="251"/>
      <c r="IP164" s="251"/>
      <c r="IQ164" s="251"/>
      <c r="IR164" s="251"/>
      <c r="IS164" s="251"/>
      <c r="IT164" s="251"/>
      <c r="IU164" s="251"/>
      <c r="IV164" s="251"/>
      <c r="IW164" s="251"/>
      <c r="IX164" s="251"/>
      <c r="IY164" s="251"/>
      <c r="IZ164" s="251"/>
      <c r="JA164" s="251"/>
      <c r="JB164" s="251"/>
      <c r="JC164" s="251"/>
      <c r="JD164" s="251"/>
      <c r="JE164" s="251"/>
      <c r="JF164" s="251"/>
      <c r="JG164" s="251"/>
      <c r="JH164" s="251"/>
      <c r="JI164" s="251"/>
    </row>
    <row r="165" spans="1:269">
      <c r="A165" s="251"/>
      <c r="B165" s="251"/>
      <c r="C165" s="25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51"/>
      <c r="BR165" s="251"/>
      <c r="BS165" s="251"/>
      <c r="BT165" s="251"/>
      <c r="BU165" s="251"/>
      <c r="BV165" s="251"/>
      <c r="BW165" s="251"/>
      <c r="BX165" s="251"/>
      <c r="BY165" s="251"/>
      <c r="BZ165" s="251"/>
      <c r="CA165" s="251"/>
      <c r="CB165" s="251"/>
      <c r="CC165" s="251"/>
      <c r="CD165" s="251"/>
      <c r="CE165" s="251"/>
      <c r="CF165" s="251"/>
      <c r="CG165" s="251"/>
      <c r="CH165" s="251"/>
      <c r="CI165" s="251"/>
      <c r="CJ165" s="251"/>
      <c r="CK165" s="251"/>
      <c r="CL165" s="251"/>
      <c r="CM165" s="251"/>
      <c r="CN165" s="251"/>
      <c r="CO165" s="251"/>
      <c r="CP165" s="251"/>
      <c r="CQ165" s="251"/>
      <c r="CR165" s="251"/>
      <c r="CS165" s="251"/>
      <c r="CT165" s="251"/>
      <c r="CU165" s="251"/>
      <c r="CV165" s="251"/>
      <c r="CW165" s="251"/>
      <c r="CX165" s="251"/>
      <c r="CY165" s="251"/>
      <c r="CZ165" s="251"/>
      <c r="DA165" s="251"/>
      <c r="DB165" s="251"/>
      <c r="DC165" s="251"/>
      <c r="DD165" s="251"/>
      <c r="DE165" s="251"/>
      <c r="DF165" s="251"/>
      <c r="DG165" s="251"/>
      <c r="DH165" s="251"/>
      <c r="DI165" s="251"/>
      <c r="DJ165" s="251"/>
      <c r="DK165" s="251"/>
      <c r="DL165" s="251"/>
      <c r="DM165" s="251"/>
      <c r="DN165" s="251"/>
      <c r="DO165" s="251"/>
      <c r="DP165" s="251"/>
      <c r="DQ165" s="251"/>
      <c r="DR165" s="251"/>
      <c r="DS165" s="251"/>
      <c r="DT165" s="251"/>
      <c r="DU165" s="251"/>
      <c r="DV165" s="251"/>
      <c r="DW165" s="251"/>
      <c r="DX165" s="251"/>
      <c r="DY165" s="251"/>
      <c r="DZ165" s="251"/>
      <c r="EA165" s="251"/>
      <c r="EB165" s="251"/>
      <c r="EC165" s="251"/>
      <c r="ED165" s="251"/>
      <c r="EE165" s="251"/>
      <c r="EF165" s="251"/>
      <c r="EG165" s="251"/>
      <c r="EH165" s="251"/>
      <c r="EI165" s="251"/>
      <c r="EJ165" s="251"/>
      <c r="EK165" s="251"/>
      <c r="EL165" s="251"/>
      <c r="EM165" s="251"/>
      <c r="EN165" s="251"/>
      <c r="EO165" s="251"/>
      <c r="EP165" s="251"/>
      <c r="EQ165" s="251"/>
      <c r="ER165" s="251"/>
      <c r="ES165" s="251"/>
      <c r="ET165" s="251"/>
      <c r="EU165" s="251"/>
      <c r="EV165" s="251"/>
      <c r="EW165" s="251"/>
      <c r="EX165" s="251"/>
      <c r="EY165" s="251"/>
      <c r="EZ165" s="251"/>
      <c r="FA165" s="251"/>
      <c r="FB165" s="251"/>
      <c r="FC165" s="251"/>
      <c r="FD165" s="251"/>
      <c r="FE165" s="251"/>
      <c r="FF165" s="251"/>
      <c r="FG165" s="251"/>
      <c r="FH165" s="251"/>
      <c r="FI165" s="251"/>
      <c r="FJ165" s="251"/>
      <c r="FK165" s="251"/>
      <c r="FL165" s="251"/>
      <c r="FM165" s="251"/>
      <c r="FN165" s="251"/>
      <c r="FO165" s="251"/>
      <c r="FP165" s="251"/>
      <c r="FQ165" s="251"/>
      <c r="FR165" s="251"/>
      <c r="FS165" s="251"/>
      <c r="FT165" s="251"/>
      <c r="FU165" s="251"/>
      <c r="FV165" s="251"/>
      <c r="FW165" s="251"/>
      <c r="FX165" s="251"/>
      <c r="FY165" s="251"/>
      <c r="FZ165" s="251"/>
      <c r="GA165" s="251"/>
      <c r="GB165" s="251"/>
      <c r="GC165" s="251"/>
      <c r="GD165" s="251"/>
      <c r="GE165" s="251"/>
      <c r="GF165" s="251"/>
      <c r="GG165" s="251"/>
      <c r="GH165" s="251"/>
      <c r="GI165" s="251"/>
      <c r="GJ165" s="251"/>
      <c r="GK165" s="251"/>
      <c r="GL165" s="251"/>
      <c r="GM165" s="251"/>
      <c r="GN165" s="251"/>
      <c r="GO165" s="251"/>
      <c r="GP165" s="251"/>
      <c r="GQ165" s="251"/>
      <c r="GR165" s="251"/>
      <c r="GS165" s="251"/>
      <c r="GT165" s="251"/>
      <c r="GU165" s="251"/>
      <c r="GV165" s="251"/>
      <c r="GW165" s="251"/>
      <c r="GX165" s="251"/>
      <c r="GY165" s="251"/>
      <c r="GZ165" s="251"/>
      <c r="HA165" s="251"/>
      <c r="HB165" s="251"/>
      <c r="HC165" s="251"/>
      <c r="HD165" s="251"/>
      <c r="HE165" s="251"/>
      <c r="HF165" s="251"/>
      <c r="HG165" s="251"/>
      <c r="HH165" s="251"/>
      <c r="HI165" s="251"/>
      <c r="HJ165" s="251"/>
      <c r="HK165" s="251"/>
      <c r="HL165" s="251"/>
      <c r="HM165" s="251"/>
      <c r="HN165" s="251"/>
      <c r="HO165" s="251"/>
      <c r="HP165" s="251"/>
      <c r="HQ165" s="251"/>
      <c r="HR165" s="251"/>
      <c r="HS165" s="251"/>
      <c r="HT165" s="251"/>
      <c r="HU165" s="251"/>
      <c r="HV165" s="251"/>
      <c r="HW165" s="251"/>
      <c r="HX165" s="251"/>
      <c r="HY165" s="251"/>
      <c r="HZ165" s="251"/>
      <c r="IA165" s="251"/>
      <c r="IB165" s="251"/>
      <c r="IC165" s="251"/>
      <c r="ID165" s="251"/>
      <c r="IE165" s="251"/>
      <c r="IF165" s="251"/>
      <c r="IG165" s="251"/>
      <c r="IH165" s="251"/>
      <c r="II165" s="251"/>
      <c r="IJ165" s="251"/>
      <c r="IK165" s="251"/>
      <c r="IL165" s="251"/>
      <c r="IM165" s="251"/>
      <c r="IN165" s="251"/>
      <c r="IO165" s="251"/>
      <c r="IP165" s="251"/>
      <c r="IQ165" s="251"/>
      <c r="IR165" s="251"/>
      <c r="IS165" s="251"/>
      <c r="IT165" s="251"/>
      <c r="IU165" s="251"/>
      <c r="IV165" s="251"/>
      <c r="IW165" s="251"/>
      <c r="IX165" s="251"/>
      <c r="IY165" s="251"/>
      <c r="IZ165" s="251"/>
      <c r="JA165" s="251"/>
      <c r="JB165" s="251"/>
      <c r="JC165" s="251"/>
      <c r="JD165" s="251"/>
      <c r="JE165" s="251"/>
      <c r="JF165" s="251"/>
      <c r="JG165" s="251"/>
      <c r="JH165" s="251"/>
      <c r="JI165" s="251"/>
    </row>
    <row r="166" spans="1:269">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1"/>
      <c r="AR166" s="251"/>
      <c r="AS166" s="251"/>
      <c r="AT166" s="251"/>
      <c r="AU166" s="251"/>
      <c r="AV166" s="251"/>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51"/>
      <c r="BR166" s="251"/>
      <c r="BS166" s="251"/>
      <c r="BT166" s="251"/>
      <c r="BU166" s="251"/>
      <c r="BV166" s="251"/>
      <c r="BW166" s="251"/>
      <c r="BX166" s="251"/>
      <c r="BY166" s="251"/>
      <c r="BZ166" s="251"/>
      <c r="CA166" s="251"/>
      <c r="CB166" s="251"/>
      <c r="CC166" s="251"/>
      <c r="CD166" s="251"/>
      <c r="CE166" s="251"/>
      <c r="CF166" s="251"/>
      <c r="CG166" s="251"/>
      <c r="CH166" s="251"/>
      <c r="CI166" s="251"/>
      <c r="CJ166" s="251"/>
      <c r="CK166" s="251"/>
      <c r="CL166" s="251"/>
      <c r="CM166" s="251"/>
      <c r="CN166" s="251"/>
      <c r="CO166" s="251"/>
      <c r="CP166" s="251"/>
      <c r="CQ166" s="251"/>
      <c r="CR166" s="251"/>
      <c r="CS166" s="251"/>
      <c r="CT166" s="251"/>
      <c r="CU166" s="251"/>
      <c r="CV166" s="251"/>
      <c r="CW166" s="251"/>
      <c r="CX166" s="251"/>
      <c r="CY166" s="251"/>
      <c r="CZ166" s="251"/>
      <c r="DA166" s="251"/>
      <c r="DB166" s="251"/>
      <c r="DC166" s="251"/>
      <c r="DD166" s="251"/>
      <c r="DE166" s="251"/>
      <c r="DF166" s="251"/>
      <c r="DG166" s="251"/>
      <c r="DH166" s="251"/>
      <c r="DI166" s="251"/>
      <c r="DJ166" s="251"/>
      <c r="DK166" s="251"/>
      <c r="DL166" s="251"/>
      <c r="DM166" s="251"/>
      <c r="DN166" s="251"/>
      <c r="DO166" s="251"/>
      <c r="DP166" s="251"/>
      <c r="DQ166" s="251"/>
      <c r="DR166" s="251"/>
      <c r="DS166" s="251"/>
      <c r="DT166" s="251"/>
      <c r="DU166" s="251"/>
      <c r="DV166" s="251"/>
      <c r="DW166" s="251"/>
      <c r="DX166" s="251"/>
      <c r="DY166" s="251"/>
      <c r="DZ166" s="251"/>
      <c r="EA166" s="251"/>
      <c r="EB166" s="251"/>
      <c r="EC166" s="251"/>
      <c r="ED166" s="251"/>
      <c r="EE166" s="251"/>
      <c r="EF166" s="251"/>
      <c r="EG166" s="251"/>
      <c r="EH166" s="251"/>
      <c r="EI166" s="251"/>
      <c r="EJ166" s="251"/>
      <c r="EK166" s="251"/>
      <c r="EL166" s="251"/>
      <c r="EM166" s="251"/>
      <c r="EN166" s="251"/>
      <c r="EO166" s="251"/>
      <c r="EP166" s="251"/>
      <c r="EQ166" s="251"/>
      <c r="ER166" s="251"/>
      <c r="ES166" s="251"/>
      <c r="ET166" s="251"/>
      <c r="EU166" s="251"/>
      <c r="EV166" s="251"/>
      <c r="EW166" s="251"/>
      <c r="EX166" s="251"/>
      <c r="EY166" s="251"/>
      <c r="EZ166" s="251"/>
      <c r="FA166" s="251"/>
      <c r="FB166" s="251"/>
      <c r="FC166" s="251"/>
      <c r="FD166" s="251"/>
      <c r="FE166" s="251"/>
      <c r="FF166" s="251"/>
      <c r="FG166" s="251"/>
      <c r="FH166" s="251"/>
      <c r="FI166" s="251"/>
      <c r="FJ166" s="251"/>
      <c r="FK166" s="251"/>
      <c r="FL166" s="251"/>
      <c r="FM166" s="251"/>
      <c r="FN166" s="251"/>
      <c r="FO166" s="251"/>
      <c r="FP166" s="251"/>
      <c r="FQ166" s="251"/>
      <c r="FR166" s="251"/>
      <c r="FS166" s="251"/>
      <c r="FT166" s="251"/>
      <c r="FU166" s="251"/>
      <c r="FV166" s="251"/>
      <c r="FW166" s="251"/>
      <c r="FX166" s="251"/>
      <c r="FY166" s="251"/>
      <c r="FZ166" s="251"/>
      <c r="GA166" s="251"/>
      <c r="GB166" s="251"/>
      <c r="GC166" s="251"/>
      <c r="GD166" s="251"/>
      <c r="GE166" s="251"/>
      <c r="GF166" s="251"/>
      <c r="GG166" s="251"/>
      <c r="GH166" s="251"/>
      <c r="GI166" s="251"/>
      <c r="GJ166" s="251"/>
      <c r="GK166" s="251"/>
      <c r="GL166" s="251"/>
      <c r="GM166" s="251"/>
      <c r="GN166" s="251"/>
      <c r="GO166" s="251"/>
      <c r="GP166" s="251"/>
      <c r="GQ166" s="251"/>
      <c r="GR166" s="251"/>
      <c r="GS166" s="251"/>
      <c r="GT166" s="251"/>
      <c r="GU166" s="251"/>
      <c r="GV166" s="251"/>
      <c r="GW166" s="251"/>
      <c r="GX166" s="251"/>
      <c r="GY166" s="251"/>
      <c r="GZ166" s="251"/>
      <c r="HA166" s="251"/>
      <c r="HB166" s="251"/>
      <c r="HC166" s="251"/>
      <c r="HD166" s="251"/>
      <c r="HE166" s="251"/>
      <c r="HF166" s="251"/>
      <c r="HG166" s="251"/>
      <c r="HH166" s="251"/>
      <c r="HI166" s="251"/>
      <c r="HJ166" s="251"/>
      <c r="HK166" s="251"/>
      <c r="HL166" s="251"/>
      <c r="HM166" s="251"/>
      <c r="HN166" s="251"/>
      <c r="HO166" s="251"/>
      <c r="HP166" s="251"/>
      <c r="HQ166" s="251"/>
      <c r="HR166" s="251"/>
      <c r="HS166" s="251"/>
      <c r="HT166" s="251"/>
      <c r="HU166" s="251"/>
      <c r="HV166" s="251"/>
      <c r="HW166" s="251"/>
      <c r="HX166" s="251"/>
      <c r="HY166" s="251"/>
      <c r="HZ166" s="251"/>
      <c r="IA166" s="251"/>
      <c r="IB166" s="251"/>
      <c r="IC166" s="251"/>
      <c r="ID166" s="251"/>
      <c r="IE166" s="251"/>
      <c r="IF166" s="251"/>
      <c r="IG166" s="251"/>
      <c r="IH166" s="251"/>
      <c r="II166" s="251"/>
      <c r="IJ166" s="251"/>
      <c r="IK166" s="251"/>
      <c r="IL166" s="251"/>
      <c r="IM166" s="251"/>
      <c r="IN166" s="251"/>
      <c r="IO166" s="251"/>
      <c r="IP166" s="251"/>
      <c r="IQ166" s="251"/>
      <c r="IR166" s="251"/>
      <c r="IS166" s="251"/>
      <c r="IT166" s="251"/>
      <c r="IU166" s="251"/>
      <c r="IV166" s="251"/>
      <c r="IW166" s="251"/>
      <c r="IX166" s="251"/>
      <c r="IY166" s="251"/>
      <c r="IZ166" s="251"/>
      <c r="JA166" s="251"/>
      <c r="JB166" s="251"/>
      <c r="JC166" s="251"/>
      <c r="JD166" s="251"/>
      <c r="JE166" s="251"/>
      <c r="JF166" s="251"/>
      <c r="JG166" s="251"/>
      <c r="JH166" s="251"/>
      <c r="JI166" s="251"/>
    </row>
    <row r="167" spans="1:269">
      <c r="A167" s="251"/>
      <c r="B167" s="251"/>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51"/>
      <c r="BR167" s="251"/>
      <c r="BS167" s="251"/>
      <c r="BT167" s="251"/>
      <c r="BU167" s="251"/>
      <c r="BV167" s="251"/>
      <c r="BW167" s="251"/>
      <c r="BX167" s="251"/>
      <c r="BY167" s="251"/>
      <c r="BZ167" s="251"/>
      <c r="CA167" s="251"/>
      <c r="CB167" s="251"/>
      <c r="CC167" s="251"/>
      <c r="CD167" s="251"/>
      <c r="CE167" s="251"/>
      <c r="CF167" s="251"/>
      <c r="CG167" s="251"/>
      <c r="CH167" s="251"/>
      <c r="CI167" s="251"/>
      <c r="CJ167" s="251"/>
      <c r="CK167" s="251"/>
      <c r="CL167" s="251"/>
      <c r="CM167" s="251"/>
      <c r="CN167" s="251"/>
      <c r="CO167" s="251"/>
      <c r="CP167" s="251"/>
      <c r="CQ167" s="251"/>
      <c r="CR167" s="251"/>
      <c r="CS167" s="251"/>
      <c r="CT167" s="251"/>
      <c r="CU167" s="251"/>
      <c r="CV167" s="251"/>
      <c r="CW167" s="251"/>
      <c r="CX167" s="251"/>
      <c r="CY167" s="251"/>
      <c r="CZ167" s="251"/>
      <c r="DA167" s="251"/>
      <c r="DB167" s="251"/>
      <c r="DC167" s="251"/>
      <c r="DD167" s="251"/>
      <c r="DE167" s="251"/>
      <c r="DF167" s="251"/>
      <c r="DG167" s="251"/>
      <c r="DH167" s="251"/>
      <c r="DI167" s="251"/>
      <c r="DJ167" s="251"/>
      <c r="DK167" s="251"/>
      <c r="DL167" s="251"/>
      <c r="DM167" s="251"/>
      <c r="DN167" s="251"/>
      <c r="DO167" s="251"/>
      <c r="DP167" s="251"/>
      <c r="DQ167" s="251"/>
      <c r="DR167" s="251"/>
      <c r="DS167" s="251"/>
      <c r="DT167" s="251"/>
      <c r="DU167" s="251"/>
      <c r="DV167" s="251"/>
      <c r="DW167" s="251"/>
      <c r="DX167" s="251"/>
      <c r="DY167" s="251"/>
      <c r="DZ167" s="251"/>
      <c r="EA167" s="251"/>
      <c r="EB167" s="251"/>
      <c r="EC167" s="251"/>
      <c r="ED167" s="251"/>
      <c r="EE167" s="251"/>
      <c r="EF167" s="251"/>
      <c r="EG167" s="251"/>
      <c r="EH167" s="251"/>
      <c r="EI167" s="251"/>
      <c r="EJ167" s="251"/>
      <c r="EK167" s="251"/>
      <c r="EL167" s="251"/>
      <c r="EM167" s="251"/>
      <c r="EN167" s="251"/>
      <c r="EO167" s="251"/>
      <c r="EP167" s="251"/>
      <c r="EQ167" s="251"/>
      <c r="ER167" s="251"/>
      <c r="ES167" s="251"/>
      <c r="ET167" s="251"/>
      <c r="EU167" s="251"/>
      <c r="EV167" s="251"/>
      <c r="EW167" s="251"/>
      <c r="EX167" s="251"/>
      <c r="EY167" s="251"/>
      <c r="EZ167" s="251"/>
      <c r="FA167" s="251"/>
      <c r="FB167" s="251"/>
      <c r="FC167" s="251"/>
      <c r="FD167" s="251"/>
      <c r="FE167" s="251"/>
      <c r="FF167" s="251"/>
      <c r="FG167" s="251"/>
      <c r="FH167" s="251"/>
      <c r="FI167" s="251"/>
      <c r="FJ167" s="251"/>
      <c r="FK167" s="251"/>
      <c r="FL167" s="251"/>
      <c r="FM167" s="251"/>
      <c r="FN167" s="251"/>
      <c r="FO167" s="251"/>
      <c r="FP167" s="251"/>
      <c r="FQ167" s="251"/>
      <c r="FR167" s="251"/>
      <c r="FS167" s="251"/>
      <c r="FT167" s="251"/>
      <c r="FU167" s="251"/>
      <c r="FV167" s="251"/>
      <c r="FW167" s="251"/>
      <c r="FX167" s="251"/>
      <c r="FY167" s="251"/>
      <c r="FZ167" s="251"/>
      <c r="GA167" s="251"/>
      <c r="GB167" s="251"/>
      <c r="GC167" s="251"/>
      <c r="GD167" s="251"/>
      <c r="GE167" s="251"/>
      <c r="GF167" s="251"/>
      <c r="GG167" s="251"/>
      <c r="GH167" s="251"/>
      <c r="GI167" s="251"/>
      <c r="GJ167" s="251"/>
      <c r="GK167" s="251"/>
      <c r="GL167" s="251"/>
      <c r="GM167" s="251"/>
      <c r="GN167" s="251"/>
      <c r="GO167" s="251"/>
      <c r="GP167" s="251"/>
      <c r="GQ167" s="251"/>
      <c r="GR167" s="251"/>
      <c r="GS167" s="251"/>
      <c r="GT167" s="251"/>
      <c r="GU167" s="251"/>
      <c r="GV167" s="251"/>
      <c r="GW167" s="251"/>
      <c r="GX167" s="251"/>
      <c r="GY167" s="251"/>
      <c r="GZ167" s="251"/>
      <c r="HA167" s="251"/>
      <c r="HB167" s="251"/>
      <c r="HC167" s="251"/>
      <c r="HD167" s="251"/>
      <c r="HE167" s="251"/>
      <c r="HF167" s="251"/>
      <c r="HG167" s="251"/>
      <c r="HH167" s="251"/>
      <c r="HI167" s="251"/>
      <c r="HJ167" s="251"/>
      <c r="HK167" s="251"/>
      <c r="HL167" s="251"/>
      <c r="HM167" s="251"/>
      <c r="HN167" s="251"/>
      <c r="HO167" s="251"/>
      <c r="HP167" s="251"/>
      <c r="HQ167" s="251"/>
      <c r="HR167" s="251"/>
      <c r="HS167" s="251"/>
      <c r="HT167" s="251"/>
      <c r="HU167" s="251"/>
      <c r="HV167" s="251"/>
      <c r="HW167" s="251"/>
      <c r="HX167" s="251"/>
      <c r="HY167" s="251"/>
      <c r="HZ167" s="251"/>
      <c r="IA167" s="251"/>
      <c r="IB167" s="251"/>
      <c r="IC167" s="251"/>
      <c r="ID167" s="251"/>
      <c r="IE167" s="251"/>
      <c r="IF167" s="251"/>
      <c r="IG167" s="251"/>
      <c r="IH167" s="251"/>
      <c r="II167" s="251"/>
      <c r="IJ167" s="251"/>
      <c r="IK167" s="251"/>
      <c r="IL167" s="251"/>
      <c r="IM167" s="251"/>
      <c r="IN167" s="251"/>
      <c r="IO167" s="251"/>
      <c r="IP167" s="251"/>
      <c r="IQ167" s="251"/>
      <c r="IR167" s="251"/>
      <c r="IS167" s="251"/>
      <c r="IT167" s="251"/>
      <c r="IU167" s="251"/>
      <c r="IV167" s="251"/>
      <c r="IW167" s="251"/>
      <c r="IX167" s="251"/>
      <c r="IY167" s="251"/>
      <c r="IZ167" s="251"/>
      <c r="JA167" s="251"/>
      <c r="JB167" s="251"/>
      <c r="JC167" s="251"/>
      <c r="JD167" s="251"/>
      <c r="JE167" s="251"/>
      <c r="JF167" s="251"/>
      <c r="JG167" s="251"/>
      <c r="JH167" s="251"/>
      <c r="JI167" s="251"/>
    </row>
    <row r="168" spans="1:269">
      <c r="A168" s="251"/>
      <c r="B168" s="251"/>
      <c r="C168" s="25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251"/>
      <c r="AL168" s="251"/>
      <c r="AM168" s="251"/>
      <c r="AN168" s="251"/>
      <c r="AO168" s="251"/>
      <c r="AP168" s="251"/>
      <c r="AQ168" s="251"/>
      <c r="AR168" s="251"/>
      <c r="AS168" s="251"/>
      <c r="AT168" s="251"/>
      <c r="AU168" s="251"/>
      <c r="AV168" s="251"/>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51"/>
      <c r="BR168" s="251"/>
      <c r="BS168" s="251"/>
      <c r="BT168" s="251"/>
      <c r="BU168" s="251"/>
      <c r="BV168" s="251"/>
      <c r="BW168" s="251"/>
      <c r="BX168" s="251"/>
      <c r="BY168" s="251"/>
      <c r="BZ168" s="251"/>
      <c r="CA168" s="251"/>
      <c r="CB168" s="251"/>
      <c r="CC168" s="251"/>
      <c r="CD168" s="251"/>
      <c r="CE168" s="251"/>
      <c r="CF168" s="251"/>
      <c r="CG168" s="251"/>
      <c r="CH168" s="251"/>
      <c r="CI168" s="251"/>
      <c r="CJ168" s="251"/>
      <c r="CK168" s="251"/>
      <c r="CL168" s="251"/>
      <c r="CM168" s="251"/>
      <c r="CN168" s="251"/>
      <c r="CO168" s="251"/>
      <c r="CP168" s="251"/>
      <c r="CQ168" s="251"/>
      <c r="CR168" s="251"/>
      <c r="CS168" s="251"/>
      <c r="CT168" s="251"/>
      <c r="CU168" s="251"/>
      <c r="CV168" s="251"/>
      <c r="CW168" s="251"/>
      <c r="CX168" s="251"/>
      <c r="CY168" s="251"/>
      <c r="CZ168" s="251"/>
      <c r="DA168" s="251"/>
      <c r="DB168" s="251"/>
      <c r="DC168" s="251"/>
      <c r="DD168" s="251"/>
      <c r="DE168" s="251"/>
      <c r="DF168" s="251"/>
      <c r="DG168" s="251"/>
      <c r="DH168" s="251"/>
      <c r="DI168" s="251"/>
      <c r="DJ168" s="251"/>
      <c r="DK168" s="251"/>
      <c r="DL168" s="251"/>
      <c r="DM168" s="251"/>
      <c r="DN168" s="251"/>
      <c r="DO168" s="251"/>
      <c r="DP168" s="251"/>
      <c r="DQ168" s="251"/>
      <c r="DR168" s="251"/>
      <c r="DS168" s="251"/>
      <c r="DT168" s="251"/>
      <c r="DU168" s="251"/>
      <c r="DV168" s="251"/>
      <c r="DW168" s="251"/>
      <c r="DX168" s="251"/>
      <c r="DY168" s="251"/>
      <c r="DZ168" s="251"/>
      <c r="EA168" s="251"/>
      <c r="EB168" s="251"/>
      <c r="EC168" s="251"/>
      <c r="ED168" s="251"/>
      <c r="EE168" s="251"/>
      <c r="EF168" s="251"/>
      <c r="EG168" s="251"/>
      <c r="EH168" s="251"/>
      <c r="EI168" s="251"/>
      <c r="EJ168" s="251"/>
      <c r="EK168" s="251"/>
      <c r="EL168" s="251"/>
      <c r="EM168" s="251"/>
      <c r="EN168" s="251"/>
      <c r="EO168" s="251"/>
      <c r="EP168" s="251"/>
      <c r="EQ168" s="251"/>
      <c r="ER168" s="251"/>
      <c r="ES168" s="251"/>
      <c r="ET168" s="251"/>
      <c r="EU168" s="251"/>
      <c r="EV168" s="251"/>
      <c r="EW168" s="251"/>
      <c r="EX168" s="251"/>
      <c r="EY168" s="251"/>
      <c r="EZ168" s="251"/>
      <c r="FA168" s="251"/>
      <c r="FB168" s="251"/>
      <c r="FC168" s="251"/>
      <c r="FD168" s="251"/>
      <c r="FE168" s="251"/>
      <c r="FF168" s="251"/>
      <c r="FG168" s="251"/>
      <c r="FH168" s="251"/>
      <c r="FI168" s="251"/>
      <c r="FJ168" s="251"/>
      <c r="FK168" s="251"/>
      <c r="FL168" s="251"/>
      <c r="FM168" s="251"/>
      <c r="FN168" s="251"/>
      <c r="FO168" s="251"/>
      <c r="FP168" s="251"/>
      <c r="FQ168" s="251"/>
      <c r="FR168" s="251"/>
      <c r="FS168" s="251"/>
      <c r="FT168" s="251"/>
      <c r="FU168" s="251"/>
      <c r="FV168" s="251"/>
      <c r="FW168" s="251"/>
      <c r="FX168" s="251"/>
      <c r="FY168" s="251"/>
      <c r="FZ168" s="251"/>
      <c r="GA168" s="251"/>
      <c r="GB168" s="251"/>
      <c r="GC168" s="251"/>
      <c r="GD168" s="251"/>
      <c r="GE168" s="251"/>
      <c r="GF168" s="251"/>
      <c r="GG168" s="251"/>
      <c r="GH168" s="251"/>
      <c r="GI168" s="251"/>
      <c r="GJ168" s="251"/>
      <c r="GK168" s="251"/>
      <c r="GL168" s="251"/>
      <c r="GM168" s="251"/>
      <c r="GN168" s="251"/>
      <c r="GO168" s="251"/>
      <c r="GP168" s="251"/>
      <c r="GQ168" s="251"/>
      <c r="GR168" s="251"/>
      <c r="GS168" s="251"/>
      <c r="GT168" s="251"/>
      <c r="GU168" s="251"/>
      <c r="GV168" s="251"/>
      <c r="GW168" s="251"/>
      <c r="GX168" s="251"/>
      <c r="GY168" s="251"/>
      <c r="GZ168" s="251"/>
      <c r="HA168" s="251"/>
      <c r="HB168" s="251"/>
      <c r="HC168" s="251"/>
      <c r="HD168" s="251"/>
      <c r="HE168" s="251"/>
      <c r="HF168" s="251"/>
      <c r="HG168" s="251"/>
      <c r="HH168" s="251"/>
      <c r="HI168" s="251"/>
      <c r="HJ168" s="251"/>
      <c r="HK168" s="251"/>
      <c r="HL168" s="251"/>
      <c r="HM168" s="251"/>
      <c r="HN168" s="251"/>
      <c r="HO168" s="251"/>
      <c r="HP168" s="251"/>
      <c r="HQ168" s="251"/>
      <c r="HR168" s="251"/>
      <c r="HS168" s="251"/>
      <c r="HT168" s="251"/>
      <c r="HU168" s="251"/>
      <c r="HV168" s="251"/>
      <c r="HW168" s="251"/>
      <c r="HX168" s="251"/>
      <c r="HY168" s="251"/>
      <c r="HZ168" s="251"/>
      <c r="IA168" s="251"/>
      <c r="IB168" s="251"/>
      <c r="IC168" s="251"/>
      <c r="ID168" s="251"/>
      <c r="IE168" s="251"/>
      <c r="IF168" s="251"/>
      <c r="IG168" s="251"/>
      <c r="IH168" s="251"/>
      <c r="II168" s="251"/>
      <c r="IJ168" s="251"/>
      <c r="IK168" s="251"/>
      <c r="IL168" s="251"/>
      <c r="IM168" s="251"/>
      <c r="IN168" s="251"/>
      <c r="IO168" s="251"/>
      <c r="IP168" s="251"/>
      <c r="IQ168" s="251"/>
      <c r="IR168" s="251"/>
      <c r="IS168" s="251"/>
      <c r="IT168" s="251"/>
      <c r="IU168" s="251"/>
      <c r="IV168" s="251"/>
      <c r="IW168" s="251"/>
      <c r="IX168" s="251"/>
      <c r="IY168" s="251"/>
      <c r="IZ168" s="251"/>
      <c r="JA168" s="251"/>
      <c r="JB168" s="251"/>
      <c r="JC168" s="251"/>
      <c r="JD168" s="251"/>
      <c r="JE168" s="251"/>
      <c r="JF168" s="251"/>
      <c r="JG168" s="251"/>
      <c r="JH168" s="251"/>
      <c r="JI168" s="251"/>
    </row>
    <row r="169" spans="1:269">
      <c r="A169" s="251"/>
      <c r="B169" s="251"/>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1"/>
      <c r="AH169" s="251"/>
      <c r="AI169" s="251"/>
      <c r="AJ169" s="251"/>
      <c r="AK169" s="251"/>
      <c r="AL169" s="251"/>
      <c r="AM169" s="251"/>
      <c r="AN169" s="251"/>
      <c r="AO169" s="251"/>
      <c r="AP169" s="251"/>
      <c r="AQ169" s="251"/>
      <c r="AR169" s="251"/>
      <c r="AS169" s="251"/>
      <c r="AT169" s="251"/>
      <c r="AU169" s="251"/>
      <c r="AV169" s="251"/>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51"/>
      <c r="BR169" s="251"/>
      <c r="BS169" s="251"/>
      <c r="BT169" s="251"/>
      <c r="BU169" s="251"/>
      <c r="BV169" s="251"/>
      <c r="BW169" s="251"/>
      <c r="BX169" s="251"/>
      <c r="BY169" s="251"/>
      <c r="BZ169" s="251"/>
      <c r="CA169" s="251"/>
      <c r="CB169" s="251"/>
      <c r="CC169" s="251"/>
      <c r="CD169" s="251"/>
      <c r="CE169" s="251"/>
      <c r="CF169" s="251"/>
      <c r="CG169" s="251"/>
      <c r="CH169" s="251"/>
      <c r="CI169" s="251"/>
      <c r="CJ169" s="251"/>
      <c r="CK169" s="251"/>
      <c r="CL169" s="251"/>
      <c r="CM169" s="251"/>
      <c r="CN169" s="251"/>
      <c r="CO169" s="251"/>
      <c r="CP169" s="251"/>
      <c r="CQ169" s="251"/>
      <c r="CR169" s="251"/>
      <c r="CS169" s="251"/>
      <c r="CT169" s="251"/>
      <c r="CU169" s="251"/>
      <c r="CV169" s="251"/>
      <c r="CW169" s="251"/>
      <c r="CX169" s="251"/>
      <c r="CY169" s="251"/>
      <c r="CZ169" s="251"/>
      <c r="DA169" s="251"/>
      <c r="DB169" s="251"/>
      <c r="DC169" s="251"/>
      <c r="DD169" s="251"/>
      <c r="DE169" s="251"/>
      <c r="DF169" s="251"/>
      <c r="DG169" s="251"/>
      <c r="DH169" s="251"/>
      <c r="DI169" s="251"/>
      <c r="DJ169" s="251"/>
      <c r="DK169" s="251"/>
      <c r="DL169" s="251"/>
      <c r="DM169" s="251"/>
      <c r="DN169" s="251"/>
      <c r="DO169" s="251"/>
      <c r="DP169" s="251"/>
      <c r="DQ169" s="251"/>
      <c r="DR169" s="251"/>
      <c r="DS169" s="251"/>
      <c r="DT169" s="251"/>
      <c r="DU169" s="251"/>
      <c r="DV169" s="251"/>
      <c r="DW169" s="251"/>
      <c r="DX169" s="251"/>
      <c r="DY169" s="251"/>
      <c r="DZ169" s="251"/>
      <c r="EA169" s="251"/>
      <c r="EB169" s="251"/>
      <c r="EC169" s="251"/>
      <c r="ED169" s="251"/>
      <c r="EE169" s="251"/>
      <c r="EF169" s="251"/>
      <c r="EG169" s="251"/>
      <c r="EH169" s="251"/>
      <c r="EI169" s="251"/>
      <c r="EJ169" s="251"/>
      <c r="EK169" s="251"/>
      <c r="EL169" s="251"/>
      <c r="EM169" s="251"/>
      <c r="EN169" s="251"/>
      <c r="EO169" s="251"/>
      <c r="EP169" s="251"/>
      <c r="EQ169" s="251"/>
      <c r="ER169" s="251"/>
      <c r="ES169" s="251"/>
      <c r="ET169" s="251"/>
      <c r="EU169" s="251"/>
      <c r="EV169" s="251"/>
      <c r="EW169" s="251"/>
      <c r="EX169" s="251"/>
      <c r="EY169" s="251"/>
      <c r="EZ169" s="251"/>
      <c r="FA169" s="251"/>
      <c r="FB169" s="251"/>
      <c r="FC169" s="251"/>
      <c r="FD169" s="251"/>
      <c r="FE169" s="251"/>
      <c r="FF169" s="251"/>
      <c r="FG169" s="251"/>
      <c r="FH169" s="251"/>
      <c r="FI169" s="251"/>
      <c r="FJ169" s="251"/>
      <c r="FK169" s="251"/>
      <c r="FL169" s="251"/>
      <c r="FM169" s="251"/>
      <c r="FN169" s="251"/>
      <c r="FO169" s="251"/>
      <c r="FP169" s="251"/>
      <c r="FQ169" s="251"/>
      <c r="FR169" s="251"/>
      <c r="FS169" s="251"/>
      <c r="FT169" s="251"/>
      <c r="FU169" s="251"/>
      <c r="FV169" s="251"/>
      <c r="FW169" s="251"/>
      <c r="FX169" s="251"/>
      <c r="FY169" s="251"/>
      <c r="FZ169" s="251"/>
      <c r="GA169" s="251"/>
      <c r="GB169" s="251"/>
      <c r="GC169" s="251"/>
      <c r="GD169" s="251"/>
      <c r="GE169" s="251"/>
      <c r="GF169" s="251"/>
      <c r="GG169" s="251"/>
      <c r="GH169" s="251"/>
      <c r="GI169" s="251"/>
      <c r="GJ169" s="251"/>
      <c r="GK169" s="251"/>
      <c r="GL169" s="251"/>
      <c r="GM169" s="251"/>
      <c r="GN169" s="251"/>
      <c r="GO169" s="251"/>
      <c r="GP169" s="251"/>
      <c r="GQ169" s="251"/>
      <c r="GR169" s="251"/>
      <c r="GS169" s="251"/>
      <c r="GT169" s="251"/>
      <c r="GU169" s="251"/>
      <c r="GV169" s="251"/>
      <c r="GW169" s="251"/>
      <c r="GX169" s="251"/>
      <c r="GY169" s="251"/>
      <c r="GZ169" s="251"/>
      <c r="HA169" s="251"/>
      <c r="HB169" s="251"/>
      <c r="HC169" s="251"/>
      <c r="HD169" s="251"/>
      <c r="HE169" s="251"/>
      <c r="HF169" s="251"/>
      <c r="HG169" s="251"/>
      <c r="HH169" s="251"/>
      <c r="HI169" s="251"/>
      <c r="HJ169" s="251"/>
      <c r="HK169" s="251"/>
      <c r="HL169" s="251"/>
      <c r="HM169" s="251"/>
      <c r="HN169" s="251"/>
      <c r="HO169" s="251"/>
      <c r="HP169" s="251"/>
      <c r="HQ169" s="251"/>
      <c r="HR169" s="251"/>
      <c r="HS169" s="251"/>
      <c r="HT169" s="251"/>
      <c r="HU169" s="251"/>
      <c r="HV169" s="251"/>
      <c r="HW169" s="251"/>
      <c r="HX169" s="251"/>
      <c r="HY169" s="251"/>
      <c r="HZ169" s="251"/>
      <c r="IA169" s="251"/>
      <c r="IB169" s="251"/>
      <c r="IC169" s="251"/>
      <c r="ID169" s="251"/>
      <c r="IE169" s="251"/>
      <c r="IF169" s="251"/>
      <c r="IG169" s="251"/>
      <c r="IH169" s="251"/>
      <c r="II169" s="251"/>
      <c r="IJ169" s="251"/>
      <c r="IK169" s="251"/>
      <c r="IL169" s="251"/>
      <c r="IM169" s="251"/>
      <c r="IN169" s="251"/>
      <c r="IO169" s="251"/>
      <c r="IP169" s="251"/>
      <c r="IQ169" s="251"/>
      <c r="IR169" s="251"/>
      <c r="IS169" s="251"/>
      <c r="IT169" s="251"/>
      <c r="IU169" s="251"/>
      <c r="IV169" s="251"/>
      <c r="IW169" s="251"/>
      <c r="IX169" s="251"/>
      <c r="IY169" s="251"/>
      <c r="IZ169" s="251"/>
      <c r="JA169" s="251"/>
      <c r="JB169" s="251"/>
      <c r="JC169" s="251"/>
      <c r="JD169" s="251"/>
      <c r="JE169" s="251"/>
      <c r="JF169" s="251"/>
      <c r="JG169" s="251"/>
      <c r="JH169" s="251"/>
      <c r="JI169" s="251"/>
    </row>
    <row r="170" spans="1:269">
      <c r="A170" s="251"/>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251"/>
      <c r="AS170" s="251"/>
      <c r="AT170" s="251"/>
      <c r="AU170" s="251"/>
      <c r="AV170" s="251"/>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51"/>
      <c r="BR170" s="251"/>
      <c r="BS170" s="251"/>
      <c r="BT170" s="251"/>
      <c r="BU170" s="251"/>
      <c r="BV170" s="251"/>
      <c r="BW170" s="251"/>
      <c r="BX170" s="251"/>
      <c r="BY170" s="251"/>
      <c r="BZ170" s="251"/>
      <c r="CA170" s="251"/>
      <c r="CB170" s="251"/>
      <c r="CC170" s="251"/>
      <c r="CD170" s="251"/>
      <c r="CE170" s="251"/>
      <c r="CF170" s="251"/>
      <c r="CG170" s="251"/>
      <c r="CH170" s="251"/>
      <c r="CI170" s="251"/>
      <c r="CJ170" s="251"/>
      <c r="CK170" s="251"/>
      <c r="CL170" s="251"/>
      <c r="CM170" s="251"/>
      <c r="CN170" s="251"/>
      <c r="CO170" s="251"/>
      <c r="CP170" s="251"/>
      <c r="CQ170" s="251"/>
      <c r="CR170" s="251"/>
      <c r="CS170" s="251"/>
      <c r="CT170" s="251"/>
      <c r="CU170" s="251"/>
      <c r="CV170" s="251"/>
      <c r="CW170" s="251"/>
      <c r="CX170" s="251"/>
      <c r="CY170" s="251"/>
      <c r="CZ170" s="251"/>
      <c r="DA170" s="251"/>
      <c r="DB170" s="251"/>
      <c r="DC170" s="251"/>
      <c r="DD170" s="251"/>
      <c r="DE170" s="251"/>
      <c r="DF170" s="251"/>
      <c r="DG170" s="251"/>
      <c r="DH170" s="251"/>
      <c r="DI170" s="251"/>
      <c r="DJ170" s="251"/>
      <c r="DK170" s="251"/>
      <c r="DL170" s="251"/>
      <c r="DM170" s="251"/>
      <c r="DN170" s="251"/>
      <c r="DO170" s="251"/>
      <c r="DP170" s="251"/>
      <c r="DQ170" s="251"/>
      <c r="DR170" s="251"/>
      <c r="DS170" s="251"/>
      <c r="DT170" s="251"/>
      <c r="DU170" s="251"/>
      <c r="DV170" s="251"/>
      <c r="DW170" s="251"/>
      <c r="DX170" s="251"/>
      <c r="DY170" s="251"/>
      <c r="DZ170" s="251"/>
      <c r="EA170" s="251"/>
      <c r="EB170" s="251"/>
      <c r="EC170" s="251"/>
      <c r="ED170" s="251"/>
      <c r="EE170" s="251"/>
      <c r="EF170" s="251"/>
      <c r="EG170" s="251"/>
      <c r="EH170" s="251"/>
      <c r="EI170" s="251"/>
      <c r="EJ170" s="251"/>
      <c r="EK170" s="251"/>
      <c r="EL170" s="251"/>
      <c r="EM170" s="251"/>
      <c r="EN170" s="251"/>
      <c r="EO170" s="251"/>
      <c r="EP170" s="251"/>
      <c r="EQ170" s="251"/>
      <c r="ER170" s="251"/>
      <c r="ES170" s="251"/>
      <c r="ET170" s="251"/>
      <c r="EU170" s="251"/>
      <c r="EV170" s="251"/>
      <c r="EW170" s="251"/>
      <c r="EX170" s="251"/>
      <c r="EY170" s="251"/>
      <c r="EZ170" s="251"/>
      <c r="FA170" s="251"/>
      <c r="FB170" s="251"/>
      <c r="FC170" s="251"/>
      <c r="FD170" s="251"/>
      <c r="FE170" s="251"/>
      <c r="FF170" s="251"/>
      <c r="FG170" s="251"/>
      <c r="FH170" s="251"/>
      <c r="FI170" s="251"/>
      <c r="FJ170" s="251"/>
      <c r="FK170" s="251"/>
      <c r="FL170" s="251"/>
      <c r="FM170" s="251"/>
      <c r="FN170" s="251"/>
      <c r="FO170" s="251"/>
      <c r="FP170" s="251"/>
      <c r="FQ170" s="251"/>
      <c r="FR170" s="251"/>
      <c r="FS170" s="251"/>
      <c r="FT170" s="251"/>
      <c r="FU170" s="251"/>
      <c r="FV170" s="251"/>
      <c r="FW170" s="251"/>
      <c r="FX170" s="251"/>
      <c r="FY170" s="251"/>
      <c r="FZ170" s="251"/>
      <c r="GA170" s="251"/>
      <c r="GB170" s="251"/>
      <c r="GC170" s="251"/>
      <c r="GD170" s="251"/>
      <c r="GE170" s="251"/>
      <c r="GF170" s="251"/>
      <c r="GG170" s="251"/>
      <c r="GH170" s="251"/>
      <c r="GI170" s="251"/>
      <c r="GJ170" s="251"/>
      <c r="GK170" s="251"/>
      <c r="GL170" s="251"/>
      <c r="GM170" s="251"/>
      <c r="GN170" s="251"/>
      <c r="GO170" s="251"/>
      <c r="GP170" s="251"/>
      <c r="GQ170" s="251"/>
      <c r="GR170" s="251"/>
      <c r="GS170" s="251"/>
      <c r="GT170" s="251"/>
      <c r="GU170" s="251"/>
      <c r="GV170" s="251"/>
      <c r="GW170" s="251"/>
      <c r="GX170" s="251"/>
      <c r="GY170" s="251"/>
      <c r="GZ170" s="251"/>
      <c r="HA170" s="251"/>
      <c r="HB170" s="251"/>
      <c r="HC170" s="251"/>
      <c r="HD170" s="251"/>
      <c r="HE170" s="251"/>
      <c r="HF170" s="251"/>
      <c r="HG170" s="251"/>
      <c r="HH170" s="251"/>
      <c r="HI170" s="251"/>
      <c r="HJ170" s="251"/>
      <c r="HK170" s="251"/>
      <c r="HL170" s="251"/>
      <c r="HM170" s="251"/>
      <c r="HN170" s="251"/>
      <c r="HO170" s="251"/>
      <c r="HP170" s="251"/>
      <c r="HQ170" s="251"/>
      <c r="HR170" s="251"/>
      <c r="HS170" s="251"/>
      <c r="HT170" s="251"/>
      <c r="HU170" s="251"/>
      <c r="HV170" s="251"/>
      <c r="HW170" s="251"/>
      <c r="HX170" s="251"/>
      <c r="HY170" s="251"/>
      <c r="HZ170" s="251"/>
      <c r="IA170" s="251"/>
      <c r="IB170" s="251"/>
      <c r="IC170" s="251"/>
      <c r="ID170" s="251"/>
      <c r="IE170" s="251"/>
      <c r="IF170" s="251"/>
      <c r="IG170" s="251"/>
      <c r="IH170" s="251"/>
      <c r="II170" s="251"/>
      <c r="IJ170" s="251"/>
      <c r="IK170" s="251"/>
      <c r="IL170" s="251"/>
      <c r="IM170" s="251"/>
      <c r="IN170" s="251"/>
      <c r="IO170" s="251"/>
      <c r="IP170" s="251"/>
      <c r="IQ170" s="251"/>
      <c r="IR170" s="251"/>
      <c r="IS170" s="251"/>
      <c r="IT170" s="251"/>
      <c r="IU170" s="251"/>
      <c r="IV170" s="251"/>
      <c r="IW170" s="251"/>
      <c r="IX170" s="251"/>
      <c r="IY170" s="251"/>
      <c r="IZ170" s="251"/>
      <c r="JA170" s="251"/>
      <c r="JB170" s="251"/>
      <c r="JC170" s="251"/>
      <c r="JD170" s="251"/>
      <c r="JE170" s="251"/>
      <c r="JF170" s="251"/>
      <c r="JG170" s="251"/>
      <c r="JH170" s="251"/>
      <c r="JI170" s="251"/>
    </row>
    <row r="171" spans="1:269">
      <c r="A171" s="251"/>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251"/>
      <c r="AN171" s="251"/>
      <c r="AO171" s="251"/>
      <c r="AP171" s="251"/>
      <c r="AQ171" s="251"/>
      <c r="AR171" s="251"/>
      <c r="AS171" s="251"/>
      <c r="AT171" s="251"/>
      <c r="AU171" s="251"/>
      <c r="AV171" s="251"/>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51"/>
      <c r="BR171" s="251"/>
      <c r="BS171" s="251"/>
      <c r="BT171" s="251"/>
      <c r="BU171" s="251"/>
      <c r="BV171" s="251"/>
      <c r="BW171" s="251"/>
      <c r="BX171" s="251"/>
      <c r="BY171" s="251"/>
      <c r="BZ171" s="251"/>
      <c r="CA171" s="251"/>
      <c r="CB171" s="251"/>
      <c r="CC171" s="251"/>
      <c r="CD171" s="251"/>
      <c r="CE171" s="251"/>
      <c r="CF171" s="251"/>
      <c r="CG171" s="251"/>
      <c r="CH171" s="251"/>
      <c r="CI171" s="251"/>
      <c r="CJ171" s="251"/>
      <c r="CK171" s="251"/>
      <c r="CL171" s="251"/>
      <c r="CM171" s="251"/>
      <c r="CN171" s="251"/>
      <c r="CO171" s="251"/>
      <c r="CP171" s="251"/>
      <c r="CQ171" s="251"/>
      <c r="CR171" s="251"/>
      <c r="CS171" s="251"/>
      <c r="CT171" s="251"/>
      <c r="CU171" s="251"/>
      <c r="CV171" s="251"/>
      <c r="CW171" s="251"/>
      <c r="CX171" s="251"/>
      <c r="CY171" s="251"/>
      <c r="CZ171" s="251"/>
      <c r="DA171" s="251"/>
      <c r="DB171" s="251"/>
      <c r="DC171" s="251"/>
      <c r="DD171" s="251"/>
      <c r="DE171" s="251"/>
      <c r="DF171" s="251"/>
      <c r="DG171" s="251"/>
      <c r="DH171" s="251"/>
      <c r="DI171" s="251"/>
      <c r="DJ171" s="251"/>
      <c r="DK171" s="251"/>
      <c r="DL171" s="251"/>
      <c r="DM171" s="251"/>
      <c r="DN171" s="251"/>
      <c r="DO171" s="251"/>
      <c r="DP171" s="251"/>
      <c r="DQ171" s="251"/>
      <c r="DR171" s="251"/>
      <c r="DS171" s="251"/>
      <c r="DT171" s="251"/>
      <c r="DU171" s="251"/>
      <c r="DV171" s="251"/>
      <c r="DW171" s="251"/>
      <c r="DX171" s="251"/>
      <c r="DY171" s="251"/>
      <c r="DZ171" s="251"/>
      <c r="EA171" s="251"/>
      <c r="EB171" s="251"/>
      <c r="EC171" s="251"/>
      <c r="ED171" s="251"/>
      <c r="EE171" s="251"/>
      <c r="EF171" s="251"/>
      <c r="EG171" s="251"/>
      <c r="EH171" s="251"/>
      <c r="EI171" s="251"/>
      <c r="EJ171" s="251"/>
      <c r="EK171" s="251"/>
      <c r="EL171" s="251"/>
      <c r="EM171" s="251"/>
      <c r="EN171" s="251"/>
      <c r="EO171" s="251"/>
      <c r="EP171" s="251"/>
      <c r="EQ171" s="251"/>
      <c r="ER171" s="251"/>
      <c r="ES171" s="251"/>
      <c r="ET171" s="251"/>
      <c r="EU171" s="251"/>
      <c r="EV171" s="251"/>
      <c r="EW171" s="251"/>
      <c r="EX171" s="251"/>
      <c r="EY171" s="251"/>
      <c r="EZ171" s="251"/>
      <c r="FA171" s="251"/>
      <c r="FB171" s="251"/>
      <c r="FC171" s="251"/>
      <c r="FD171" s="251"/>
      <c r="FE171" s="251"/>
      <c r="FF171" s="251"/>
      <c r="FG171" s="251"/>
      <c r="FH171" s="251"/>
      <c r="FI171" s="251"/>
      <c r="FJ171" s="251"/>
      <c r="FK171" s="251"/>
      <c r="FL171" s="251"/>
      <c r="FM171" s="251"/>
      <c r="FN171" s="251"/>
      <c r="FO171" s="251"/>
      <c r="FP171" s="251"/>
      <c r="FQ171" s="251"/>
      <c r="FR171" s="251"/>
      <c r="FS171" s="251"/>
      <c r="FT171" s="251"/>
      <c r="FU171" s="251"/>
      <c r="FV171" s="251"/>
      <c r="FW171" s="251"/>
      <c r="FX171" s="251"/>
      <c r="FY171" s="251"/>
      <c r="FZ171" s="251"/>
      <c r="GA171" s="251"/>
      <c r="GB171" s="251"/>
      <c r="GC171" s="251"/>
      <c r="GD171" s="251"/>
      <c r="GE171" s="251"/>
      <c r="GF171" s="251"/>
      <c r="GG171" s="251"/>
      <c r="GH171" s="251"/>
      <c r="GI171" s="251"/>
      <c r="GJ171" s="251"/>
      <c r="GK171" s="251"/>
      <c r="GL171" s="251"/>
      <c r="GM171" s="251"/>
      <c r="GN171" s="251"/>
      <c r="GO171" s="251"/>
      <c r="GP171" s="251"/>
      <c r="GQ171" s="251"/>
      <c r="GR171" s="251"/>
      <c r="GS171" s="251"/>
      <c r="GT171" s="251"/>
      <c r="GU171" s="251"/>
      <c r="GV171" s="251"/>
      <c r="GW171" s="251"/>
      <c r="GX171" s="251"/>
      <c r="GY171" s="251"/>
      <c r="GZ171" s="251"/>
      <c r="HA171" s="251"/>
      <c r="HB171" s="251"/>
      <c r="HC171" s="251"/>
      <c r="HD171" s="251"/>
      <c r="HE171" s="251"/>
      <c r="HF171" s="251"/>
      <c r="HG171" s="251"/>
      <c r="HH171" s="251"/>
      <c r="HI171" s="251"/>
      <c r="HJ171" s="251"/>
      <c r="HK171" s="251"/>
      <c r="HL171" s="251"/>
      <c r="HM171" s="251"/>
      <c r="HN171" s="251"/>
      <c r="HO171" s="251"/>
      <c r="HP171" s="251"/>
      <c r="HQ171" s="251"/>
      <c r="HR171" s="251"/>
      <c r="HS171" s="251"/>
      <c r="HT171" s="251"/>
      <c r="HU171" s="251"/>
      <c r="HV171" s="251"/>
      <c r="HW171" s="251"/>
      <c r="HX171" s="251"/>
      <c r="HY171" s="251"/>
      <c r="HZ171" s="251"/>
      <c r="IA171" s="251"/>
      <c r="IB171" s="251"/>
      <c r="IC171" s="251"/>
      <c r="ID171" s="251"/>
      <c r="IE171" s="251"/>
      <c r="IF171" s="251"/>
      <c r="IG171" s="251"/>
      <c r="IH171" s="251"/>
      <c r="II171" s="251"/>
      <c r="IJ171" s="251"/>
      <c r="IK171" s="251"/>
      <c r="IL171" s="251"/>
      <c r="IM171" s="251"/>
      <c r="IN171" s="251"/>
      <c r="IO171" s="251"/>
      <c r="IP171" s="251"/>
      <c r="IQ171" s="251"/>
      <c r="IR171" s="251"/>
      <c r="IS171" s="251"/>
      <c r="IT171" s="251"/>
      <c r="IU171" s="251"/>
      <c r="IV171" s="251"/>
      <c r="IW171" s="251"/>
      <c r="IX171" s="251"/>
      <c r="IY171" s="251"/>
      <c r="IZ171" s="251"/>
      <c r="JA171" s="251"/>
      <c r="JB171" s="251"/>
      <c r="JC171" s="251"/>
      <c r="JD171" s="251"/>
      <c r="JE171" s="251"/>
      <c r="JF171" s="251"/>
      <c r="JG171" s="251"/>
      <c r="JH171" s="251"/>
      <c r="JI171" s="251"/>
    </row>
    <row r="172" spans="1:269">
      <c r="A172" s="251"/>
      <c r="B172" s="251"/>
      <c r="C172" s="251"/>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51"/>
      <c r="BR172" s="251"/>
      <c r="BS172" s="251"/>
      <c r="BT172" s="251"/>
      <c r="BU172" s="251"/>
      <c r="BV172" s="251"/>
      <c r="BW172" s="251"/>
      <c r="BX172" s="251"/>
      <c r="BY172" s="251"/>
      <c r="BZ172" s="251"/>
      <c r="CA172" s="251"/>
      <c r="CB172" s="251"/>
      <c r="CC172" s="251"/>
      <c r="CD172" s="251"/>
      <c r="CE172" s="251"/>
      <c r="CF172" s="251"/>
      <c r="CG172" s="251"/>
      <c r="CH172" s="251"/>
      <c r="CI172" s="251"/>
      <c r="CJ172" s="251"/>
      <c r="CK172" s="251"/>
      <c r="CL172" s="251"/>
      <c r="CM172" s="251"/>
      <c r="CN172" s="251"/>
      <c r="CO172" s="251"/>
      <c r="CP172" s="251"/>
      <c r="CQ172" s="251"/>
      <c r="CR172" s="251"/>
      <c r="CS172" s="251"/>
      <c r="CT172" s="251"/>
      <c r="CU172" s="251"/>
      <c r="CV172" s="251"/>
      <c r="CW172" s="251"/>
      <c r="CX172" s="251"/>
      <c r="CY172" s="251"/>
      <c r="CZ172" s="251"/>
      <c r="DA172" s="251"/>
      <c r="DB172" s="251"/>
      <c r="DC172" s="251"/>
      <c r="DD172" s="251"/>
      <c r="DE172" s="251"/>
      <c r="DF172" s="251"/>
      <c r="DG172" s="251"/>
      <c r="DH172" s="251"/>
      <c r="DI172" s="251"/>
      <c r="DJ172" s="251"/>
      <c r="DK172" s="251"/>
      <c r="DL172" s="251"/>
      <c r="DM172" s="251"/>
      <c r="DN172" s="251"/>
      <c r="DO172" s="251"/>
      <c r="DP172" s="251"/>
      <c r="DQ172" s="251"/>
      <c r="DR172" s="251"/>
      <c r="DS172" s="251"/>
      <c r="DT172" s="251"/>
      <c r="DU172" s="251"/>
      <c r="DV172" s="251"/>
      <c r="DW172" s="251"/>
      <c r="DX172" s="251"/>
      <c r="DY172" s="251"/>
      <c r="DZ172" s="251"/>
      <c r="EA172" s="251"/>
      <c r="EB172" s="251"/>
      <c r="EC172" s="251"/>
      <c r="ED172" s="251"/>
      <c r="EE172" s="251"/>
      <c r="EF172" s="251"/>
      <c r="EG172" s="251"/>
      <c r="EH172" s="251"/>
      <c r="EI172" s="251"/>
      <c r="EJ172" s="251"/>
      <c r="EK172" s="251"/>
      <c r="EL172" s="251"/>
      <c r="EM172" s="251"/>
      <c r="EN172" s="251"/>
      <c r="EO172" s="251"/>
      <c r="EP172" s="251"/>
      <c r="EQ172" s="251"/>
      <c r="ER172" s="251"/>
      <c r="ES172" s="251"/>
      <c r="ET172" s="251"/>
      <c r="EU172" s="251"/>
      <c r="EV172" s="251"/>
      <c r="EW172" s="251"/>
      <c r="EX172" s="251"/>
      <c r="EY172" s="251"/>
      <c r="EZ172" s="251"/>
      <c r="FA172" s="251"/>
      <c r="FB172" s="251"/>
      <c r="FC172" s="251"/>
      <c r="FD172" s="251"/>
      <c r="FE172" s="251"/>
      <c r="FF172" s="251"/>
      <c r="FG172" s="251"/>
      <c r="FH172" s="251"/>
      <c r="FI172" s="251"/>
      <c r="FJ172" s="251"/>
      <c r="FK172" s="251"/>
      <c r="FL172" s="251"/>
      <c r="FM172" s="251"/>
      <c r="FN172" s="251"/>
      <c r="FO172" s="251"/>
      <c r="FP172" s="251"/>
      <c r="FQ172" s="251"/>
      <c r="FR172" s="251"/>
      <c r="FS172" s="251"/>
      <c r="FT172" s="251"/>
      <c r="FU172" s="251"/>
      <c r="FV172" s="251"/>
      <c r="FW172" s="251"/>
      <c r="FX172" s="251"/>
      <c r="FY172" s="251"/>
      <c r="FZ172" s="251"/>
      <c r="GA172" s="251"/>
      <c r="GB172" s="251"/>
      <c r="GC172" s="251"/>
      <c r="GD172" s="251"/>
      <c r="GE172" s="251"/>
      <c r="GF172" s="251"/>
      <c r="GG172" s="251"/>
      <c r="GH172" s="251"/>
      <c r="GI172" s="251"/>
      <c r="GJ172" s="251"/>
      <c r="GK172" s="251"/>
      <c r="GL172" s="251"/>
      <c r="GM172" s="251"/>
      <c r="GN172" s="251"/>
      <c r="GO172" s="251"/>
      <c r="GP172" s="251"/>
      <c r="GQ172" s="251"/>
      <c r="GR172" s="251"/>
      <c r="GS172" s="251"/>
      <c r="GT172" s="251"/>
      <c r="GU172" s="251"/>
      <c r="GV172" s="251"/>
      <c r="GW172" s="251"/>
      <c r="GX172" s="251"/>
      <c r="GY172" s="251"/>
      <c r="GZ172" s="251"/>
      <c r="HA172" s="251"/>
      <c r="HB172" s="251"/>
      <c r="HC172" s="251"/>
      <c r="HD172" s="251"/>
      <c r="HE172" s="251"/>
      <c r="HF172" s="251"/>
      <c r="HG172" s="251"/>
      <c r="HH172" s="251"/>
      <c r="HI172" s="251"/>
      <c r="HJ172" s="251"/>
      <c r="HK172" s="251"/>
      <c r="HL172" s="251"/>
      <c r="HM172" s="251"/>
      <c r="HN172" s="251"/>
      <c r="HO172" s="251"/>
      <c r="HP172" s="251"/>
      <c r="HQ172" s="251"/>
      <c r="HR172" s="251"/>
      <c r="HS172" s="251"/>
      <c r="HT172" s="251"/>
      <c r="HU172" s="251"/>
      <c r="HV172" s="251"/>
      <c r="HW172" s="251"/>
      <c r="HX172" s="251"/>
      <c r="HY172" s="251"/>
      <c r="HZ172" s="251"/>
      <c r="IA172" s="251"/>
      <c r="IB172" s="251"/>
      <c r="IC172" s="251"/>
      <c r="ID172" s="251"/>
      <c r="IE172" s="251"/>
      <c r="IF172" s="251"/>
      <c r="IG172" s="251"/>
      <c r="IH172" s="251"/>
      <c r="II172" s="251"/>
      <c r="IJ172" s="251"/>
      <c r="IK172" s="251"/>
      <c r="IL172" s="251"/>
      <c r="IM172" s="251"/>
      <c r="IN172" s="251"/>
      <c r="IO172" s="251"/>
      <c r="IP172" s="251"/>
      <c r="IQ172" s="251"/>
      <c r="IR172" s="251"/>
      <c r="IS172" s="251"/>
      <c r="IT172" s="251"/>
      <c r="IU172" s="251"/>
      <c r="IV172" s="251"/>
      <c r="IW172" s="251"/>
      <c r="IX172" s="251"/>
      <c r="IY172" s="251"/>
      <c r="IZ172" s="251"/>
      <c r="JA172" s="251"/>
      <c r="JB172" s="251"/>
      <c r="JC172" s="251"/>
      <c r="JD172" s="251"/>
      <c r="JE172" s="251"/>
      <c r="JF172" s="251"/>
      <c r="JG172" s="251"/>
      <c r="JH172" s="251"/>
      <c r="JI172" s="251"/>
    </row>
    <row r="173" spans="1:269">
      <c r="A173" s="251"/>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51"/>
      <c r="BR173" s="251"/>
      <c r="BS173" s="251"/>
      <c r="BT173" s="251"/>
      <c r="BU173" s="251"/>
      <c r="BV173" s="251"/>
      <c r="BW173" s="251"/>
      <c r="BX173" s="251"/>
      <c r="BY173" s="251"/>
      <c r="BZ173" s="251"/>
      <c r="CA173" s="251"/>
      <c r="CB173" s="251"/>
      <c r="CC173" s="251"/>
      <c r="CD173" s="251"/>
      <c r="CE173" s="251"/>
      <c r="CF173" s="251"/>
      <c r="CG173" s="251"/>
      <c r="CH173" s="251"/>
      <c r="CI173" s="251"/>
      <c r="CJ173" s="251"/>
      <c r="CK173" s="251"/>
      <c r="CL173" s="251"/>
      <c r="CM173" s="251"/>
      <c r="CN173" s="251"/>
      <c r="CO173" s="251"/>
      <c r="CP173" s="251"/>
      <c r="CQ173" s="251"/>
      <c r="CR173" s="251"/>
      <c r="CS173" s="251"/>
      <c r="CT173" s="251"/>
      <c r="CU173" s="251"/>
      <c r="CV173" s="251"/>
      <c r="CW173" s="251"/>
      <c r="CX173" s="251"/>
      <c r="CY173" s="251"/>
      <c r="CZ173" s="251"/>
      <c r="DA173" s="251"/>
      <c r="DB173" s="251"/>
      <c r="DC173" s="251"/>
      <c r="DD173" s="251"/>
      <c r="DE173" s="251"/>
      <c r="DF173" s="251"/>
      <c r="DG173" s="251"/>
      <c r="DH173" s="251"/>
      <c r="DI173" s="251"/>
      <c r="DJ173" s="251"/>
      <c r="DK173" s="251"/>
      <c r="DL173" s="251"/>
      <c r="DM173" s="251"/>
      <c r="DN173" s="251"/>
      <c r="DO173" s="251"/>
      <c r="DP173" s="251"/>
      <c r="DQ173" s="251"/>
      <c r="DR173" s="251"/>
      <c r="DS173" s="251"/>
      <c r="DT173" s="251"/>
      <c r="DU173" s="251"/>
      <c r="DV173" s="251"/>
      <c r="DW173" s="251"/>
      <c r="DX173" s="251"/>
      <c r="DY173" s="251"/>
      <c r="DZ173" s="251"/>
      <c r="EA173" s="251"/>
      <c r="EB173" s="251"/>
      <c r="EC173" s="251"/>
      <c r="ED173" s="251"/>
      <c r="EE173" s="251"/>
      <c r="EF173" s="251"/>
      <c r="EG173" s="251"/>
      <c r="EH173" s="251"/>
      <c r="EI173" s="251"/>
      <c r="EJ173" s="251"/>
      <c r="EK173" s="251"/>
      <c r="EL173" s="251"/>
      <c r="EM173" s="251"/>
      <c r="EN173" s="251"/>
      <c r="EO173" s="251"/>
      <c r="EP173" s="251"/>
      <c r="EQ173" s="251"/>
      <c r="ER173" s="251"/>
      <c r="ES173" s="251"/>
      <c r="ET173" s="251"/>
      <c r="EU173" s="251"/>
      <c r="EV173" s="251"/>
      <c r="EW173" s="251"/>
      <c r="EX173" s="251"/>
      <c r="EY173" s="251"/>
      <c r="EZ173" s="251"/>
      <c r="FA173" s="251"/>
      <c r="FB173" s="251"/>
      <c r="FC173" s="251"/>
      <c r="FD173" s="251"/>
      <c r="FE173" s="251"/>
      <c r="FF173" s="251"/>
      <c r="FG173" s="251"/>
      <c r="FH173" s="251"/>
      <c r="FI173" s="251"/>
      <c r="FJ173" s="251"/>
      <c r="FK173" s="251"/>
      <c r="FL173" s="251"/>
      <c r="FM173" s="251"/>
      <c r="FN173" s="251"/>
      <c r="FO173" s="251"/>
      <c r="FP173" s="251"/>
      <c r="FQ173" s="251"/>
      <c r="FR173" s="251"/>
      <c r="FS173" s="251"/>
      <c r="FT173" s="251"/>
      <c r="FU173" s="251"/>
      <c r="FV173" s="251"/>
      <c r="FW173" s="251"/>
      <c r="FX173" s="251"/>
      <c r="FY173" s="251"/>
      <c r="FZ173" s="251"/>
      <c r="GA173" s="251"/>
      <c r="GB173" s="251"/>
      <c r="GC173" s="251"/>
      <c r="GD173" s="251"/>
      <c r="GE173" s="251"/>
      <c r="GF173" s="251"/>
      <c r="GG173" s="251"/>
      <c r="GH173" s="251"/>
      <c r="GI173" s="251"/>
      <c r="GJ173" s="251"/>
      <c r="GK173" s="251"/>
      <c r="GL173" s="251"/>
      <c r="GM173" s="251"/>
      <c r="GN173" s="251"/>
      <c r="GO173" s="251"/>
      <c r="GP173" s="251"/>
      <c r="GQ173" s="251"/>
      <c r="GR173" s="251"/>
      <c r="GS173" s="251"/>
      <c r="GT173" s="251"/>
      <c r="GU173" s="251"/>
      <c r="GV173" s="251"/>
      <c r="GW173" s="251"/>
      <c r="GX173" s="251"/>
      <c r="GY173" s="251"/>
      <c r="GZ173" s="251"/>
      <c r="HA173" s="251"/>
      <c r="HB173" s="251"/>
      <c r="HC173" s="251"/>
      <c r="HD173" s="251"/>
      <c r="HE173" s="251"/>
      <c r="HF173" s="251"/>
      <c r="HG173" s="251"/>
      <c r="HH173" s="251"/>
      <c r="HI173" s="251"/>
      <c r="HJ173" s="251"/>
      <c r="HK173" s="251"/>
      <c r="HL173" s="251"/>
      <c r="HM173" s="251"/>
      <c r="HN173" s="251"/>
      <c r="HO173" s="251"/>
      <c r="HP173" s="251"/>
      <c r="HQ173" s="251"/>
      <c r="HR173" s="251"/>
      <c r="HS173" s="251"/>
      <c r="HT173" s="251"/>
      <c r="HU173" s="251"/>
      <c r="HV173" s="251"/>
      <c r="HW173" s="251"/>
      <c r="HX173" s="251"/>
      <c r="HY173" s="251"/>
      <c r="HZ173" s="251"/>
      <c r="IA173" s="251"/>
      <c r="IB173" s="251"/>
      <c r="IC173" s="251"/>
      <c r="ID173" s="251"/>
      <c r="IE173" s="251"/>
      <c r="IF173" s="251"/>
      <c r="IG173" s="251"/>
      <c r="IH173" s="251"/>
      <c r="II173" s="251"/>
      <c r="IJ173" s="251"/>
      <c r="IK173" s="251"/>
      <c r="IL173" s="251"/>
      <c r="IM173" s="251"/>
      <c r="IN173" s="251"/>
      <c r="IO173" s="251"/>
      <c r="IP173" s="251"/>
      <c r="IQ173" s="251"/>
      <c r="IR173" s="251"/>
      <c r="IS173" s="251"/>
      <c r="IT173" s="251"/>
      <c r="IU173" s="251"/>
      <c r="IV173" s="251"/>
      <c r="IW173" s="251"/>
      <c r="IX173" s="251"/>
      <c r="IY173" s="251"/>
      <c r="IZ173" s="251"/>
      <c r="JA173" s="251"/>
      <c r="JB173" s="251"/>
      <c r="JC173" s="251"/>
      <c r="JD173" s="251"/>
      <c r="JE173" s="251"/>
      <c r="JF173" s="251"/>
      <c r="JG173" s="251"/>
      <c r="JH173" s="251"/>
      <c r="JI173" s="251"/>
    </row>
    <row r="174" spans="1:269">
      <c r="A174" s="251"/>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51"/>
      <c r="BR174" s="251"/>
      <c r="BS174" s="251"/>
      <c r="BT174" s="251"/>
      <c r="BU174" s="251"/>
      <c r="BV174" s="251"/>
      <c r="BW174" s="251"/>
      <c r="BX174" s="251"/>
      <c r="BY174" s="251"/>
      <c r="BZ174" s="251"/>
      <c r="CA174" s="251"/>
      <c r="CB174" s="251"/>
      <c r="CC174" s="251"/>
      <c r="CD174" s="251"/>
      <c r="CE174" s="251"/>
      <c r="CF174" s="251"/>
      <c r="CG174" s="251"/>
      <c r="CH174" s="251"/>
      <c r="CI174" s="251"/>
      <c r="CJ174" s="251"/>
      <c r="CK174" s="251"/>
      <c r="CL174" s="251"/>
      <c r="CM174" s="251"/>
      <c r="CN174" s="251"/>
      <c r="CO174" s="251"/>
      <c r="CP174" s="251"/>
      <c r="CQ174" s="251"/>
      <c r="CR174" s="251"/>
      <c r="CS174" s="251"/>
      <c r="CT174" s="251"/>
      <c r="CU174" s="251"/>
      <c r="CV174" s="251"/>
      <c r="CW174" s="251"/>
      <c r="CX174" s="251"/>
      <c r="CY174" s="251"/>
      <c r="CZ174" s="251"/>
      <c r="DA174" s="251"/>
      <c r="DB174" s="251"/>
      <c r="DC174" s="251"/>
      <c r="DD174" s="251"/>
      <c r="DE174" s="251"/>
      <c r="DF174" s="251"/>
      <c r="DG174" s="251"/>
      <c r="DH174" s="251"/>
      <c r="DI174" s="251"/>
      <c r="DJ174" s="251"/>
      <c r="DK174" s="251"/>
      <c r="DL174" s="251"/>
      <c r="DM174" s="251"/>
      <c r="DN174" s="251"/>
      <c r="DO174" s="251"/>
      <c r="DP174" s="251"/>
      <c r="DQ174" s="251"/>
      <c r="DR174" s="251"/>
      <c r="DS174" s="251"/>
      <c r="DT174" s="251"/>
      <c r="DU174" s="251"/>
      <c r="DV174" s="251"/>
      <c r="DW174" s="251"/>
      <c r="DX174" s="251"/>
      <c r="DY174" s="251"/>
      <c r="DZ174" s="251"/>
      <c r="EA174" s="251"/>
      <c r="EB174" s="251"/>
      <c r="EC174" s="251"/>
      <c r="ED174" s="251"/>
      <c r="EE174" s="251"/>
      <c r="EF174" s="251"/>
      <c r="EG174" s="251"/>
      <c r="EH174" s="251"/>
      <c r="EI174" s="251"/>
      <c r="EJ174" s="251"/>
      <c r="EK174" s="251"/>
      <c r="EL174" s="251"/>
      <c r="EM174" s="251"/>
      <c r="EN174" s="251"/>
      <c r="EO174" s="251"/>
      <c r="EP174" s="251"/>
      <c r="EQ174" s="251"/>
      <c r="ER174" s="251"/>
      <c r="ES174" s="251"/>
      <c r="ET174" s="251"/>
      <c r="EU174" s="251"/>
      <c r="EV174" s="251"/>
      <c r="EW174" s="251"/>
      <c r="EX174" s="251"/>
      <c r="EY174" s="251"/>
      <c r="EZ174" s="251"/>
      <c r="FA174" s="251"/>
      <c r="FB174" s="251"/>
      <c r="FC174" s="251"/>
      <c r="FD174" s="251"/>
      <c r="FE174" s="251"/>
      <c r="FF174" s="251"/>
      <c r="FG174" s="251"/>
      <c r="FH174" s="251"/>
      <c r="FI174" s="251"/>
      <c r="FJ174" s="251"/>
      <c r="FK174" s="251"/>
      <c r="FL174" s="251"/>
      <c r="FM174" s="251"/>
      <c r="FN174" s="251"/>
      <c r="FO174" s="251"/>
      <c r="FP174" s="251"/>
      <c r="FQ174" s="251"/>
      <c r="FR174" s="251"/>
      <c r="FS174" s="251"/>
      <c r="FT174" s="251"/>
      <c r="FU174" s="251"/>
      <c r="FV174" s="251"/>
      <c r="FW174" s="251"/>
      <c r="FX174" s="251"/>
      <c r="FY174" s="251"/>
      <c r="FZ174" s="251"/>
      <c r="GA174" s="251"/>
      <c r="GB174" s="251"/>
      <c r="GC174" s="251"/>
      <c r="GD174" s="251"/>
      <c r="GE174" s="251"/>
      <c r="GF174" s="251"/>
      <c r="GG174" s="251"/>
      <c r="GH174" s="251"/>
      <c r="GI174" s="251"/>
      <c r="GJ174" s="251"/>
      <c r="GK174" s="251"/>
      <c r="GL174" s="251"/>
      <c r="GM174" s="251"/>
      <c r="GN174" s="251"/>
      <c r="GO174" s="251"/>
      <c r="GP174" s="251"/>
      <c r="GQ174" s="251"/>
      <c r="GR174" s="251"/>
      <c r="GS174" s="251"/>
      <c r="GT174" s="251"/>
      <c r="GU174" s="251"/>
      <c r="GV174" s="251"/>
      <c r="GW174" s="251"/>
      <c r="GX174" s="251"/>
      <c r="GY174" s="251"/>
      <c r="GZ174" s="251"/>
      <c r="HA174" s="251"/>
      <c r="HB174" s="251"/>
      <c r="HC174" s="251"/>
      <c r="HD174" s="251"/>
      <c r="HE174" s="251"/>
      <c r="HF174" s="251"/>
      <c r="HG174" s="251"/>
      <c r="HH174" s="251"/>
      <c r="HI174" s="251"/>
      <c r="HJ174" s="251"/>
      <c r="HK174" s="251"/>
      <c r="HL174" s="251"/>
      <c r="HM174" s="251"/>
      <c r="HN174" s="251"/>
      <c r="HO174" s="251"/>
      <c r="HP174" s="251"/>
      <c r="HQ174" s="251"/>
      <c r="HR174" s="251"/>
      <c r="HS174" s="251"/>
      <c r="HT174" s="251"/>
      <c r="HU174" s="251"/>
      <c r="HV174" s="251"/>
      <c r="HW174" s="251"/>
      <c r="HX174" s="251"/>
      <c r="HY174" s="251"/>
      <c r="HZ174" s="251"/>
      <c r="IA174" s="251"/>
      <c r="IB174" s="251"/>
      <c r="IC174" s="251"/>
      <c r="ID174" s="251"/>
      <c r="IE174" s="251"/>
      <c r="IF174" s="251"/>
      <c r="IG174" s="251"/>
      <c r="IH174" s="251"/>
      <c r="II174" s="251"/>
      <c r="IJ174" s="251"/>
      <c r="IK174" s="251"/>
      <c r="IL174" s="251"/>
      <c r="IM174" s="251"/>
      <c r="IN174" s="251"/>
      <c r="IO174" s="251"/>
      <c r="IP174" s="251"/>
      <c r="IQ174" s="251"/>
      <c r="IR174" s="251"/>
      <c r="IS174" s="251"/>
      <c r="IT174" s="251"/>
      <c r="IU174" s="251"/>
      <c r="IV174" s="251"/>
      <c r="IW174" s="251"/>
      <c r="IX174" s="251"/>
      <c r="IY174" s="251"/>
      <c r="IZ174" s="251"/>
      <c r="JA174" s="251"/>
      <c r="JB174" s="251"/>
      <c r="JC174" s="251"/>
      <c r="JD174" s="251"/>
      <c r="JE174" s="251"/>
      <c r="JF174" s="251"/>
      <c r="JG174" s="251"/>
      <c r="JH174" s="251"/>
      <c r="JI174" s="251"/>
    </row>
    <row r="175" spans="1:269">
      <c r="A175" s="251"/>
      <c r="B175" s="251"/>
      <c r="C175" s="25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51"/>
      <c r="BR175" s="251"/>
      <c r="BS175" s="251"/>
      <c r="BT175" s="251"/>
      <c r="BU175" s="251"/>
      <c r="BV175" s="251"/>
      <c r="BW175" s="251"/>
      <c r="BX175" s="251"/>
      <c r="BY175" s="251"/>
      <c r="BZ175" s="251"/>
      <c r="CA175" s="251"/>
      <c r="CB175" s="251"/>
      <c r="CC175" s="251"/>
      <c r="CD175" s="251"/>
      <c r="CE175" s="251"/>
      <c r="CF175" s="251"/>
      <c r="CG175" s="251"/>
      <c r="CH175" s="251"/>
      <c r="CI175" s="251"/>
      <c r="CJ175" s="251"/>
      <c r="CK175" s="251"/>
      <c r="CL175" s="251"/>
      <c r="CM175" s="251"/>
      <c r="CN175" s="251"/>
      <c r="CO175" s="251"/>
      <c r="CP175" s="251"/>
      <c r="CQ175" s="251"/>
      <c r="CR175" s="251"/>
      <c r="CS175" s="251"/>
      <c r="CT175" s="251"/>
      <c r="CU175" s="251"/>
      <c r="CV175" s="251"/>
      <c r="CW175" s="251"/>
      <c r="CX175" s="251"/>
      <c r="CY175" s="251"/>
      <c r="CZ175" s="251"/>
      <c r="DA175" s="251"/>
      <c r="DB175" s="251"/>
      <c r="DC175" s="251"/>
      <c r="DD175" s="251"/>
      <c r="DE175" s="251"/>
      <c r="DF175" s="251"/>
      <c r="DG175" s="251"/>
      <c r="DH175" s="251"/>
      <c r="DI175" s="251"/>
      <c r="DJ175" s="251"/>
      <c r="DK175" s="251"/>
      <c r="DL175" s="251"/>
      <c r="DM175" s="251"/>
      <c r="DN175" s="251"/>
      <c r="DO175" s="251"/>
      <c r="DP175" s="251"/>
      <c r="DQ175" s="251"/>
      <c r="DR175" s="251"/>
      <c r="DS175" s="251"/>
      <c r="DT175" s="251"/>
      <c r="DU175" s="251"/>
      <c r="DV175" s="251"/>
      <c r="DW175" s="251"/>
      <c r="DX175" s="251"/>
      <c r="DY175" s="251"/>
      <c r="DZ175" s="251"/>
      <c r="EA175" s="251"/>
      <c r="EB175" s="251"/>
      <c r="EC175" s="251"/>
      <c r="ED175" s="251"/>
      <c r="EE175" s="251"/>
      <c r="EF175" s="251"/>
      <c r="EG175" s="251"/>
      <c r="EH175" s="251"/>
      <c r="EI175" s="251"/>
      <c r="EJ175" s="251"/>
      <c r="EK175" s="251"/>
      <c r="EL175" s="251"/>
      <c r="EM175" s="251"/>
      <c r="EN175" s="251"/>
      <c r="EO175" s="251"/>
      <c r="EP175" s="251"/>
      <c r="EQ175" s="251"/>
      <c r="ER175" s="251"/>
      <c r="ES175" s="251"/>
      <c r="ET175" s="251"/>
      <c r="EU175" s="251"/>
      <c r="EV175" s="251"/>
      <c r="EW175" s="251"/>
      <c r="EX175" s="251"/>
      <c r="EY175" s="251"/>
      <c r="EZ175" s="251"/>
      <c r="FA175" s="251"/>
      <c r="FB175" s="251"/>
      <c r="FC175" s="251"/>
      <c r="FD175" s="251"/>
      <c r="FE175" s="251"/>
      <c r="FF175" s="251"/>
      <c r="FG175" s="251"/>
      <c r="FH175" s="251"/>
      <c r="FI175" s="251"/>
      <c r="FJ175" s="251"/>
      <c r="FK175" s="251"/>
      <c r="FL175" s="251"/>
      <c r="FM175" s="251"/>
      <c r="FN175" s="251"/>
      <c r="FO175" s="251"/>
      <c r="FP175" s="251"/>
      <c r="FQ175" s="251"/>
      <c r="FR175" s="251"/>
      <c r="FS175" s="251"/>
      <c r="FT175" s="251"/>
      <c r="FU175" s="251"/>
      <c r="FV175" s="251"/>
      <c r="FW175" s="251"/>
      <c r="FX175" s="251"/>
      <c r="FY175" s="251"/>
      <c r="FZ175" s="251"/>
      <c r="GA175" s="251"/>
      <c r="GB175" s="251"/>
      <c r="GC175" s="251"/>
      <c r="GD175" s="251"/>
      <c r="GE175" s="251"/>
      <c r="GF175" s="251"/>
      <c r="GG175" s="251"/>
      <c r="GH175" s="251"/>
      <c r="GI175" s="251"/>
      <c r="GJ175" s="251"/>
      <c r="GK175" s="251"/>
      <c r="GL175" s="251"/>
      <c r="GM175" s="251"/>
      <c r="GN175" s="251"/>
      <c r="GO175" s="251"/>
      <c r="GP175" s="251"/>
      <c r="GQ175" s="251"/>
      <c r="GR175" s="251"/>
      <c r="GS175" s="251"/>
      <c r="GT175" s="251"/>
      <c r="GU175" s="251"/>
      <c r="GV175" s="251"/>
      <c r="GW175" s="251"/>
      <c r="GX175" s="251"/>
      <c r="GY175" s="251"/>
      <c r="GZ175" s="251"/>
      <c r="HA175" s="251"/>
      <c r="HB175" s="251"/>
      <c r="HC175" s="251"/>
      <c r="HD175" s="251"/>
      <c r="HE175" s="251"/>
      <c r="HF175" s="251"/>
      <c r="HG175" s="251"/>
      <c r="HH175" s="251"/>
      <c r="HI175" s="251"/>
      <c r="HJ175" s="251"/>
      <c r="HK175" s="251"/>
      <c r="HL175" s="251"/>
      <c r="HM175" s="251"/>
      <c r="HN175" s="251"/>
      <c r="HO175" s="251"/>
      <c r="HP175" s="251"/>
      <c r="HQ175" s="251"/>
      <c r="HR175" s="251"/>
      <c r="HS175" s="251"/>
      <c r="HT175" s="251"/>
      <c r="HU175" s="251"/>
      <c r="HV175" s="251"/>
      <c r="HW175" s="251"/>
      <c r="HX175" s="251"/>
      <c r="HY175" s="251"/>
      <c r="HZ175" s="251"/>
      <c r="IA175" s="251"/>
      <c r="IB175" s="251"/>
      <c r="IC175" s="251"/>
      <c r="ID175" s="251"/>
      <c r="IE175" s="251"/>
      <c r="IF175" s="251"/>
      <c r="IG175" s="251"/>
      <c r="IH175" s="251"/>
      <c r="II175" s="251"/>
      <c r="IJ175" s="251"/>
      <c r="IK175" s="251"/>
      <c r="IL175" s="251"/>
      <c r="IM175" s="251"/>
      <c r="IN175" s="251"/>
      <c r="IO175" s="251"/>
      <c r="IP175" s="251"/>
      <c r="IQ175" s="251"/>
      <c r="IR175" s="251"/>
      <c r="IS175" s="251"/>
      <c r="IT175" s="251"/>
      <c r="IU175" s="251"/>
      <c r="IV175" s="251"/>
      <c r="IW175" s="251"/>
      <c r="IX175" s="251"/>
      <c r="IY175" s="251"/>
      <c r="IZ175" s="251"/>
      <c r="JA175" s="251"/>
      <c r="JB175" s="251"/>
      <c r="JC175" s="251"/>
      <c r="JD175" s="251"/>
      <c r="JE175" s="251"/>
      <c r="JF175" s="251"/>
      <c r="JG175" s="251"/>
      <c r="JH175" s="251"/>
      <c r="JI175" s="251"/>
    </row>
    <row r="176" spans="1:269">
      <c r="A176" s="251"/>
      <c r="B176" s="251"/>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251"/>
      <c r="AF176" s="251"/>
      <c r="AG176" s="251"/>
      <c r="AH176" s="251"/>
      <c r="AI176" s="251"/>
      <c r="AJ176" s="251"/>
      <c r="AK176" s="251"/>
      <c r="AL176" s="251"/>
      <c r="AM176" s="251"/>
      <c r="AN176" s="251"/>
      <c r="AO176" s="251"/>
      <c r="AP176" s="251"/>
      <c r="AQ176" s="251"/>
      <c r="AR176" s="251"/>
      <c r="AS176" s="251"/>
      <c r="AT176" s="251"/>
      <c r="AU176" s="251"/>
      <c r="AV176" s="251"/>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51"/>
      <c r="BR176" s="251"/>
      <c r="BS176" s="251"/>
      <c r="BT176" s="251"/>
      <c r="BU176" s="251"/>
      <c r="BV176" s="251"/>
      <c r="BW176" s="251"/>
      <c r="BX176" s="251"/>
      <c r="BY176" s="251"/>
      <c r="BZ176" s="251"/>
      <c r="CA176" s="251"/>
      <c r="CB176" s="251"/>
      <c r="CC176" s="251"/>
      <c r="CD176" s="251"/>
      <c r="CE176" s="251"/>
      <c r="CF176" s="251"/>
      <c r="CG176" s="251"/>
      <c r="CH176" s="251"/>
      <c r="CI176" s="251"/>
      <c r="CJ176" s="251"/>
      <c r="CK176" s="251"/>
      <c r="CL176" s="251"/>
      <c r="CM176" s="251"/>
      <c r="CN176" s="251"/>
      <c r="CO176" s="251"/>
      <c r="CP176" s="251"/>
      <c r="CQ176" s="251"/>
      <c r="CR176" s="251"/>
      <c r="CS176" s="251"/>
      <c r="CT176" s="251"/>
      <c r="CU176" s="251"/>
      <c r="CV176" s="251"/>
      <c r="CW176" s="251"/>
      <c r="CX176" s="251"/>
      <c r="CY176" s="251"/>
      <c r="CZ176" s="251"/>
      <c r="DA176" s="251"/>
      <c r="DB176" s="251"/>
      <c r="DC176" s="251"/>
      <c r="DD176" s="251"/>
      <c r="DE176" s="251"/>
      <c r="DF176" s="251"/>
      <c r="DG176" s="251"/>
      <c r="DH176" s="251"/>
      <c r="DI176" s="251"/>
      <c r="DJ176" s="251"/>
      <c r="DK176" s="251"/>
      <c r="DL176" s="251"/>
      <c r="DM176" s="251"/>
      <c r="DN176" s="251"/>
      <c r="DO176" s="251"/>
      <c r="DP176" s="251"/>
      <c r="DQ176" s="251"/>
      <c r="DR176" s="251"/>
      <c r="DS176" s="251"/>
      <c r="DT176" s="251"/>
      <c r="DU176" s="251"/>
      <c r="DV176" s="251"/>
      <c r="DW176" s="251"/>
      <c r="DX176" s="251"/>
      <c r="DY176" s="251"/>
      <c r="DZ176" s="251"/>
      <c r="EA176" s="251"/>
      <c r="EB176" s="251"/>
      <c r="EC176" s="251"/>
      <c r="ED176" s="251"/>
      <c r="EE176" s="251"/>
      <c r="EF176" s="251"/>
      <c r="EG176" s="251"/>
      <c r="EH176" s="251"/>
      <c r="EI176" s="251"/>
      <c r="EJ176" s="251"/>
      <c r="EK176" s="251"/>
      <c r="EL176" s="251"/>
      <c r="EM176" s="251"/>
      <c r="EN176" s="251"/>
      <c r="EO176" s="251"/>
      <c r="EP176" s="251"/>
      <c r="EQ176" s="251"/>
      <c r="ER176" s="251"/>
      <c r="ES176" s="251"/>
      <c r="ET176" s="251"/>
      <c r="EU176" s="251"/>
      <c r="EV176" s="251"/>
      <c r="EW176" s="251"/>
      <c r="EX176" s="251"/>
      <c r="EY176" s="251"/>
      <c r="EZ176" s="251"/>
      <c r="FA176" s="251"/>
      <c r="FB176" s="251"/>
      <c r="FC176" s="251"/>
      <c r="FD176" s="251"/>
      <c r="FE176" s="251"/>
      <c r="FF176" s="251"/>
      <c r="FG176" s="251"/>
      <c r="FH176" s="251"/>
      <c r="FI176" s="251"/>
      <c r="FJ176" s="251"/>
      <c r="FK176" s="251"/>
      <c r="FL176" s="251"/>
      <c r="FM176" s="251"/>
      <c r="FN176" s="251"/>
      <c r="FO176" s="251"/>
      <c r="FP176" s="251"/>
      <c r="FQ176" s="251"/>
      <c r="FR176" s="251"/>
      <c r="FS176" s="251"/>
      <c r="FT176" s="251"/>
      <c r="FU176" s="251"/>
      <c r="FV176" s="251"/>
      <c r="FW176" s="251"/>
      <c r="FX176" s="251"/>
      <c r="FY176" s="251"/>
      <c r="FZ176" s="251"/>
      <c r="GA176" s="251"/>
      <c r="GB176" s="251"/>
      <c r="GC176" s="251"/>
      <c r="GD176" s="251"/>
      <c r="GE176" s="251"/>
      <c r="GF176" s="251"/>
      <c r="GG176" s="251"/>
      <c r="GH176" s="251"/>
      <c r="GI176" s="251"/>
      <c r="GJ176" s="251"/>
      <c r="GK176" s="251"/>
      <c r="GL176" s="251"/>
      <c r="GM176" s="251"/>
      <c r="GN176" s="251"/>
      <c r="GO176" s="251"/>
      <c r="GP176" s="251"/>
      <c r="GQ176" s="251"/>
      <c r="GR176" s="251"/>
      <c r="GS176" s="251"/>
      <c r="GT176" s="251"/>
      <c r="GU176" s="251"/>
      <c r="GV176" s="251"/>
      <c r="GW176" s="251"/>
      <c r="GX176" s="251"/>
      <c r="GY176" s="251"/>
      <c r="GZ176" s="251"/>
      <c r="HA176" s="251"/>
      <c r="HB176" s="251"/>
      <c r="HC176" s="251"/>
      <c r="HD176" s="251"/>
      <c r="HE176" s="251"/>
      <c r="HF176" s="251"/>
      <c r="HG176" s="251"/>
      <c r="HH176" s="251"/>
      <c r="HI176" s="251"/>
      <c r="HJ176" s="251"/>
      <c r="HK176" s="251"/>
      <c r="HL176" s="251"/>
      <c r="HM176" s="251"/>
      <c r="HN176" s="251"/>
      <c r="HO176" s="251"/>
      <c r="HP176" s="251"/>
      <c r="HQ176" s="251"/>
      <c r="HR176" s="251"/>
      <c r="HS176" s="251"/>
      <c r="HT176" s="251"/>
      <c r="HU176" s="251"/>
      <c r="HV176" s="251"/>
      <c r="HW176" s="251"/>
      <c r="HX176" s="251"/>
      <c r="HY176" s="251"/>
      <c r="HZ176" s="251"/>
      <c r="IA176" s="251"/>
      <c r="IB176" s="251"/>
      <c r="IC176" s="251"/>
      <c r="ID176" s="251"/>
      <c r="IE176" s="251"/>
      <c r="IF176" s="251"/>
      <c r="IG176" s="251"/>
      <c r="IH176" s="251"/>
      <c r="II176" s="251"/>
      <c r="IJ176" s="251"/>
      <c r="IK176" s="251"/>
      <c r="IL176" s="251"/>
      <c r="IM176" s="251"/>
      <c r="IN176" s="251"/>
      <c r="IO176" s="251"/>
      <c r="IP176" s="251"/>
      <c r="IQ176" s="251"/>
      <c r="IR176" s="251"/>
      <c r="IS176" s="251"/>
      <c r="IT176" s="251"/>
      <c r="IU176" s="251"/>
      <c r="IV176" s="251"/>
      <c r="IW176" s="251"/>
      <c r="IX176" s="251"/>
      <c r="IY176" s="251"/>
      <c r="IZ176" s="251"/>
      <c r="JA176" s="251"/>
      <c r="JB176" s="251"/>
      <c r="JC176" s="251"/>
      <c r="JD176" s="251"/>
      <c r="JE176" s="251"/>
      <c r="JF176" s="251"/>
      <c r="JG176" s="251"/>
      <c r="JH176" s="251"/>
      <c r="JI176" s="251"/>
    </row>
    <row r="177" spans="1:269">
      <c r="A177" s="251"/>
      <c r="B177" s="251"/>
      <c r="C177" s="251"/>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51"/>
      <c r="BR177" s="251"/>
      <c r="BS177" s="251"/>
      <c r="BT177" s="251"/>
      <c r="BU177" s="251"/>
      <c r="BV177" s="251"/>
      <c r="BW177" s="251"/>
      <c r="BX177" s="251"/>
      <c r="BY177" s="251"/>
      <c r="BZ177" s="251"/>
      <c r="CA177" s="251"/>
      <c r="CB177" s="251"/>
      <c r="CC177" s="251"/>
      <c r="CD177" s="251"/>
      <c r="CE177" s="251"/>
      <c r="CF177" s="251"/>
      <c r="CG177" s="251"/>
      <c r="CH177" s="251"/>
      <c r="CI177" s="251"/>
      <c r="CJ177" s="251"/>
      <c r="CK177" s="251"/>
      <c r="CL177" s="251"/>
      <c r="CM177" s="251"/>
      <c r="CN177" s="251"/>
      <c r="CO177" s="251"/>
      <c r="CP177" s="251"/>
      <c r="CQ177" s="251"/>
      <c r="CR177" s="251"/>
      <c r="CS177" s="251"/>
      <c r="CT177" s="251"/>
      <c r="CU177" s="251"/>
      <c r="CV177" s="251"/>
      <c r="CW177" s="251"/>
      <c r="CX177" s="251"/>
      <c r="CY177" s="251"/>
      <c r="CZ177" s="251"/>
      <c r="DA177" s="251"/>
      <c r="DB177" s="251"/>
      <c r="DC177" s="251"/>
      <c r="DD177" s="251"/>
      <c r="DE177" s="251"/>
      <c r="DF177" s="251"/>
      <c r="DG177" s="251"/>
      <c r="DH177" s="251"/>
      <c r="DI177" s="251"/>
      <c r="DJ177" s="251"/>
      <c r="DK177" s="251"/>
      <c r="DL177" s="251"/>
      <c r="DM177" s="251"/>
      <c r="DN177" s="251"/>
      <c r="DO177" s="251"/>
      <c r="DP177" s="251"/>
      <c r="DQ177" s="251"/>
      <c r="DR177" s="251"/>
      <c r="DS177" s="251"/>
      <c r="DT177" s="251"/>
      <c r="DU177" s="251"/>
      <c r="DV177" s="251"/>
      <c r="DW177" s="251"/>
      <c r="DX177" s="251"/>
      <c r="DY177" s="251"/>
      <c r="DZ177" s="251"/>
      <c r="EA177" s="251"/>
      <c r="EB177" s="251"/>
      <c r="EC177" s="251"/>
      <c r="ED177" s="251"/>
      <c r="EE177" s="251"/>
      <c r="EF177" s="251"/>
      <c r="EG177" s="251"/>
      <c r="EH177" s="251"/>
      <c r="EI177" s="251"/>
      <c r="EJ177" s="251"/>
      <c r="EK177" s="251"/>
      <c r="EL177" s="251"/>
      <c r="EM177" s="251"/>
      <c r="EN177" s="251"/>
      <c r="EO177" s="251"/>
      <c r="EP177" s="251"/>
      <c r="EQ177" s="251"/>
      <c r="ER177" s="251"/>
      <c r="ES177" s="251"/>
      <c r="ET177" s="251"/>
      <c r="EU177" s="251"/>
      <c r="EV177" s="251"/>
      <c r="EW177" s="251"/>
      <c r="EX177" s="251"/>
      <c r="EY177" s="251"/>
      <c r="EZ177" s="251"/>
      <c r="FA177" s="251"/>
      <c r="FB177" s="251"/>
      <c r="FC177" s="251"/>
      <c r="FD177" s="251"/>
      <c r="FE177" s="251"/>
      <c r="FF177" s="251"/>
      <c r="FG177" s="251"/>
      <c r="FH177" s="251"/>
      <c r="FI177" s="251"/>
      <c r="FJ177" s="251"/>
      <c r="FK177" s="251"/>
      <c r="FL177" s="251"/>
      <c r="FM177" s="251"/>
      <c r="FN177" s="251"/>
      <c r="FO177" s="251"/>
      <c r="FP177" s="251"/>
      <c r="FQ177" s="251"/>
      <c r="FR177" s="251"/>
      <c r="FS177" s="251"/>
      <c r="FT177" s="251"/>
      <c r="FU177" s="251"/>
      <c r="FV177" s="251"/>
      <c r="FW177" s="251"/>
      <c r="FX177" s="251"/>
      <c r="FY177" s="251"/>
      <c r="FZ177" s="251"/>
      <c r="GA177" s="251"/>
      <c r="GB177" s="251"/>
      <c r="GC177" s="251"/>
      <c r="GD177" s="251"/>
      <c r="GE177" s="251"/>
      <c r="GF177" s="251"/>
      <c r="GG177" s="251"/>
      <c r="GH177" s="251"/>
      <c r="GI177" s="251"/>
      <c r="GJ177" s="251"/>
      <c r="GK177" s="251"/>
      <c r="GL177" s="251"/>
      <c r="GM177" s="251"/>
      <c r="GN177" s="251"/>
      <c r="GO177" s="251"/>
      <c r="GP177" s="251"/>
      <c r="GQ177" s="251"/>
      <c r="GR177" s="251"/>
      <c r="GS177" s="251"/>
      <c r="GT177" s="251"/>
      <c r="GU177" s="251"/>
      <c r="GV177" s="251"/>
      <c r="GW177" s="251"/>
      <c r="GX177" s="251"/>
      <c r="GY177" s="251"/>
      <c r="GZ177" s="251"/>
      <c r="HA177" s="251"/>
      <c r="HB177" s="251"/>
      <c r="HC177" s="251"/>
      <c r="HD177" s="251"/>
      <c r="HE177" s="251"/>
      <c r="HF177" s="251"/>
      <c r="HG177" s="251"/>
      <c r="HH177" s="251"/>
      <c r="HI177" s="251"/>
      <c r="HJ177" s="251"/>
      <c r="HK177" s="251"/>
      <c r="HL177" s="251"/>
      <c r="HM177" s="251"/>
      <c r="HN177" s="251"/>
      <c r="HO177" s="251"/>
      <c r="HP177" s="251"/>
      <c r="HQ177" s="251"/>
      <c r="HR177" s="251"/>
      <c r="HS177" s="251"/>
      <c r="HT177" s="251"/>
      <c r="HU177" s="251"/>
      <c r="HV177" s="251"/>
      <c r="HW177" s="251"/>
      <c r="HX177" s="251"/>
      <c r="HY177" s="251"/>
      <c r="HZ177" s="251"/>
      <c r="IA177" s="251"/>
      <c r="IB177" s="251"/>
      <c r="IC177" s="251"/>
      <c r="ID177" s="251"/>
      <c r="IE177" s="251"/>
      <c r="IF177" s="251"/>
      <c r="IG177" s="251"/>
      <c r="IH177" s="251"/>
      <c r="II177" s="251"/>
      <c r="IJ177" s="251"/>
      <c r="IK177" s="251"/>
      <c r="IL177" s="251"/>
      <c r="IM177" s="251"/>
      <c r="IN177" s="251"/>
      <c r="IO177" s="251"/>
      <c r="IP177" s="251"/>
      <c r="IQ177" s="251"/>
      <c r="IR177" s="251"/>
      <c r="IS177" s="251"/>
      <c r="IT177" s="251"/>
      <c r="IU177" s="251"/>
      <c r="IV177" s="251"/>
      <c r="IW177" s="251"/>
      <c r="IX177" s="251"/>
      <c r="IY177" s="251"/>
      <c r="IZ177" s="251"/>
      <c r="JA177" s="251"/>
      <c r="JB177" s="251"/>
      <c r="JC177" s="251"/>
      <c r="JD177" s="251"/>
      <c r="JE177" s="251"/>
      <c r="JF177" s="251"/>
      <c r="JG177" s="251"/>
      <c r="JH177" s="251"/>
      <c r="JI177" s="251"/>
    </row>
    <row r="178" spans="1:269">
      <c r="A178" s="251"/>
      <c r="B178" s="251"/>
      <c r="C178" s="251"/>
      <c r="D178" s="251"/>
      <c r="E178" s="251"/>
      <c r="F178" s="251"/>
      <c r="G178" s="251"/>
      <c r="H178" s="251"/>
      <c r="I178" s="251"/>
      <c r="J178" s="251"/>
      <c r="K178" s="251"/>
      <c r="L178" s="251"/>
      <c r="AD178" s="251"/>
      <c r="AE178" s="251"/>
      <c r="AF178" s="251"/>
      <c r="AG178" s="251"/>
      <c r="AH178" s="251"/>
      <c r="AI178" s="251"/>
      <c r="AJ178" s="251"/>
      <c r="AK178" s="251"/>
      <c r="AL178" s="251"/>
      <c r="AM178" s="251"/>
      <c r="AN178" s="251"/>
      <c r="AO178" s="251"/>
      <c r="AP178" s="251"/>
      <c r="AQ178" s="251"/>
      <c r="AR178" s="251"/>
      <c r="AS178" s="251"/>
      <c r="AT178" s="251"/>
      <c r="AU178" s="251"/>
      <c r="AV178" s="251"/>
      <c r="AW178" s="251"/>
      <c r="AX178" s="251"/>
      <c r="AY178" s="251"/>
      <c r="AZ178" s="251"/>
      <c r="BA178" s="251"/>
      <c r="BB178" s="251"/>
      <c r="BC178" s="251"/>
      <c r="BD178" s="251"/>
      <c r="BE178" s="251"/>
      <c r="BF178" s="251"/>
      <c r="BG178" s="251"/>
      <c r="BH178" s="251"/>
      <c r="BI178" s="251"/>
      <c r="BJ178" s="251"/>
      <c r="BK178" s="251"/>
      <c r="BL178" s="251"/>
      <c r="BM178" s="251"/>
      <c r="BN178" s="251"/>
      <c r="BO178" s="251"/>
      <c r="BP178" s="251"/>
      <c r="BQ178" s="251"/>
      <c r="BR178" s="251"/>
      <c r="BS178" s="251"/>
      <c r="BT178" s="251"/>
      <c r="BU178" s="251"/>
      <c r="BV178" s="251"/>
      <c r="BW178" s="251"/>
      <c r="BX178" s="251"/>
      <c r="BY178" s="251"/>
      <c r="BZ178" s="251"/>
      <c r="CA178" s="251"/>
      <c r="CB178" s="251"/>
      <c r="CC178" s="251"/>
      <c r="CD178" s="251"/>
      <c r="CE178" s="251"/>
      <c r="CF178" s="251"/>
      <c r="CG178" s="251"/>
      <c r="CH178" s="251"/>
      <c r="CI178" s="251"/>
      <c r="CJ178" s="251"/>
      <c r="CK178" s="251"/>
      <c r="CL178" s="251"/>
      <c r="CM178" s="251"/>
      <c r="CN178" s="251"/>
      <c r="CO178" s="251"/>
      <c r="CP178" s="251"/>
      <c r="CQ178" s="251"/>
      <c r="CR178" s="251"/>
      <c r="CS178" s="251"/>
      <c r="CT178" s="251"/>
      <c r="CU178" s="251"/>
      <c r="CV178" s="251"/>
      <c r="CW178" s="251"/>
      <c r="CX178" s="251"/>
      <c r="CY178" s="251"/>
      <c r="CZ178" s="251"/>
      <c r="DA178" s="251"/>
      <c r="DB178" s="251"/>
      <c r="DC178" s="251"/>
      <c r="DD178" s="251"/>
      <c r="DE178" s="251"/>
      <c r="DF178" s="251"/>
      <c r="DG178" s="251"/>
      <c r="DH178" s="251"/>
      <c r="DI178" s="251"/>
      <c r="DJ178" s="251"/>
      <c r="DK178" s="251"/>
      <c r="DL178" s="251"/>
      <c r="DM178" s="251"/>
      <c r="DN178" s="251"/>
      <c r="DO178" s="251"/>
      <c r="DP178" s="251"/>
      <c r="DQ178" s="251"/>
      <c r="DR178" s="251"/>
      <c r="DS178" s="251"/>
      <c r="DT178" s="251"/>
      <c r="DU178" s="251"/>
      <c r="DV178" s="251"/>
      <c r="DW178" s="251"/>
      <c r="DX178" s="251"/>
      <c r="DY178" s="251"/>
      <c r="DZ178" s="251"/>
      <c r="EA178" s="251"/>
      <c r="EB178" s="251"/>
      <c r="EC178" s="251"/>
      <c r="ED178" s="251"/>
      <c r="EE178" s="251"/>
      <c r="EF178" s="251"/>
      <c r="EG178" s="251"/>
      <c r="EH178" s="251"/>
      <c r="EI178" s="251"/>
      <c r="EJ178" s="251"/>
      <c r="EK178" s="251"/>
      <c r="EL178" s="251"/>
      <c r="EM178" s="251"/>
      <c r="EN178" s="251"/>
      <c r="EO178" s="251"/>
      <c r="EP178" s="251"/>
      <c r="EQ178" s="251"/>
      <c r="ER178" s="251"/>
      <c r="ES178" s="251"/>
      <c r="ET178" s="251"/>
      <c r="EU178" s="251"/>
      <c r="EV178" s="251"/>
      <c r="EW178" s="251"/>
      <c r="EX178" s="251"/>
      <c r="EY178" s="251"/>
      <c r="EZ178" s="251"/>
      <c r="FA178" s="251"/>
      <c r="FB178" s="251"/>
      <c r="FC178" s="251"/>
      <c r="FD178" s="251"/>
      <c r="FE178" s="251"/>
      <c r="FF178" s="251"/>
      <c r="FG178" s="251"/>
      <c r="FH178" s="251"/>
      <c r="FI178" s="251"/>
      <c r="FJ178" s="251"/>
      <c r="FK178" s="251"/>
      <c r="FL178" s="251"/>
      <c r="FM178" s="251"/>
      <c r="FN178" s="251"/>
      <c r="FO178" s="251"/>
      <c r="FP178" s="251"/>
      <c r="FQ178" s="251"/>
      <c r="FR178" s="251"/>
      <c r="FS178" s="251"/>
      <c r="FT178" s="251"/>
      <c r="FU178" s="251"/>
      <c r="FV178" s="251"/>
      <c r="FW178" s="251"/>
      <c r="FX178" s="251"/>
      <c r="FY178" s="251"/>
      <c r="FZ178" s="251"/>
      <c r="GA178" s="251"/>
      <c r="GB178" s="251"/>
      <c r="GC178" s="251"/>
      <c r="GD178" s="251"/>
      <c r="GE178" s="251"/>
      <c r="GF178" s="251"/>
      <c r="GG178" s="251"/>
      <c r="GH178" s="251"/>
      <c r="GI178" s="251"/>
      <c r="GJ178" s="251"/>
      <c r="GK178" s="251"/>
      <c r="GL178" s="251"/>
      <c r="GM178" s="251"/>
      <c r="GN178" s="251"/>
      <c r="GO178" s="251"/>
      <c r="GP178" s="251"/>
      <c r="GQ178" s="251"/>
      <c r="GR178" s="251"/>
      <c r="GS178" s="251"/>
      <c r="GT178" s="251"/>
      <c r="GU178" s="251"/>
      <c r="GV178" s="251"/>
      <c r="GW178" s="251"/>
      <c r="GX178" s="251"/>
      <c r="GY178" s="251"/>
      <c r="GZ178" s="251"/>
      <c r="HA178" s="251"/>
      <c r="HB178" s="251"/>
      <c r="HC178" s="251"/>
      <c r="HD178" s="251"/>
      <c r="HE178" s="251"/>
      <c r="HF178" s="251"/>
      <c r="HG178" s="251"/>
      <c r="HH178" s="251"/>
      <c r="HI178" s="251"/>
      <c r="HJ178" s="251"/>
      <c r="HK178" s="251"/>
      <c r="HL178" s="251"/>
      <c r="HM178" s="251"/>
      <c r="HN178" s="251"/>
      <c r="HO178" s="251"/>
      <c r="HP178" s="251"/>
      <c r="HQ178" s="251"/>
      <c r="HR178" s="251"/>
      <c r="HS178" s="251"/>
      <c r="HT178" s="251"/>
      <c r="HU178" s="251"/>
      <c r="HV178" s="251"/>
      <c r="HW178" s="251"/>
      <c r="HX178" s="251"/>
      <c r="HY178" s="251"/>
      <c r="HZ178" s="251"/>
      <c r="IA178" s="251"/>
      <c r="IB178" s="251"/>
      <c r="IC178" s="251"/>
      <c r="ID178" s="251"/>
      <c r="IE178" s="251"/>
      <c r="IF178" s="251"/>
      <c r="IG178" s="251"/>
      <c r="IH178" s="251"/>
      <c r="II178" s="251"/>
      <c r="IJ178" s="251"/>
      <c r="IK178" s="251"/>
      <c r="IL178" s="251"/>
      <c r="IM178" s="251"/>
      <c r="IN178" s="251"/>
      <c r="IO178" s="251"/>
      <c r="IP178" s="251"/>
      <c r="IQ178" s="251"/>
      <c r="IR178" s="251"/>
      <c r="IS178" s="251"/>
      <c r="IT178" s="251"/>
      <c r="IU178" s="251"/>
      <c r="IV178" s="251"/>
      <c r="IW178" s="251"/>
      <c r="IX178" s="251"/>
      <c r="IY178" s="251"/>
      <c r="IZ178" s="251"/>
      <c r="JA178" s="251"/>
      <c r="JB178" s="251"/>
      <c r="JC178" s="251"/>
      <c r="JD178" s="251"/>
      <c r="JE178" s="251"/>
      <c r="JF178" s="251"/>
      <c r="JG178" s="251"/>
      <c r="JH178" s="251"/>
      <c r="JI178" s="251"/>
    </row>
    <row r="179" spans="1:269">
      <c r="A179" s="251"/>
      <c r="B179" s="251"/>
      <c r="C179" s="251"/>
      <c r="D179" s="251"/>
      <c r="E179" s="251"/>
      <c r="F179" s="251"/>
      <c r="G179" s="251"/>
      <c r="H179" s="251"/>
      <c r="I179" s="251"/>
      <c r="J179" s="251"/>
      <c r="K179" s="251"/>
      <c r="L179" s="251"/>
      <c r="AD179" s="251"/>
      <c r="AE179" s="251"/>
      <c r="AF179" s="251"/>
      <c r="AG179" s="251"/>
      <c r="AH179" s="251"/>
      <c r="AI179" s="251"/>
      <c r="AJ179" s="251"/>
      <c r="AK179" s="251"/>
      <c r="AL179" s="251"/>
      <c r="AM179" s="251"/>
      <c r="AN179" s="251"/>
      <c r="AO179" s="251"/>
      <c r="AP179" s="251"/>
      <c r="AQ179" s="251"/>
      <c r="AR179" s="251"/>
      <c r="AS179" s="251"/>
      <c r="AT179" s="251"/>
      <c r="AU179" s="251"/>
      <c r="AV179" s="251"/>
      <c r="AW179" s="251"/>
      <c r="AX179" s="251"/>
      <c r="AY179" s="251"/>
      <c r="AZ179" s="251"/>
      <c r="BA179" s="251"/>
      <c r="BB179" s="251"/>
      <c r="BC179" s="251"/>
      <c r="BD179" s="251"/>
      <c r="BE179" s="251"/>
      <c r="BF179" s="251"/>
      <c r="BG179" s="251"/>
      <c r="BH179" s="251"/>
      <c r="BI179" s="251"/>
      <c r="BJ179" s="251"/>
      <c r="BK179" s="251"/>
      <c r="BL179" s="251"/>
      <c r="BM179" s="251"/>
      <c r="BN179" s="251"/>
      <c r="BO179" s="251"/>
      <c r="BP179" s="251"/>
      <c r="BQ179" s="251"/>
      <c r="BR179" s="251"/>
      <c r="BS179" s="251"/>
      <c r="BT179" s="251"/>
      <c r="BU179" s="251"/>
      <c r="BV179" s="251"/>
      <c r="BW179" s="251"/>
      <c r="BX179" s="251"/>
      <c r="BY179" s="251"/>
      <c r="BZ179" s="251"/>
      <c r="CA179" s="251"/>
      <c r="CB179" s="251"/>
      <c r="CC179" s="251"/>
      <c r="CD179" s="251"/>
      <c r="CE179" s="251"/>
      <c r="CF179" s="251"/>
      <c r="CG179" s="251"/>
      <c r="CH179" s="251"/>
      <c r="CI179" s="251"/>
      <c r="CJ179" s="251"/>
      <c r="CK179" s="251"/>
      <c r="CL179" s="251"/>
      <c r="CM179" s="251"/>
      <c r="CN179" s="251"/>
      <c r="CO179" s="251"/>
      <c r="CP179" s="251"/>
      <c r="CQ179" s="251"/>
      <c r="CR179" s="251"/>
      <c r="CS179" s="251"/>
      <c r="CT179" s="251"/>
      <c r="CU179" s="251"/>
      <c r="CV179" s="251"/>
      <c r="CW179" s="251"/>
      <c r="CX179" s="251"/>
      <c r="CY179" s="251"/>
      <c r="CZ179" s="251"/>
      <c r="DA179" s="251"/>
      <c r="DB179" s="251"/>
      <c r="DC179" s="251"/>
      <c r="DD179" s="251"/>
      <c r="DE179" s="251"/>
      <c r="DF179" s="251"/>
      <c r="DG179" s="251"/>
      <c r="DH179" s="251"/>
      <c r="DI179" s="251"/>
      <c r="DJ179" s="251"/>
      <c r="DK179" s="251"/>
      <c r="DL179" s="251"/>
      <c r="DM179" s="251"/>
      <c r="DN179" s="251"/>
      <c r="DO179" s="251"/>
      <c r="DP179" s="251"/>
      <c r="DQ179" s="251"/>
      <c r="DR179" s="251"/>
      <c r="DS179" s="251"/>
      <c r="DT179" s="251"/>
      <c r="DU179" s="251"/>
      <c r="DV179" s="251"/>
      <c r="DW179" s="251"/>
      <c r="DX179" s="251"/>
      <c r="DY179" s="251"/>
      <c r="DZ179" s="251"/>
      <c r="EA179" s="251"/>
      <c r="EB179" s="251"/>
      <c r="EC179" s="251"/>
      <c r="ED179" s="251"/>
      <c r="EE179" s="251"/>
      <c r="EF179" s="251"/>
      <c r="EG179" s="251"/>
      <c r="EH179" s="251"/>
      <c r="EI179" s="251"/>
      <c r="EJ179" s="251"/>
      <c r="EK179" s="251"/>
      <c r="EL179" s="251"/>
      <c r="EM179" s="251"/>
      <c r="EN179" s="251"/>
      <c r="EO179" s="251"/>
      <c r="EP179" s="251"/>
      <c r="EQ179" s="251"/>
      <c r="ER179" s="251"/>
      <c r="ES179" s="251"/>
      <c r="ET179" s="251"/>
      <c r="EU179" s="251"/>
      <c r="EV179" s="251"/>
      <c r="EW179" s="251"/>
      <c r="EX179" s="251"/>
      <c r="EY179" s="251"/>
      <c r="EZ179" s="251"/>
      <c r="FA179" s="251"/>
      <c r="FB179" s="251"/>
      <c r="FC179" s="251"/>
      <c r="FD179" s="251"/>
      <c r="FE179" s="251"/>
      <c r="FF179" s="251"/>
      <c r="FG179" s="251"/>
      <c r="FH179" s="251"/>
      <c r="FI179" s="251"/>
      <c r="FJ179" s="251"/>
      <c r="FK179" s="251"/>
      <c r="FL179" s="251"/>
      <c r="FM179" s="251"/>
      <c r="FN179" s="251"/>
      <c r="FO179" s="251"/>
      <c r="FP179" s="251"/>
      <c r="FQ179" s="251"/>
      <c r="FR179" s="251"/>
      <c r="FS179" s="251"/>
      <c r="FT179" s="251"/>
      <c r="FU179" s="251"/>
      <c r="FV179" s="251"/>
      <c r="FW179" s="251"/>
      <c r="FX179" s="251"/>
      <c r="FY179" s="251"/>
      <c r="FZ179" s="251"/>
      <c r="GA179" s="251"/>
      <c r="GB179" s="251"/>
      <c r="GC179" s="251"/>
      <c r="GD179" s="251"/>
      <c r="GE179" s="251"/>
      <c r="GF179" s="251"/>
      <c r="GG179" s="251"/>
      <c r="GH179" s="251"/>
      <c r="GI179" s="251"/>
      <c r="GJ179" s="251"/>
      <c r="GK179" s="251"/>
      <c r="GL179" s="251"/>
      <c r="GM179" s="251"/>
      <c r="GN179" s="251"/>
      <c r="GO179" s="251"/>
      <c r="GP179" s="251"/>
      <c r="GQ179" s="251"/>
      <c r="GR179" s="251"/>
      <c r="GS179" s="251"/>
      <c r="GT179" s="251"/>
      <c r="GU179" s="251"/>
      <c r="GV179" s="251"/>
      <c r="GW179" s="251"/>
      <c r="GX179" s="251"/>
      <c r="GY179" s="251"/>
      <c r="GZ179" s="251"/>
      <c r="HA179" s="251"/>
      <c r="HB179" s="251"/>
      <c r="HC179" s="251"/>
      <c r="HD179" s="251"/>
      <c r="HE179" s="251"/>
      <c r="HF179" s="251"/>
      <c r="HG179" s="251"/>
      <c r="HH179" s="251"/>
      <c r="HI179" s="251"/>
      <c r="HJ179" s="251"/>
      <c r="HK179" s="251"/>
      <c r="HL179" s="251"/>
      <c r="HM179" s="251"/>
      <c r="HN179" s="251"/>
      <c r="HO179" s="251"/>
      <c r="HP179" s="251"/>
      <c r="HQ179" s="251"/>
      <c r="HR179" s="251"/>
      <c r="HS179" s="251"/>
      <c r="HT179" s="251"/>
      <c r="HU179" s="251"/>
      <c r="HV179" s="251"/>
      <c r="HW179" s="251"/>
      <c r="HX179" s="251"/>
      <c r="HY179" s="251"/>
      <c r="HZ179" s="251"/>
      <c r="IA179" s="251"/>
      <c r="IB179" s="251"/>
      <c r="IC179" s="251"/>
      <c r="ID179" s="251"/>
      <c r="IE179" s="251"/>
      <c r="IF179" s="251"/>
      <c r="IG179" s="251"/>
      <c r="IH179" s="251"/>
      <c r="II179" s="251"/>
      <c r="IJ179" s="251"/>
      <c r="IK179" s="251"/>
      <c r="IL179" s="251"/>
      <c r="IM179" s="251"/>
      <c r="IN179" s="251"/>
      <c r="IO179" s="251"/>
      <c r="IP179" s="251"/>
      <c r="IQ179" s="251"/>
      <c r="IR179" s="251"/>
      <c r="IS179" s="251"/>
      <c r="IT179" s="251"/>
      <c r="IU179" s="251"/>
      <c r="IV179" s="251"/>
      <c r="IW179" s="251"/>
      <c r="IX179" s="251"/>
      <c r="IY179" s="251"/>
      <c r="IZ179" s="251"/>
      <c r="JA179" s="251"/>
      <c r="JB179" s="251"/>
      <c r="JC179" s="251"/>
      <c r="JD179" s="251"/>
      <c r="JE179" s="251"/>
      <c r="JF179" s="251"/>
      <c r="JG179" s="251"/>
      <c r="JH179" s="251"/>
      <c r="JI179" s="251"/>
    </row>
    <row r="180" spans="1:269">
      <c r="A180" s="251"/>
      <c r="B180" s="251"/>
      <c r="C180" s="251"/>
      <c r="D180" s="251"/>
      <c r="E180" s="251"/>
      <c r="F180" s="251"/>
      <c r="G180" s="251"/>
      <c r="H180" s="251"/>
      <c r="I180" s="251"/>
      <c r="J180" s="251"/>
      <c r="K180" s="251"/>
      <c r="L180" s="251"/>
      <c r="AD180" s="251"/>
      <c r="AE180" s="251"/>
      <c r="AF180" s="251"/>
      <c r="AG180" s="251"/>
      <c r="AH180" s="251"/>
      <c r="AI180" s="251"/>
      <c r="AJ180" s="251"/>
      <c r="AK180" s="251"/>
      <c r="AL180" s="251"/>
      <c r="AM180" s="251"/>
      <c r="AN180" s="251"/>
      <c r="AO180" s="251"/>
      <c r="AP180" s="251"/>
      <c r="AQ180" s="251"/>
      <c r="AR180" s="251"/>
      <c r="AS180" s="251"/>
      <c r="AT180" s="251"/>
      <c r="AU180" s="251"/>
      <c r="AV180" s="251"/>
      <c r="AW180" s="251"/>
      <c r="AX180" s="251"/>
      <c r="AY180" s="251"/>
      <c r="AZ180" s="251"/>
      <c r="BA180" s="251"/>
      <c r="BB180" s="251"/>
      <c r="BC180" s="251"/>
      <c r="BD180" s="251"/>
      <c r="BE180" s="251"/>
      <c r="BF180" s="251"/>
      <c r="BG180" s="251"/>
      <c r="BH180" s="251"/>
      <c r="BI180" s="251"/>
      <c r="BJ180" s="251"/>
      <c r="BK180" s="251"/>
      <c r="BL180" s="251"/>
      <c r="BM180" s="251"/>
      <c r="BN180" s="251"/>
      <c r="BO180" s="251"/>
      <c r="BP180" s="251"/>
      <c r="BQ180" s="251"/>
      <c r="BR180" s="251"/>
      <c r="BS180" s="251"/>
      <c r="BT180" s="251"/>
      <c r="BU180" s="251"/>
      <c r="BV180" s="251"/>
      <c r="BW180" s="251"/>
      <c r="BX180" s="251"/>
      <c r="BY180" s="251"/>
      <c r="BZ180" s="251"/>
      <c r="CA180" s="251"/>
      <c r="CB180" s="251"/>
      <c r="CC180" s="251"/>
      <c r="CD180" s="251"/>
      <c r="CE180" s="251"/>
      <c r="CF180" s="251"/>
      <c r="CG180" s="251"/>
      <c r="CH180" s="251"/>
      <c r="CI180" s="251"/>
      <c r="CJ180" s="251"/>
      <c r="CK180" s="251"/>
      <c r="CL180" s="251"/>
      <c r="CM180" s="251"/>
      <c r="CN180" s="251"/>
      <c r="CO180" s="251"/>
      <c r="CP180" s="251"/>
      <c r="CQ180" s="251"/>
      <c r="CR180" s="251"/>
      <c r="CS180" s="251"/>
      <c r="CT180" s="251"/>
      <c r="CU180" s="251"/>
      <c r="CV180" s="251"/>
      <c r="CW180" s="251"/>
      <c r="CX180" s="251"/>
      <c r="CY180" s="251"/>
      <c r="CZ180" s="251"/>
      <c r="DA180" s="251"/>
      <c r="DB180" s="251"/>
      <c r="DC180" s="251"/>
      <c r="DD180" s="251"/>
      <c r="DE180" s="251"/>
      <c r="DF180" s="251"/>
      <c r="DG180" s="251"/>
      <c r="DH180" s="251"/>
      <c r="DI180" s="251"/>
      <c r="DJ180" s="251"/>
      <c r="DK180" s="251"/>
      <c r="DL180" s="251"/>
      <c r="DM180" s="251"/>
      <c r="DN180" s="251"/>
      <c r="DO180" s="251"/>
      <c r="DP180" s="251"/>
      <c r="DQ180" s="251"/>
      <c r="DR180" s="251"/>
      <c r="DS180" s="251"/>
      <c r="DT180" s="251"/>
      <c r="DU180" s="251"/>
      <c r="DV180" s="251"/>
      <c r="DW180" s="251"/>
      <c r="DX180" s="251"/>
      <c r="DY180" s="251"/>
      <c r="DZ180" s="251"/>
      <c r="EA180" s="251"/>
      <c r="EB180" s="251"/>
      <c r="EC180" s="251"/>
      <c r="ED180" s="251"/>
      <c r="EE180" s="251"/>
      <c r="EF180" s="251"/>
      <c r="EG180" s="251"/>
      <c r="EH180" s="251"/>
      <c r="EI180" s="251"/>
      <c r="EJ180" s="251"/>
      <c r="EK180" s="251"/>
      <c r="EL180" s="251"/>
      <c r="EM180" s="251"/>
      <c r="EN180" s="251"/>
      <c r="EO180" s="251"/>
      <c r="EP180" s="251"/>
      <c r="EQ180" s="251"/>
      <c r="ER180" s="251"/>
      <c r="ES180" s="251"/>
      <c r="ET180" s="251"/>
      <c r="EU180" s="251"/>
      <c r="EV180" s="251"/>
      <c r="EW180" s="251"/>
      <c r="EX180" s="251"/>
      <c r="EY180" s="251"/>
      <c r="EZ180" s="251"/>
      <c r="FA180" s="251"/>
      <c r="FB180" s="251"/>
      <c r="FC180" s="251"/>
      <c r="FD180" s="251"/>
      <c r="FE180" s="251"/>
      <c r="FF180" s="251"/>
      <c r="FG180" s="251"/>
      <c r="FH180" s="251"/>
      <c r="FI180" s="251"/>
      <c r="FJ180" s="251"/>
      <c r="FK180" s="251"/>
      <c r="FL180" s="251"/>
      <c r="FM180" s="251"/>
      <c r="FN180" s="251"/>
      <c r="FO180" s="251"/>
      <c r="FP180" s="251"/>
      <c r="FQ180" s="251"/>
      <c r="FR180" s="251"/>
      <c r="FS180" s="251"/>
      <c r="FT180" s="251"/>
      <c r="FU180" s="251"/>
      <c r="FV180" s="251"/>
      <c r="FW180" s="251"/>
      <c r="FX180" s="251"/>
      <c r="FY180" s="251"/>
      <c r="FZ180" s="251"/>
      <c r="GA180" s="251"/>
      <c r="GB180" s="251"/>
      <c r="GC180" s="251"/>
      <c r="GD180" s="251"/>
      <c r="GE180" s="251"/>
      <c r="GF180" s="251"/>
      <c r="GG180" s="251"/>
      <c r="GH180" s="251"/>
      <c r="GI180" s="251"/>
      <c r="GJ180" s="251"/>
      <c r="GK180" s="251"/>
      <c r="GL180" s="251"/>
      <c r="GM180" s="251"/>
      <c r="GN180" s="251"/>
      <c r="GO180" s="251"/>
      <c r="GP180" s="251"/>
      <c r="GQ180" s="251"/>
      <c r="GR180" s="251"/>
      <c r="GS180" s="251"/>
      <c r="GT180" s="251"/>
      <c r="GU180" s="251"/>
      <c r="GV180" s="251"/>
      <c r="GW180" s="251"/>
      <c r="GX180" s="251"/>
      <c r="GY180" s="251"/>
      <c r="GZ180" s="251"/>
      <c r="HA180" s="251"/>
      <c r="HB180" s="251"/>
      <c r="HC180" s="251"/>
      <c r="HD180" s="251"/>
      <c r="HE180" s="251"/>
      <c r="HF180" s="251"/>
      <c r="HG180" s="251"/>
      <c r="HH180" s="251"/>
      <c r="HI180" s="251"/>
      <c r="HJ180" s="251"/>
      <c r="HK180" s="251"/>
      <c r="HL180" s="251"/>
      <c r="HM180" s="251"/>
      <c r="HN180" s="251"/>
      <c r="HO180" s="251"/>
      <c r="HP180" s="251"/>
      <c r="HQ180" s="251"/>
      <c r="HR180" s="251"/>
      <c r="HS180" s="251"/>
      <c r="HT180" s="251"/>
      <c r="HU180" s="251"/>
      <c r="HV180" s="251"/>
      <c r="HW180" s="251"/>
      <c r="HX180" s="251"/>
      <c r="HY180" s="251"/>
      <c r="HZ180" s="251"/>
      <c r="IA180" s="251"/>
      <c r="IB180" s="251"/>
      <c r="IC180" s="251"/>
      <c r="ID180" s="251"/>
      <c r="IE180" s="251"/>
      <c r="IF180" s="251"/>
      <c r="IG180" s="251"/>
      <c r="IH180" s="251"/>
      <c r="II180" s="251"/>
      <c r="IJ180" s="251"/>
      <c r="IK180" s="251"/>
      <c r="IL180" s="251"/>
      <c r="IM180" s="251"/>
      <c r="IN180" s="251"/>
      <c r="IO180" s="251"/>
      <c r="IP180" s="251"/>
      <c r="IQ180" s="251"/>
      <c r="IR180" s="251"/>
      <c r="IS180" s="251"/>
      <c r="IT180" s="251"/>
      <c r="IU180" s="251"/>
      <c r="IV180" s="251"/>
      <c r="IW180" s="251"/>
      <c r="IX180" s="251"/>
      <c r="IY180" s="251"/>
      <c r="IZ180" s="251"/>
      <c r="JA180" s="251"/>
      <c r="JB180" s="251"/>
      <c r="JC180" s="251"/>
      <c r="JD180" s="251"/>
      <c r="JE180" s="251"/>
      <c r="JF180" s="251"/>
      <c r="JG180" s="251"/>
      <c r="JH180" s="251"/>
      <c r="JI180" s="251"/>
    </row>
    <row r="181" spans="1:269">
      <c r="A181" s="251"/>
      <c r="B181" s="251"/>
      <c r="C181" s="251"/>
      <c r="D181" s="251"/>
      <c r="E181" s="251"/>
      <c r="F181" s="251"/>
      <c r="G181" s="251"/>
      <c r="H181" s="251"/>
      <c r="I181" s="251"/>
      <c r="J181" s="251"/>
      <c r="K181" s="251"/>
      <c r="L181" s="251"/>
      <c r="AD181" s="251"/>
      <c r="AE181" s="251"/>
      <c r="AF181" s="251"/>
      <c r="AG181" s="251"/>
      <c r="AH181" s="251"/>
      <c r="AI181" s="251"/>
      <c r="AJ181" s="251"/>
      <c r="AK181" s="251"/>
      <c r="AL181" s="251"/>
      <c r="AM181" s="251"/>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1"/>
      <c r="BR181" s="251"/>
      <c r="BS181" s="251"/>
      <c r="BT181" s="251"/>
      <c r="BU181" s="251"/>
      <c r="BV181" s="251"/>
      <c r="BW181" s="251"/>
      <c r="BX181" s="251"/>
      <c r="BY181" s="251"/>
      <c r="BZ181" s="251"/>
      <c r="CA181" s="251"/>
      <c r="CB181" s="251"/>
      <c r="CC181" s="251"/>
      <c r="CD181" s="251"/>
      <c r="CE181" s="251"/>
      <c r="CF181" s="251"/>
      <c r="CG181" s="251"/>
      <c r="CH181" s="251"/>
      <c r="CI181" s="251"/>
      <c r="CJ181" s="251"/>
      <c r="CK181" s="251"/>
      <c r="CL181" s="251"/>
      <c r="CM181" s="251"/>
      <c r="CN181" s="251"/>
      <c r="CO181" s="251"/>
      <c r="CP181" s="251"/>
      <c r="CQ181" s="251"/>
      <c r="CR181" s="251"/>
      <c r="CS181" s="251"/>
      <c r="CT181" s="251"/>
      <c r="CU181" s="251"/>
      <c r="CV181" s="251"/>
      <c r="CW181" s="251"/>
      <c r="CX181" s="251"/>
      <c r="CY181" s="251"/>
      <c r="CZ181" s="251"/>
      <c r="DA181" s="251"/>
      <c r="DB181" s="251"/>
      <c r="DC181" s="251"/>
      <c r="DD181" s="251"/>
      <c r="DE181" s="251"/>
      <c r="DF181" s="251"/>
      <c r="DG181" s="251"/>
      <c r="DH181" s="251"/>
      <c r="DI181" s="251"/>
      <c r="DJ181" s="251"/>
      <c r="DK181" s="251"/>
      <c r="DL181" s="251"/>
      <c r="DM181" s="251"/>
      <c r="DN181" s="251"/>
      <c r="DO181" s="251"/>
      <c r="DP181" s="251"/>
      <c r="DQ181" s="251"/>
      <c r="DR181" s="251"/>
      <c r="DS181" s="251"/>
      <c r="DT181" s="251"/>
      <c r="DU181" s="251"/>
      <c r="DV181" s="251"/>
      <c r="DW181" s="251"/>
      <c r="DX181" s="251"/>
      <c r="DY181" s="251"/>
      <c r="DZ181" s="251"/>
      <c r="EA181" s="251"/>
      <c r="EB181" s="251"/>
      <c r="EC181" s="251"/>
      <c r="ED181" s="251"/>
      <c r="EE181" s="251"/>
      <c r="EF181" s="251"/>
      <c r="EG181" s="251"/>
      <c r="EH181" s="251"/>
      <c r="EI181" s="251"/>
      <c r="EJ181" s="251"/>
      <c r="EK181" s="251"/>
      <c r="EL181" s="251"/>
      <c r="EM181" s="251"/>
      <c r="EN181" s="251"/>
      <c r="EO181" s="251"/>
      <c r="EP181" s="251"/>
      <c r="EQ181" s="251"/>
      <c r="ER181" s="251"/>
      <c r="ES181" s="251"/>
      <c r="ET181" s="251"/>
      <c r="EU181" s="251"/>
      <c r="EV181" s="251"/>
      <c r="EW181" s="251"/>
      <c r="EX181" s="251"/>
      <c r="EY181" s="251"/>
      <c r="EZ181" s="251"/>
      <c r="FA181" s="251"/>
      <c r="FB181" s="251"/>
      <c r="FC181" s="251"/>
      <c r="FD181" s="251"/>
      <c r="FE181" s="251"/>
      <c r="FF181" s="251"/>
      <c r="FG181" s="251"/>
      <c r="FH181" s="251"/>
      <c r="FI181" s="251"/>
      <c r="FJ181" s="251"/>
      <c r="FK181" s="251"/>
      <c r="FL181" s="251"/>
      <c r="FM181" s="251"/>
      <c r="FN181" s="251"/>
      <c r="FO181" s="251"/>
      <c r="FP181" s="251"/>
      <c r="FQ181" s="251"/>
      <c r="FR181" s="251"/>
      <c r="FS181" s="251"/>
      <c r="FT181" s="251"/>
      <c r="FU181" s="251"/>
      <c r="FV181" s="251"/>
      <c r="FW181" s="251"/>
      <c r="FX181" s="251"/>
      <c r="FY181" s="251"/>
      <c r="FZ181" s="251"/>
      <c r="GA181" s="251"/>
      <c r="GB181" s="251"/>
      <c r="GC181" s="251"/>
      <c r="GD181" s="251"/>
      <c r="GE181" s="251"/>
      <c r="GF181" s="251"/>
      <c r="GG181" s="251"/>
      <c r="GH181" s="251"/>
      <c r="GI181" s="251"/>
      <c r="GJ181" s="251"/>
      <c r="GK181" s="251"/>
      <c r="GL181" s="251"/>
      <c r="GM181" s="251"/>
      <c r="GN181" s="251"/>
      <c r="GO181" s="251"/>
      <c r="GP181" s="251"/>
      <c r="GQ181" s="251"/>
      <c r="GR181" s="251"/>
      <c r="GS181" s="251"/>
      <c r="GT181" s="251"/>
      <c r="GU181" s="251"/>
      <c r="GV181" s="251"/>
      <c r="GW181" s="251"/>
      <c r="GX181" s="251"/>
      <c r="GY181" s="251"/>
      <c r="GZ181" s="251"/>
      <c r="HA181" s="251"/>
      <c r="HB181" s="251"/>
      <c r="HC181" s="251"/>
      <c r="HD181" s="251"/>
      <c r="HE181" s="251"/>
      <c r="HF181" s="251"/>
      <c r="HG181" s="251"/>
      <c r="HH181" s="251"/>
      <c r="HI181" s="251"/>
      <c r="HJ181" s="251"/>
      <c r="HK181" s="251"/>
      <c r="HL181" s="251"/>
      <c r="HM181" s="251"/>
      <c r="HN181" s="251"/>
      <c r="HO181" s="251"/>
      <c r="HP181" s="251"/>
      <c r="HQ181" s="251"/>
      <c r="HR181" s="251"/>
      <c r="HS181" s="251"/>
      <c r="HT181" s="251"/>
      <c r="HU181" s="251"/>
      <c r="HV181" s="251"/>
      <c r="HW181" s="251"/>
      <c r="HX181" s="251"/>
      <c r="HY181" s="251"/>
      <c r="HZ181" s="251"/>
      <c r="IA181" s="251"/>
      <c r="IB181" s="251"/>
      <c r="IC181" s="251"/>
      <c r="ID181" s="251"/>
      <c r="IE181" s="251"/>
      <c r="IF181" s="251"/>
      <c r="IG181" s="251"/>
      <c r="IH181" s="251"/>
      <c r="II181" s="251"/>
      <c r="IJ181" s="251"/>
      <c r="IK181" s="251"/>
      <c r="IL181" s="251"/>
      <c r="IM181" s="251"/>
      <c r="IN181" s="251"/>
      <c r="IO181" s="251"/>
      <c r="IP181" s="251"/>
      <c r="IQ181" s="251"/>
      <c r="IR181" s="251"/>
      <c r="IS181" s="251"/>
      <c r="IT181" s="251"/>
      <c r="IU181" s="251"/>
      <c r="IV181" s="251"/>
      <c r="IW181" s="251"/>
      <c r="IX181" s="251"/>
      <c r="IY181" s="251"/>
      <c r="IZ181" s="251"/>
      <c r="JA181" s="251"/>
      <c r="JB181" s="251"/>
      <c r="JC181" s="251"/>
      <c r="JD181" s="251"/>
      <c r="JE181" s="251"/>
      <c r="JF181" s="251"/>
      <c r="JG181" s="251"/>
      <c r="JH181" s="251"/>
      <c r="JI181" s="251"/>
    </row>
    <row r="182" spans="1:269">
      <c r="A182" s="251"/>
      <c r="B182" s="251"/>
      <c r="C182" s="251"/>
      <c r="D182" s="251"/>
      <c r="E182" s="251"/>
      <c r="F182" s="251"/>
      <c r="G182" s="251"/>
      <c r="H182" s="251"/>
      <c r="I182" s="251"/>
      <c r="J182" s="251"/>
      <c r="K182" s="251"/>
      <c r="L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c r="BK182" s="251"/>
      <c r="BL182" s="251"/>
      <c r="BM182" s="251"/>
      <c r="BN182" s="251"/>
      <c r="BO182" s="251"/>
      <c r="BP182" s="251"/>
      <c r="BQ182" s="251"/>
      <c r="BR182" s="251"/>
      <c r="BS182" s="251"/>
      <c r="BT182" s="251"/>
      <c r="BU182" s="251"/>
      <c r="BV182" s="251"/>
      <c r="BW182" s="251"/>
      <c r="BX182" s="251"/>
      <c r="BY182" s="251"/>
      <c r="BZ182" s="251"/>
      <c r="CA182" s="251"/>
      <c r="CB182" s="251"/>
      <c r="CC182" s="251"/>
      <c r="CD182" s="251"/>
      <c r="CE182" s="251"/>
      <c r="CF182" s="251"/>
      <c r="CG182" s="251"/>
      <c r="CH182" s="251"/>
      <c r="CI182" s="251"/>
      <c r="CJ182" s="251"/>
      <c r="CK182" s="251"/>
      <c r="CL182" s="251"/>
      <c r="CM182" s="251"/>
      <c r="CN182" s="251"/>
      <c r="CO182" s="251"/>
      <c r="CP182" s="251"/>
      <c r="CQ182" s="251"/>
      <c r="CR182" s="251"/>
      <c r="CS182" s="251"/>
      <c r="CT182" s="251"/>
      <c r="CU182" s="251"/>
      <c r="CV182" s="251"/>
      <c r="CW182" s="251"/>
      <c r="CX182" s="251"/>
      <c r="CY182" s="251"/>
      <c r="CZ182" s="251"/>
      <c r="DA182" s="251"/>
      <c r="DB182" s="251"/>
      <c r="DC182" s="251"/>
      <c r="DD182" s="251"/>
      <c r="DE182" s="251"/>
      <c r="DF182" s="251"/>
      <c r="DG182" s="251"/>
      <c r="DH182" s="251"/>
      <c r="DI182" s="251"/>
      <c r="DJ182" s="251"/>
      <c r="DK182" s="251"/>
      <c r="DL182" s="251"/>
      <c r="DM182" s="251"/>
      <c r="DN182" s="251"/>
      <c r="DO182" s="251"/>
      <c r="DP182" s="251"/>
      <c r="DQ182" s="251"/>
      <c r="DR182" s="251"/>
      <c r="DS182" s="251"/>
      <c r="DT182" s="251"/>
      <c r="DU182" s="251"/>
      <c r="DV182" s="251"/>
      <c r="DW182" s="251"/>
      <c r="DX182" s="251"/>
      <c r="DY182" s="251"/>
      <c r="DZ182" s="251"/>
      <c r="EA182" s="251"/>
      <c r="EB182" s="251"/>
      <c r="EC182" s="251"/>
      <c r="ED182" s="251"/>
      <c r="EE182" s="251"/>
      <c r="EF182" s="251"/>
      <c r="EG182" s="251"/>
      <c r="EH182" s="251"/>
      <c r="EI182" s="251"/>
      <c r="EJ182" s="251"/>
      <c r="EK182" s="251"/>
      <c r="EL182" s="251"/>
      <c r="EM182" s="251"/>
      <c r="EN182" s="251"/>
      <c r="EO182" s="251"/>
      <c r="EP182" s="251"/>
      <c r="EQ182" s="251"/>
      <c r="ER182" s="251"/>
      <c r="ES182" s="251"/>
      <c r="ET182" s="251"/>
      <c r="EU182" s="251"/>
      <c r="EV182" s="251"/>
      <c r="EW182" s="251"/>
      <c r="EX182" s="251"/>
      <c r="EY182" s="251"/>
      <c r="EZ182" s="251"/>
      <c r="FA182" s="251"/>
      <c r="FB182" s="251"/>
      <c r="FC182" s="251"/>
      <c r="FD182" s="251"/>
      <c r="FE182" s="251"/>
      <c r="FF182" s="251"/>
      <c r="FG182" s="251"/>
      <c r="FH182" s="251"/>
      <c r="FI182" s="251"/>
      <c r="FJ182" s="251"/>
      <c r="FK182" s="251"/>
      <c r="FL182" s="251"/>
      <c r="FM182" s="251"/>
      <c r="FN182" s="251"/>
      <c r="FO182" s="251"/>
      <c r="FP182" s="251"/>
      <c r="FQ182" s="251"/>
      <c r="FR182" s="251"/>
      <c r="FS182" s="251"/>
      <c r="FT182" s="251"/>
      <c r="FU182" s="251"/>
      <c r="FV182" s="251"/>
      <c r="FW182" s="251"/>
      <c r="FX182" s="251"/>
      <c r="FY182" s="251"/>
      <c r="FZ182" s="251"/>
      <c r="GA182" s="251"/>
      <c r="GB182" s="251"/>
      <c r="GC182" s="251"/>
      <c r="GD182" s="251"/>
      <c r="GE182" s="251"/>
      <c r="GF182" s="251"/>
      <c r="GG182" s="251"/>
      <c r="GH182" s="251"/>
      <c r="GI182" s="251"/>
      <c r="GJ182" s="251"/>
      <c r="GK182" s="251"/>
      <c r="GL182" s="251"/>
      <c r="GM182" s="251"/>
      <c r="GN182" s="251"/>
      <c r="GO182" s="251"/>
      <c r="GP182" s="251"/>
      <c r="GQ182" s="251"/>
      <c r="GR182" s="251"/>
      <c r="GS182" s="251"/>
      <c r="GT182" s="251"/>
      <c r="GU182" s="251"/>
      <c r="GV182" s="251"/>
      <c r="GW182" s="251"/>
      <c r="GX182" s="251"/>
      <c r="GY182" s="251"/>
      <c r="GZ182" s="251"/>
      <c r="HA182" s="251"/>
      <c r="HB182" s="251"/>
      <c r="HC182" s="251"/>
      <c r="HD182" s="251"/>
      <c r="HE182" s="251"/>
      <c r="HF182" s="251"/>
      <c r="HG182" s="251"/>
      <c r="HH182" s="251"/>
      <c r="HI182" s="251"/>
      <c r="HJ182" s="251"/>
      <c r="HK182" s="251"/>
      <c r="HL182" s="251"/>
      <c r="HM182" s="251"/>
      <c r="HN182" s="251"/>
      <c r="HO182" s="251"/>
      <c r="HP182" s="251"/>
      <c r="HQ182" s="251"/>
      <c r="HR182" s="251"/>
      <c r="HS182" s="251"/>
      <c r="HT182" s="251"/>
      <c r="HU182" s="251"/>
      <c r="HV182" s="251"/>
      <c r="HW182" s="251"/>
      <c r="HX182" s="251"/>
      <c r="HY182" s="251"/>
      <c r="HZ182" s="251"/>
      <c r="IA182" s="251"/>
      <c r="IB182" s="251"/>
      <c r="IC182" s="251"/>
      <c r="ID182" s="251"/>
      <c r="IE182" s="251"/>
      <c r="IF182" s="251"/>
      <c r="IG182" s="251"/>
      <c r="IH182" s="251"/>
      <c r="II182" s="251"/>
      <c r="IJ182" s="251"/>
      <c r="IK182" s="251"/>
      <c r="IL182" s="251"/>
      <c r="IM182" s="251"/>
      <c r="IN182" s="251"/>
      <c r="IO182" s="251"/>
      <c r="IP182" s="251"/>
      <c r="IQ182" s="251"/>
      <c r="IR182" s="251"/>
      <c r="IS182" s="251"/>
      <c r="IT182" s="251"/>
      <c r="IU182" s="251"/>
      <c r="IV182" s="251"/>
      <c r="IW182" s="251"/>
      <c r="IX182" s="251"/>
      <c r="IY182" s="251"/>
      <c r="IZ182" s="251"/>
      <c r="JA182" s="251"/>
      <c r="JB182" s="251"/>
      <c r="JC182" s="251"/>
      <c r="JD182" s="251"/>
      <c r="JE182" s="251"/>
      <c r="JF182" s="251"/>
      <c r="JG182" s="251"/>
      <c r="JH182" s="251"/>
      <c r="JI182" s="251"/>
    </row>
    <row r="183" spans="1:269">
      <c r="A183" s="251"/>
      <c r="B183" s="251"/>
      <c r="C183" s="251"/>
      <c r="D183" s="251"/>
      <c r="E183" s="251"/>
      <c r="F183" s="251"/>
      <c r="G183" s="251"/>
      <c r="H183" s="251"/>
      <c r="I183" s="251"/>
      <c r="J183" s="251"/>
      <c r="K183" s="251"/>
      <c r="L183" s="251"/>
      <c r="AD183" s="251"/>
      <c r="AE183" s="251"/>
      <c r="AF183" s="251"/>
      <c r="AG183" s="251"/>
      <c r="AH183" s="251"/>
      <c r="AI183" s="251"/>
      <c r="AJ183" s="251"/>
      <c r="AK183" s="251"/>
      <c r="AL183" s="251"/>
      <c r="AM183" s="251"/>
      <c r="AN183" s="251"/>
      <c r="AO183" s="251"/>
      <c r="AP183" s="251"/>
      <c r="AQ183" s="251"/>
      <c r="AR183" s="251"/>
      <c r="AS183" s="251"/>
      <c r="AT183" s="251"/>
      <c r="AU183" s="251"/>
      <c r="AV183" s="251"/>
      <c r="AW183" s="251"/>
      <c r="AX183" s="251"/>
      <c r="AY183" s="251"/>
      <c r="AZ183" s="251"/>
      <c r="BA183" s="251"/>
      <c r="BB183" s="251"/>
      <c r="BC183" s="251"/>
      <c r="BD183" s="251"/>
      <c r="BE183" s="251"/>
      <c r="BF183" s="251"/>
      <c r="BG183" s="251"/>
      <c r="BH183" s="251"/>
      <c r="BI183" s="251"/>
      <c r="BJ183" s="251"/>
      <c r="BK183" s="251"/>
      <c r="BL183" s="251"/>
      <c r="BM183" s="251"/>
      <c r="BN183" s="251"/>
      <c r="BO183" s="251"/>
      <c r="BP183" s="251"/>
      <c r="BQ183" s="251"/>
      <c r="BR183" s="251"/>
      <c r="BS183" s="251"/>
      <c r="BT183" s="251"/>
      <c r="BU183" s="251"/>
      <c r="BV183" s="251"/>
      <c r="BW183" s="251"/>
      <c r="BX183" s="251"/>
      <c r="BY183" s="251"/>
      <c r="BZ183" s="251"/>
      <c r="CA183" s="251"/>
      <c r="CB183" s="251"/>
      <c r="CC183" s="251"/>
      <c r="CD183" s="251"/>
      <c r="CE183" s="251"/>
      <c r="CF183" s="251"/>
      <c r="CG183" s="251"/>
      <c r="CH183" s="251"/>
      <c r="CI183" s="251"/>
      <c r="CJ183" s="251"/>
      <c r="CK183" s="251"/>
      <c r="CL183" s="251"/>
      <c r="CM183" s="251"/>
      <c r="CN183" s="251"/>
      <c r="CO183" s="251"/>
      <c r="CP183" s="251"/>
      <c r="CQ183" s="251"/>
      <c r="CR183" s="251"/>
      <c r="CS183" s="251"/>
      <c r="CT183" s="251"/>
      <c r="CU183" s="251"/>
      <c r="CV183" s="251"/>
      <c r="CW183" s="251"/>
      <c r="CX183" s="251"/>
      <c r="CY183" s="251"/>
      <c r="CZ183" s="251"/>
      <c r="DA183" s="251"/>
      <c r="DB183" s="251"/>
      <c r="DC183" s="251"/>
      <c r="DD183" s="251"/>
      <c r="DE183" s="251"/>
      <c r="DF183" s="251"/>
      <c r="DG183" s="251"/>
      <c r="DH183" s="251"/>
      <c r="DI183" s="251"/>
      <c r="DJ183" s="251"/>
      <c r="DK183" s="251"/>
      <c r="DL183" s="251"/>
      <c r="DM183" s="251"/>
      <c r="DN183" s="251"/>
      <c r="DO183" s="251"/>
      <c r="DP183" s="251"/>
      <c r="DQ183" s="251"/>
      <c r="DR183" s="251"/>
      <c r="DS183" s="251"/>
      <c r="DT183" s="251"/>
      <c r="DU183" s="251"/>
      <c r="DV183" s="251"/>
      <c r="DW183" s="251"/>
      <c r="DX183" s="251"/>
      <c r="DY183" s="251"/>
      <c r="DZ183" s="251"/>
      <c r="EA183" s="251"/>
      <c r="EB183" s="251"/>
      <c r="EC183" s="251"/>
      <c r="ED183" s="251"/>
      <c r="EE183" s="251"/>
      <c r="EF183" s="251"/>
      <c r="EG183" s="251"/>
      <c r="EH183" s="251"/>
      <c r="EI183" s="251"/>
      <c r="EJ183" s="251"/>
      <c r="EK183" s="251"/>
      <c r="EL183" s="251"/>
      <c r="EM183" s="251"/>
      <c r="EN183" s="251"/>
      <c r="EO183" s="251"/>
      <c r="EP183" s="251"/>
      <c r="EQ183" s="251"/>
      <c r="ER183" s="251"/>
      <c r="ES183" s="251"/>
      <c r="ET183" s="251"/>
      <c r="EU183" s="251"/>
      <c r="EV183" s="251"/>
      <c r="EW183" s="251"/>
      <c r="EX183" s="251"/>
      <c r="EY183" s="251"/>
      <c r="EZ183" s="251"/>
      <c r="FA183" s="251"/>
      <c r="FB183" s="251"/>
      <c r="FC183" s="251"/>
      <c r="FD183" s="251"/>
      <c r="FE183" s="251"/>
      <c r="FF183" s="251"/>
      <c r="FG183" s="251"/>
      <c r="FH183" s="251"/>
      <c r="FI183" s="251"/>
      <c r="FJ183" s="251"/>
      <c r="FK183" s="251"/>
      <c r="FL183" s="251"/>
      <c r="FM183" s="251"/>
      <c r="FN183" s="251"/>
      <c r="FO183" s="251"/>
      <c r="FP183" s="251"/>
      <c r="FQ183" s="251"/>
      <c r="FR183" s="251"/>
      <c r="FS183" s="251"/>
      <c r="FT183" s="251"/>
      <c r="FU183" s="251"/>
      <c r="FV183" s="251"/>
      <c r="FW183" s="251"/>
      <c r="FX183" s="251"/>
      <c r="FY183" s="251"/>
      <c r="FZ183" s="251"/>
      <c r="GA183" s="251"/>
      <c r="GB183" s="251"/>
      <c r="GC183" s="251"/>
      <c r="GD183" s="251"/>
      <c r="GE183" s="251"/>
      <c r="GF183" s="251"/>
      <c r="GG183" s="251"/>
      <c r="GH183" s="251"/>
      <c r="GI183" s="251"/>
      <c r="GJ183" s="251"/>
      <c r="GK183" s="251"/>
      <c r="GL183" s="251"/>
      <c r="GM183" s="251"/>
      <c r="GN183" s="251"/>
      <c r="GO183" s="251"/>
      <c r="GP183" s="251"/>
      <c r="GQ183" s="251"/>
      <c r="GR183" s="251"/>
      <c r="GS183" s="251"/>
      <c r="GT183" s="251"/>
      <c r="GU183" s="251"/>
      <c r="GV183" s="251"/>
      <c r="GW183" s="251"/>
      <c r="GX183" s="251"/>
      <c r="GY183" s="251"/>
      <c r="GZ183" s="251"/>
      <c r="HA183" s="251"/>
      <c r="HB183" s="251"/>
      <c r="HC183" s="251"/>
      <c r="HD183" s="251"/>
      <c r="HE183" s="251"/>
      <c r="HF183" s="251"/>
      <c r="HG183" s="251"/>
      <c r="HH183" s="251"/>
      <c r="HI183" s="251"/>
      <c r="HJ183" s="251"/>
      <c r="HK183" s="251"/>
      <c r="HL183" s="251"/>
      <c r="HM183" s="251"/>
      <c r="HN183" s="251"/>
      <c r="HO183" s="251"/>
      <c r="HP183" s="251"/>
      <c r="HQ183" s="251"/>
      <c r="HR183" s="251"/>
      <c r="HS183" s="251"/>
      <c r="HT183" s="251"/>
      <c r="HU183" s="251"/>
      <c r="HV183" s="251"/>
      <c r="HW183" s="251"/>
      <c r="HX183" s="251"/>
      <c r="HY183" s="251"/>
      <c r="HZ183" s="251"/>
      <c r="IA183" s="251"/>
      <c r="IB183" s="251"/>
      <c r="IC183" s="251"/>
      <c r="ID183" s="251"/>
      <c r="IE183" s="251"/>
      <c r="IF183" s="251"/>
      <c r="IG183" s="251"/>
      <c r="IH183" s="251"/>
      <c r="II183" s="251"/>
      <c r="IJ183" s="251"/>
      <c r="IK183" s="251"/>
      <c r="IL183" s="251"/>
      <c r="IM183" s="251"/>
      <c r="IN183" s="251"/>
      <c r="IO183" s="251"/>
      <c r="IP183" s="251"/>
      <c r="IQ183" s="251"/>
      <c r="IR183" s="251"/>
      <c r="IS183" s="251"/>
      <c r="IT183" s="251"/>
      <c r="IU183" s="251"/>
      <c r="IV183" s="251"/>
      <c r="IW183" s="251"/>
      <c r="IX183" s="251"/>
      <c r="IY183" s="251"/>
      <c r="IZ183" s="251"/>
      <c r="JA183" s="251"/>
      <c r="JB183" s="251"/>
      <c r="JC183" s="251"/>
      <c r="JD183" s="251"/>
      <c r="JE183" s="251"/>
      <c r="JF183" s="251"/>
      <c r="JG183" s="251"/>
      <c r="JH183" s="251"/>
      <c r="JI183" s="251"/>
    </row>
    <row r="184" spans="1:269">
      <c r="A184" s="251"/>
      <c r="B184" s="251"/>
      <c r="C184" s="251"/>
      <c r="D184" s="251"/>
      <c r="E184" s="251"/>
      <c r="F184" s="251"/>
      <c r="G184" s="251"/>
      <c r="H184" s="251"/>
      <c r="I184" s="251"/>
      <c r="J184" s="251"/>
      <c r="K184" s="251"/>
      <c r="L184" s="251"/>
      <c r="AD184" s="251"/>
      <c r="AE184" s="251"/>
      <c r="AF184" s="251"/>
      <c r="AG184" s="251"/>
      <c r="AH184" s="251"/>
      <c r="AI184" s="251"/>
      <c r="AJ184" s="251"/>
      <c r="AK184" s="251"/>
      <c r="AL184" s="251"/>
      <c r="AM184" s="251"/>
      <c r="AN184" s="251"/>
      <c r="AO184" s="251"/>
      <c r="AP184" s="251"/>
      <c r="AQ184" s="251"/>
      <c r="AR184" s="251"/>
      <c r="AS184" s="251"/>
      <c r="AT184" s="251"/>
      <c r="AU184" s="251"/>
      <c r="AV184" s="251"/>
      <c r="AW184" s="251"/>
      <c r="AX184" s="251"/>
      <c r="AY184" s="251"/>
      <c r="AZ184" s="251"/>
      <c r="BA184" s="251"/>
      <c r="BB184" s="251"/>
      <c r="BC184" s="251"/>
      <c r="BD184" s="251"/>
      <c r="BE184" s="251"/>
      <c r="BF184" s="251"/>
      <c r="BG184" s="251"/>
      <c r="BH184" s="251"/>
      <c r="BI184" s="251"/>
      <c r="BJ184" s="251"/>
      <c r="BK184" s="251"/>
      <c r="BL184" s="251"/>
      <c r="BM184" s="251"/>
      <c r="BN184" s="251"/>
      <c r="BO184" s="251"/>
      <c r="BP184" s="251"/>
      <c r="BQ184" s="251"/>
      <c r="BR184" s="251"/>
      <c r="BS184" s="251"/>
      <c r="BT184" s="251"/>
      <c r="BU184" s="251"/>
      <c r="BV184" s="251"/>
      <c r="BW184" s="251"/>
      <c r="BX184" s="251"/>
      <c r="BY184" s="251"/>
      <c r="BZ184" s="251"/>
      <c r="CA184" s="251"/>
      <c r="CB184" s="251"/>
      <c r="CC184" s="251"/>
      <c r="CD184" s="251"/>
      <c r="CE184" s="251"/>
      <c r="CF184" s="251"/>
      <c r="CG184" s="251"/>
      <c r="CH184" s="251"/>
      <c r="CI184" s="251"/>
      <c r="CJ184" s="251"/>
      <c r="CK184" s="251"/>
      <c r="CL184" s="251"/>
      <c r="CM184" s="251"/>
      <c r="CN184" s="251"/>
      <c r="CO184" s="251"/>
      <c r="CP184" s="251"/>
      <c r="CQ184" s="251"/>
      <c r="CR184" s="251"/>
      <c r="CS184" s="251"/>
      <c r="CT184" s="251"/>
      <c r="CU184" s="251"/>
      <c r="CV184" s="251"/>
      <c r="CW184" s="251"/>
      <c r="CX184" s="251"/>
      <c r="CY184" s="251"/>
      <c r="CZ184" s="251"/>
      <c r="DA184" s="251"/>
      <c r="DB184" s="251"/>
      <c r="DC184" s="251"/>
      <c r="DD184" s="251"/>
      <c r="DE184" s="251"/>
      <c r="DF184" s="251"/>
      <c r="DG184" s="251"/>
      <c r="DH184" s="251"/>
      <c r="DI184" s="251"/>
      <c r="DJ184" s="251"/>
      <c r="DK184" s="251"/>
      <c r="DL184" s="251"/>
      <c r="DM184" s="251"/>
      <c r="DN184" s="251"/>
      <c r="DO184" s="251"/>
      <c r="DP184" s="251"/>
      <c r="DQ184" s="251"/>
      <c r="DR184" s="251"/>
      <c r="DS184" s="251"/>
      <c r="DT184" s="251"/>
      <c r="DU184" s="251"/>
      <c r="DV184" s="251"/>
      <c r="DW184" s="251"/>
      <c r="DX184" s="251"/>
      <c r="DY184" s="251"/>
      <c r="DZ184" s="251"/>
      <c r="EA184" s="251"/>
      <c r="EB184" s="251"/>
      <c r="EC184" s="251"/>
      <c r="ED184" s="251"/>
      <c r="EE184" s="251"/>
      <c r="EF184" s="251"/>
      <c r="EG184" s="251"/>
      <c r="EH184" s="251"/>
      <c r="EI184" s="251"/>
      <c r="EJ184" s="251"/>
      <c r="EK184" s="251"/>
      <c r="EL184" s="251"/>
      <c r="EM184" s="251"/>
      <c r="EN184" s="251"/>
      <c r="EO184" s="251"/>
      <c r="EP184" s="251"/>
      <c r="EQ184" s="251"/>
      <c r="ER184" s="251"/>
      <c r="ES184" s="251"/>
      <c r="ET184" s="251"/>
      <c r="EU184" s="251"/>
      <c r="EV184" s="251"/>
      <c r="EW184" s="251"/>
      <c r="EX184" s="251"/>
      <c r="EY184" s="251"/>
      <c r="EZ184" s="251"/>
      <c r="FA184" s="251"/>
      <c r="FB184" s="251"/>
      <c r="FC184" s="251"/>
      <c r="FD184" s="251"/>
      <c r="FE184" s="251"/>
      <c r="FF184" s="251"/>
      <c r="FG184" s="251"/>
      <c r="FH184" s="251"/>
      <c r="FI184" s="251"/>
      <c r="FJ184" s="251"/>
      <c r="FK184" s="251"/>
      <c r="FL184" s="251"/>
      <c r="FM184" s="251"/>
      <c r="FN184" s="251"/>
      <c r="FO184" s="251"/>
      <c r="FP184" s="251"/>
      <c r="FQ184" s="251"/>
      <c r="FR184" s="251"/>
      <c r="FS184" s="251"/>
      <c r="FT184" s="251"/>
      <c r="FU184" s="251"/>
      <c r="FV184" s="251"/>
      <c r="FW184" s="251"/>
      <c r="FX184" s="251"/>
      <c r="FY184" s="251"/>
      <c r="FZ184" s="251"/>
      <c r="GA184" s="251"/>
      <c r="GB184" s="251"/>
      <c r="GC184" s="251"/>
      <c r="GD184" s="251"/>
      <c r="GE184" s="251"/>
      <c r="GF184" s="251"/>
      <c r="GG184" s="251"/>
      <c r="GH184" s="251"/>
      <c r="GI184" s="251"/>
      <c r="GJ184" s="251"/>
      <c r="GK184" s="251"/>
      <c r="GL184" s="251"/>
      <c r="GM184" s="251"/>
      <c r="GN184" s="251"/>
      <c r="GO184" s="251"/>
      <c r="GP184" s="251"/>
      <c r="GQ184" s="251"/>
      <c r="GR184" s="251"/>
      <c r="GS184" s="251"/>
      <c r="GT184" s="251"/>
      <c r="GU184" s="251"/>
      <c r="GV184" s="251"/>
      <c r="GW184" s="251"/>
      <c r="GX184" s="251"/>
      <c r="GY184" s="251"/>
      <c r="GZ184" s="251"/>
      <c r="HA184" s="251"/>
      <c r="HB184" s="251"/>
      <c r="HC184" s="251"/>
      <c r="HD184" s="251"/>
      <c r="HE184" s="251"/>
      <c r="HF184" s="251"/>
      <c r="HG184" s="251"/>
      <c r="HH184" s="251"/>
      <c r="HI184" s="251"/>
      <c r="HJ184" s="251"/>
      <c r="HK184" s="251"/>
      <c r="HL184" s="251"/>
      <c r="HM184" s="251"/>
      <c r="HN184" s="251"/>
      <c r="HO184" s="251"/>
      <c r="HP184" s="251"/>
      <c r="HQ184" s="251"/>
      <c r="HR184" s="251"/>
      <c r="HS184" s="251"/>
      <c r="HT184" s="251"/>
      <c r="HU184" s="251"/>
      <c r="HV184" s="251"/>
      <c r="HW184" s="251"/>
      <c r="HX184" s="251"/>
      <c r="HY184" s="251"/>
      <c r="HZ184" s="251"/>
      <c r="IA184" s="251"/>
      <c r="IB184" s="251"/>
      <c r="IC184" s="251"/>
      <c r="ID184" s="251"/>
      <c r="IE184" s="251"/>
      <c r="IF184" s="251"/>
      <c r="IG184" s="251"/>
      <c r="IH184" s="251"/>
      <c r="II184" s="251"/>
      <c r="IJ184" s="251"/>
      <c r="IK184" s="251"/>
      <c r="IL184" s="251"/>
      <c r="IM184" s="251"/>
      <c r="IN184" s="251"/>
      <c r="IO184" s="251"/>
      <c r="IP184" s="251"/>
      <c r="IQ184" s="251"/>
      <c r="IR184" s="251"/>
      <c r="IS184" s="251"/>
      <c r="IT184" s="251"/>
      <c r="IU184" s="251"/>
      <c r="IV184" s="251"/>
      <c r="IW184" s="251"/>
      <c r="IX184" s="251"/>
      <c r="IY184" s="251"/>
      <c r="IZ184" s="251"/>
      <c r="JA184" s="251"/>
      <c r="JB184" s="251"/>
      <c r="JC184" s="251"/>
      <c r="JD184" s="251"/>
      <c r="JE184" s="251"/>
      <c r="JF184" s="251"/>
      <c r="JG184" s="251"/>
      <c r="JH184" s="251"/>
      <c r="JI184" s="251"/>
    </row>
    <row r="185" spans="1:269">
      <c r="A185" s="251"/>
      <c r="B185" s="251"/>
      <c r="C185" s="251"/>
      <c r="D185" s="251"/>
      <c r="E185" s="251"/>
      <c r="F185" s="251"/>
      <c r="G185" s="251"/>
      <c r="H185" s="251"/>
      <c r="I185" s="251"/>
      <c r="J185" s="251"/>
      <c r="K185" s="251"/>
      <c r="L185" s="251"/>
      <c r="AD185" s="251"/>
      <c r="AE185" s="251"/>
      <c r="AF185" s="251"/>
      <c r="AG185" s="251"/>
      <c r="AH185" s="251"/>
      <c r="AI185" s="251"/>
      <c r="AJ185" s="251"/>
      <c r="AK185" s="251"/>
      <c r="AL185" s="251"/>
      <c r="AM185" s="251"/>
      <c r="AN185" s="251"/>
      <c r="AO185" s="251"/>
      <c r="AP185" s="251"/>
      <c r="AQ185" s="251"/>
      <c r="AR185" s="251"/>
      <c r="AS185" s="251"/>
      <c r="AT185" s="251"/>
      <c r="AU185" s="251"/>
      <c r="AV185" s="251"/>
      <c r="AW185" s="251"/>
      <c r="AX185" s="251"/>
      <c r="AY185" s="251"/>
      <c r="AZ185" s="251"/>
      <c r="BA185" s="251"/>
      <c r="BB185" s="251"/>
      <c r="BC185" s="251"/>
      <c r="BD185" s="251"/>
      <c r="BE185" s="251"/>
      <c r="BF185" s="251"/>
      <c r="BG185" s="251"/>
      <c r="BH185" s="251"/>
      <c r="BI185" s="251"/>
      <c r="BJ185" s="251"/>
      <c r="BK185" s="251"/>
      <c r="BL185" s="251"/>
      <c r="BM185" s="251"/>
      <c r="BN185" s="251"/>
      <c r="BO185" s="251"/>
      <c r="BP185" s="251"/>
      <c r="BQ185" s="251"/>
      <c r="BR185" s="251"/>
      <c r="BS185" s="251"/>
      <c r="BT185" s="251"/>
      <c r="BU185" s="251"/>
      <c r="BV185" s="251"/>
      <c r="BW185" s="251"/>
      <c r="BX185" s="251"/>
      <c r="BY185" s="251"/>
      <c r="BZ185" s="251"/>
      <c r="CA185" s="251"/>
      <c r="CB185" s="251"/>
      <c r="CC185" s="251"/>
      <c r="CD185" s="251"/>
      <c r="CE185" s="251"/>
      <c r="CF185" s="251"/>
      <c r="CG185" s="251"/>
      <c r="CH185" s="251"/>
      <c r="CI185" s="251"/>
      <c r="CJ185" s="251"/>
      <c r="CK185" s="251"/>
      <c r="CL185" s="251"/>
      <c r="CM185" s="251"/>
      <c r="CN185" s="251"/>
      <c r="CO185" s="251"/>
      <c r="CP185" s="251"/>
      <c r="CQ185" s="251"/>
      <c r="CR185" s="251"/>
      <c r="CS185" s="251"/>
      <c r="CT185" s="251"/>
      <c r="CU185" s="251"/>
      <c r="CV185" s="251"/>
      <c r="CW185" s="251"/>
      <c r="CX185" s="251"/>
      <c r="CY185" s="251"/>
      <c r="CZ185" s="251"/>
      <c r="DA185" s="251"/>
      <c r="DB185" s="251"/>
      <c r="DC185" s="251"/>
      <c r="DD185" s="251"/>
      <c r="DE185" s="251"/>
      <c r="DF185" s="251"/>
      <c r="DG185" s="251"/>
      <c r="DH185" s="251"/>
      <c r="DI185" s="251"/>
      <c r="DJ185" s="251"/>
      <c r="DK185" s="251"/>
      <c r="DL185" s="251"/>
      <c r="DM185" s="251"/>
      <c r="DN185" s="251"/>
      <c r="DO185" s="251"/>
      <c r="DP185" s="251"/>
      <c r="DQ185" s="251"/>
      <c r="DR185" s="251"/>
      <c r="DS185" s="251"/>
      <c r="DT185" s="251"/>
      <c r="DU185" s="251"/>
      <c r="DV185" s="251"/>
      <c r="DW185" s="251"/>
      <c r="DX185" s="251"/>
      <c r="DY185" s="251"/>
      <c r="DZ185" s="251"/>
      <c r="EA185" s="251"/>
      <c r="EB185" s="251"/>
      <c r="EC185" s="251"/>
      <c r="ED185" s="251"/>
      <c r="EE185" s="251"/>
      <c r="EF185" s="251"/>
      <c r="EG185" s="251"/>
      <c r="EH185" s="251"/>
      <c r="EI185" s="251"/>
      <c r="EJ185" s="251"/>
      <c r="EK185" s="251"/>
      <c r="EL185" s="251"/>
      <c r="EM185" s="251"/>
      <c r="EN185" s="251"/>
      <c r="EO185" s="251"/>
      <c r="EP185" s="251"/>
      <c r="EQ185" s="251"/>
      <c r="ER185" s="251"/>
      <c r="ES185" s="251"/>
      <c r="ET185" s="251"/>
      <c r="EU185" s="251"/>
      <c r="EV185" s="251"/>
      <c r="EW185" s="251"/>
      <c r="EX185" s="251"/>
      <c r="EY185" s="251"/>
      <c r="EZ185" s="251"/>
      <c r="FA185" s="251"/>
      <c r="FB185" s="251"/>
      <c r="FC185" s="251"/>
      <c r="FD185" s="251"/>
      <c r="FE185" s="251"/>
      <c r="FF185" s="251"/>
      <c r="FG185" s="251"/>
      <c r="FH185" s="251"/>
      <c r="FI185" s="251"/>
      <c r="FJ185" s="251"/>
      <c r="FK185" s="251"/>
      <c r="FL185" s="251"/>
      <c r="FM185" s="251"/>
      <c r="FN185" s="251"/>
      <c r="FO185" s="251"/>
      <c r="FP185" s="251"/>
      <c r="FQ185" s="251"/>
      <c r="FR185" s="251"/>
      <c r="FS185" s="251"/>
      <c r="FT185" s="251"/>
      <c r="FU185" s="251"/>
      <c r="FV185" s="251"/>
      <c r="FW185" s="251"/>
      <c r="FX185" s="251"/>
      <c r="FY185" s="251"/>
      <c r="FZ185" s="251"/>
      <c r="GA185" s="251"/>
      <c r="GB185" s="251"/>
      <c r="GC185" s="251"/>
      <c r="GD185" s="251"/>
      <c r="GE185" s="251"/>
      <c r="GF185" s="251"/>
      <c r="GG185" s="251"/>
      <c r="GH185" s="251"/>
      <c r="GI185" s="251"/>
      <c r="GJ185" s="251"/>
      <c r="GK185" s="251"/>
      <c r="GL185" s="251"/>
      <c r="GM185" s="251"/>
      <c r="GN185" s="251"/>
      <c r="GO185" s="251"/>
      <c r="GP185" s="251"/>
      <c r="GQ185" s="251"/>
      <c r="GR185" s="251"/>
      <c r="GS185" s="251"/>
      <c r="GT185" s="251"/>
      <c r="GU185" s="251"/>
      <c r="GV185" s="251"/>
      <c r="GW185" s="251"/>
      <c r="GX185" s="251"/>
      <c r="GY185" s="251"/>
      <c r="GZ185" s="251"/>
      <c r="HA185" s="251"/>
      <c r="HB185" s="251"/>
      <c r="HC185" s="251"/>
      <c r="HD185" s="251"/>
      <c r="HE185" s="251"/>
      <c r="HF185" s="251"/>
      <c r="HG185" s="251"/>
      <c r="HH185" s="251"/>
      <c r="HI185" s="251"/>
      <c r="HJ185" s="251"/>
      <c r="HK185" s="251"/>
      <c r="HL185" s="251"/>
      <c r="HM185" s="251"/>
      <c r="HN185" s="251"/>
      <c r="HO185" s="251"/>
      <c r="HP185" s="251"/>
      <c r="HQ185" s="251"/>
      <c r="HR185" s="251"/>
      <c r="HS185" s="251"/>
      <c r="HT185" s="251"/>
      <c r="HU185" s="251"/>
      <c r="HV185" s="251"/>
      <c r="HW185" s="251"/>
      <c r="HX185" s="251"/>
      <c r="HY185" s="251"/>
      <c r="HZ185" s="251"/>
      <c r="IA185" s="251"/>
      <c r="IB185" s="251"/>
      <c r="IC185" s="251"/>
      <c r="ID185" s="251"/>
      <c r="IE185" s="251"/>
      <c r="IF185" s="251"/>
      <c r="IG185" s="251"/>
      <c r="IH185" s="251"/>
      <c r="II185" s="251"/>
      <c r="IJ185" s="251"/>
      <c r="IK185" s="251"/>
      <c r="IL185" s="251"/>
      <c r="IM185" s="251"/>
      <c r="IN185" s="251"/>
      <c r="IO185" s="251"/>
      <c r="IP185" s="251"/>
      <c r="IQ185" s="251"/>
      <c r="IR185" s="251"/>
      <c r="IS185" s="251"/>
      <c r="IT185" s="251"/>
      <c r="IU185" s="251"/>
      <c r="IV185" s="251"/>
      <c r="IW185" s="251"/>
      <c r="IX185" s="251"/>
      <c r="IY185" s="251"/>
      <c r="IZ185" s="251"/>
      <c r="JA185" s="251"/>
      <c r="JB185" s="251"/>
      <c r="JC185" s="251"/>
      <c r="JD185" s="251"/>
      <c r="JE185" s="251"/>
      <c r="JF185" s="251"/>
      <c r="JG185" s="251"/>
      <c r="JH185" s="251"/>
      <c r="JI185" s="251"/>
    </row>
    <row r="186" spans="1:269">
      <c r="A186" s="251"/>
      <c r="B186" s="251"/>
      <c r="C186" s="251"/>
      <c r="D186" s="251"/>
      <c r="E186" s="251"/>
      <c r="F186" s="251"/>
      <c r="G186" s="251"/>
      <c r="H186" s="251"/>
      <c r="I186" s="251"/>
      <c r="J186" s="251"/>
      <c r="K186" s="251"/>
      <c r="L186" s="251"/>
      <c r="AD186" s="251"/>
      <c r="AE186" s="251"/>
      <c r="AF186" s="251"/>
      <c r="AG186" s="251"/>
      <c r="AH186" s="251"/>
      <c r="AI186" s="251"/>
      <c r="AJ186" s="251"/>
      <c r="AK186" s="251"/>
      <c r="AL186" s="251"/>
      <c r="AM186" s="251"/>
      <c r="AN186" s="251"/>
      <c r="AO186" s="251"/>
      <c r="AP186" s="251"/>
      <c r="AQ186" s="251"/>
      <c r="AR186" s="251"/>
      <c r="AS186" s="251"/>
      <c r="AT186" s="251"/>
      <c r="AU186" s="251"/>
      <c r="AV186" s="251"/>
      <c r="AW186" s="251"/>
      <c r="AX186" s="251"/>
      <c r="AY186" s="251"/>
      <c r="AZ186" s="251"/>
      <c r="BA186" s="251"/>
      <c r="BB186" s="251"/>
      <c r="BC186" s="251"/>
      <c r="BD186" s="251"/>
      <c r="BE186" s="251"/>
      <c r="BF186" s="251"/>
      <c r="BG186" s="251"/>
      <c r="BH186" s="251"/>
      <c r="BI186" s="251"/>
      <c r="BJ186" s="251"/>
      <c r="BK186" s="251"/>
      <c r="BL186" s="251"/>
      <c r="BM186" s="251"/>
      <c r="BN186" s="251"/>
      <c r="BO186" s="251"/>
      <c r="BP186" s="251"/>
      <c r="BQ186" s="251"/>
      <c r="BR186" s="251"/>
      <c r="BS186" s="251"/>
      <c r="BT186" s="251"/>
      <c r="BU186" s="251"/>
      <c r="BV186" s="251"/>
      <c r="BW186" s="251"/>
      <c r="BX186" s="251"/>
      <c r="BY186" s="251"/>
      <c r="BZ186" s="251"/>
      <c r="CA186" s="251"/>
      <c r="CB186" s="251"/>
      <c r="CC186" s="251"/>
      <c r="CD186" s="251"/>
      <c r="CE186" s="251"/>
      <c r="CF186" s="251"/>
      <c r="CG186" s="251"/>
      <c r="CH186" s="251"/>
      <c r="CI186" s="251"/>
      <c r="CJ186" s="251"/>
      <c r="CK186" s="251"/>
      <c r="CL186" s="251"/>
      <c r="CM186" s="251"/>
      <c r="CN186" s="251"/>
      <c r="CO186" s="251"/>
      <c r="CP186" s="251"/>
      <c r="CQ186" s="251"/>
      <c r="CR186" s="251"/>
      <c r="CS186" s="251"/>
      <c r="CT186" s="251"/>
      <c r="CU186" s="251"/>
      <c r="CV186" s="251"/>
      <c r="CW186" s="251"/>
      <c r="CX186" s="251"/>
      <c r="CY186" s="251"/>
      <c r="CZ186" s="251"/>
      <c r="DA186" s="251"/>
      <c r="DB186" s="251"/>
      <c r="DC186" s="251"/>
      <c r="DD186" s="251"/>
      <c r="DE186" s="251"/>
      <c r="DF186" s="251"/>
      <c r="DG186" s="251"/>
      <c r="DH186" s="251"/>
      <c r="DI186" s="251"/>
      <c r="DJ186" s="251"/>
      <c r="DK186" s="251"/>
      <c r="DL186" s="251"/>
      <c r="DM186" s="251"/>
      <c r="DN186" s="251"/>
      <c r="DO186" s="251"/>
      <c r="DP186" s="251"/>
      <c r="DQ186" s="251"/>
      <c r="DR186" s="251"/>
      <c r="DS186" s="251"/>
      <c r="DT186" s="251"/>
      <c r="DU186" s="251"/>
      <c r="DV186" s="251"/>
      <c r="DW186" s="251"/>
      <c r="DX186" s="251"/>
      <c r="DY186" s="251"/>
      <c r="DZ186" s="251"/>
      <c r="EA186" s="251"/>
      <c r="EB186" s="251"/>
      <c r="EC186" s="251"/>
      <c r="ED186" s="251"/>
      <c r="EE186" s="251"/>
      <c r="EF186" s="251"/>
      <c r="EG186" s="251"/>
      <c r="EH186" s="251"/>
      <c r="EI186" s="251"/>
      <c r="EJ186" s="251"/>
      <c r="EK186" s="251"/>
      <c r="EL186" s="251"/>
      <c r="EM186" s="251"/>
      <c r="EN186" s="251"/>
      <c r="EO186" s="251"/>
      <c r="EP186" s="251"/>
      <c r="EQ186" s="251"/>
      <c r="ER186" s="251"/>
      <c r="ES186" s="251"/>
      <c r="ET186" s="251"/>
      <c r="EU186" s="251"/>
      <c r="EV186" s="251"/>
      <c r="EW186" s="251"/>
      <c r="EX186" s="251"/>
      <c r="EY186" s="251"/>
      <c r="EZ186" s="251"/>
      <c r="FA186" s="251"/>
      <c r="FB186" s="251"/>
      <c r="FC186" s="251"/>
      <c r="FD186" s="251"/>
      <c r="FE186" s="251"/>
      <c r="FF186" s="251"/>
      <c r="FG186" s="251"/>
      <c r="FH186" s="251"/>
      <c r="FI186" s="251"/>
      <c r="FJ186" s="251"/>
      <c r="FK186" s="251"/>
      <c r="FL186" s="251"/>
      <c r="FM186" s="251"/>
      <c r="FN186" s="251"/>
      <c r="FO186" s="251"/>
      <c r="FP186" s="251"/>
      <c r="FQ186" s="251"/>
      <c r="FR186" s="251"/>
      <c r="FS186" s="251"/>
      <c r="FT186" s="251"/>
      <c r="FU186" s="251"/>
      <c r="FV186" s="251"/>
      <c r="FW186" s="251"/>
      <c r="FX186" s="251"/>
      <c r="FY186" s="251"/>
      <c r="FZ186" s="251"/>
      <c r="GA186" s="251"/>
      <c r="GB186" s="251"/>
      <c r="GC186" s="251"/>
      <c r="GD186" s="251"/>
      <c r="GE186" s="251"/>
      <c r="GF186" s="251"/>
      <c r="GG186" s="251"/>
      <c r="GH186" s="251"/>
      <c r="GI186" s="251"/>
      <c r="GJ186" s="251"/>
      <c r="GK186" s="251"/>
      <c r="GL186" s="251"/>
      <c r="GM186" s="251"/>
      <c r="GN186" s="251"/>
      <c r="GO186" s="251"/>
      <c r="GP186" s="251"/>
      <c r="GQ186" s="251"/>
      <c r="GR186" s="251"/>
      <c r="GS186" s="251"/>
      <c r="GT186" s="251"/>
      <c r="GU186" s="251"/>
      <c r="GV186" s="251"/>
      <c r="GW186" s="251"/>
      <c r="GX186" s="251"/>
      <c r="GY186" s="251"/>
      <c r="GZ186" s="251"/>
      <c r="HA186" s="251"/>
      <c r="HB186" s="251"/>
      <c r="HC186" s="251"/>
      <c r="HD186" s="251"/>
      <c r="HE186" s="251"/>
      <c r="HF186" s="251"/>
      <c r="HG186" s="251"/>
      <c r="HH186" s="251"/>
      <c r="HI186" s="251"/>
      <c r="HJ186" s="251"/>
      <c r="HK186" s="251"/>
      <c r="HL186" s="251"/>
      <c r="HM186" s="251"/>
      <c r="HN186" s="251"/>
      <c r="HO186" s="251"/>
      <c r="HP186" s="251"/>
      <c r="HQ186" s="251"/>
      <c r="HR186" s="251"/>
      <c r="HS186" s="251"/>
      <c r="HT186" s="251"/>
      <c r="HU186" s="251"/>
      <c r="HV186" s="251"/>
      <c r="HW186" s="251"/>
      <c r="HX186" s="251"/>
      <c r="HY186" s="251"/>
      <c r="HZ186" s="251"/>
      <c r="IA186" s="251"/>
      <c r="IB186" s="251"/>
      <c r="IC186" s="251"/>
      <c r="ID186" s="251"/>
      <c r="IE186" s="251"/>
      <c r="IF186" s="251"/>
      <c r="IG186" s="251"/>
      <c r="IH186" s="251"/>
      <c r="II186" s="251"/>
      <c r="IJ186" s="251"/>
      <c r="IK186" s="251"/>
      <c r="IL186" s="251"/>
      <c r="IM186" s="251"/>
      <c r="IN186" s="251"/>
      <c r="IO186" s="251"/>
      <c r="IP186" s="251"/>
      <c r="IQ186" s="251"/>
      <c r="IR186" s="251"/>
      <c r="IS186" s="251"/>
      <c r="IT186" s="251"/>
      <c r="IU186" s="251"/>
      <c r="IV186" s="251"/>
      <c r="IW186" s="251"/>
      <c r="IX186" s="251"/>
      <c r="IY186" s="251"/>
      <c r="IZ186" s="251"/>
      <c r="JA186" s="251"/>
      <c r="JB186" s="251"/>
      <c r="JC186" s="251"/>
      <c r="JD186" s="251"/>
      <c r="JE186" s="251"/>
      <c r="JF186" s="251"/>
      <c r="JG186" s="251"/>
      <c r="JH186" s="251"/>
      <c r="JI186" s="251"/>
    </row>
    <row r="187" spans="1:269">
      <c r="A187" s="251"/>
      <c r="B187" s="251"/>
      <c r="C187" s="251"/>
      <c r="D187" s="251"/>
      <c r="E187" s="251"/>
      <c r="F187" s="251"/>
      <c r="G187" s="251"/>
      <c r="H187" s="251"/>
      <c r="I187" s="251"/>
      <c r="J187" s="251"/>
      <c r="K187" s="251"/>
      <c r="L187" s="251"/>
      <c r="AD187" s="251"/>
      <c r="AE187" s="251"/>
      <c r="AF187" s="251"/>
      <c r="AG187" s="251"/>
      <c r="AH187" s="251"/>
      <c r="AI187" s="251"/>
      <c r="AJ187" s="251"/>
      <c r="AK187" s="251"/>
      <c r="AL187" s="251"/>
      <c r="AM187" s="251"/>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1"/>
      <c r="BR187" s="251"/>
      <c r="BS187" s="251"/>
      <c r="BT187" s="251"/>
      <c r="BU187" s="251"/>
      <c r="BV187" s="251"/>
      <c r="BW187" s="251"/>
      <c r="BX187" s="251"/>
      <c r="BY187" s="251"/>
      <c r="BZ187" s="251"/>
      <c r="CA187" s="251"/>
      <c r="CB187" s="251"/>
      <c r="CC187" s="251"/>
      <c r="CD187" s="251"/>
      <c r="CE187" s="251"/>
      <c r="CF187" s="251"/>
      <c r="CG187" s="251"/>
      <c r="CH187" s="251"/>
      <c r="CI187" s="251"/>
      <c r="CJ187" s="251"/>
      <c r="CK187" s="251"/>
      <c r="CL187" s="251"/>
      <c r="CM187" s="251"/>
      <c r="CN187" s="251"/>
      <c r="CO187" s="251"/>
      <c r="CP187" s="251"/>
      <c r="CQ187" s="251"/>
      <c r="CR187" s="251"/>
      <c r="CS187" s="251"/>
      <c r="CT187" s="251"/>
      <c r="CU187" s="251"/>
      <c r="CV187" s="251"/>
      <c r="CW187" s="251"/>
      <c r="CX187" s="251"/>
      <c r="CY187" s="251"/>
      <c r="CZ187" s="251"/>
      <c r="DA187" s="251"/>
      <c r="DB187" s="251"/>
      <c r="DC187" s="251"/>
      <c r="DD187" s="251"/>
      <c r="DE187" s="251"/>
      <c r="DF187" s="251"/>
      <c r="DG187" s="251"/>
      <c r="DH187" s="251"/>
      <c r="DI187" s="251"/>
      <c r="DJ187" s="251"/>
      <c r="DK187" s="251"/>
      <c r="DL187" s="251"/>
      <c r="DM187" s="251"/>
      <c r="DN187" s="251"/>
      <c r="DO187" s="251"/>
      <c r="DP187" s="251"/>
      <c r="DQ187" s="251"/>
      <c r="DR187" s="251"/>
      <c r="DS187" s="251"/>
      <c r="DT187" s="251"/>
      <c r="DU187" s="251"/>
      <c r="DV187" s="251"/>
      <c r="DW187" s="251"/>
      <c r="DX187" s="251"/>
      <c r="DY187" s="251"/>
      <c r="DZ187" s="251"/>
      <c r="EA187" s="251"/>
      <c r="EB187" s="251"/>
      <c r="EC187" s="251"/>
      <c r="ED187" s="251"/>
      <c r="EE187" s="251"/>
      <c r="EF187" s="251"/>
      <c r="EG187" s="251"/>
      <c r="EH187" s="251"/>
      <c r="EI187" s="251"/>
      <c r="EJ187" s="251"/>
      <c r="EK187" s="251"/>
      <c r="EL187" s="251"/>
      <c r="EM187" s="251"/>
      <c r="EN187" s="251"/>
      <c r="EO187" s="251"/>
      <c r="EP187" s="251"/>
      <c r="EQ187" s="251"/>
      <c r="ER187" s="251"/>
      <c r="ES187" s="251"/>
      <c r="ET187" s="251"/>
      <c r="EU187" s="251"/>
      <c r="EV187" s="251"/>
      <c r="EW187" s="251"/>
      <c r="EX187" s="251"/>
      <c r="EY187" s="251"/>
      <c r="EZ187" s="251"/>
      <c r="FA187" s="251"/>
      <c r="FB187" s="251"/>
      <c r="FC187" s="251"/>
      <c r="FD187" s="251"/>
      <c r="FE187" s="251"/>
      <c r="FF187" s="251"/>
      <c r="FG187" s="251"/>
      <c r="FH187" s="251"/>
      <c r="FI187" s="251"/>
      <c r="FJ187" s="251"/>
      <c r="FK187" s="251"/>
      <c r="FL187" s="251"/>
      <c r="FM187" s="251"/>
      <c r="FN187" s="251"/>
      <c r="FO187" s="251"/>
      <c r="FP187" s="251"/>
      <c r="FQ187" s="251"/>
      <c r="FR187" s="251"/>
      <c r="FS187" s="251"/>
      <c r="FT187" s="251"/>
      <c r="FU187" s="251"/>
      <c r="FV187" s="251"/>
      <c r="FW187" s="251"/>
      <c r="FX187" s="251"/>
      <c r="FY187" s="251"/>
      <c r="FZ187" s="251"/>
      <c r="GA187" s="251"/>
      <c r="GB187" s="251"/>
      <c r="GC187" s="251"/>
      <c r="GD187" s="251"/>
      <c r="GE187" s="251"/>
      <c r="GF187" s="251"/>
      <c r="GG187" s="251"/>
      <c r="GH187" s="251"/>
      <c r="GI187" s="251"/>
      <c r="GJ187" s="251"/>
      <c r="GK187" s="251"/>
      <c r="GL187" s="251"/>
      <c r="GM187" s="251"/>
      <c r="GN187" s="251"/>
      <c r="GO187" s="251"/>
      <c r="GP187" s="251"/>
      <c r="GQ187" s="251"/>
      <c r="GR187" s="251"/>
      <c r="GS187" s="251"/>
      <c r="GT187" s="251"/>
      <c r="GU187" s="251"/>
      <c r="GV187" s="251"/>
      <c r="GW187" s="251"/>
      <c r="GX187" s="251"/>
      <c r="GY187" s="251"/>
      <c r="GZ187" s="251"/>
      <c r="HA187" s="251"/>
      <c r="HB187" s="251"/>
      <c r="HC187" s="251"/>
      <c r="HD187" s="251"/>
      <c r="HE187" s="251"/>
      <c r="HF187" s="251"/>
      <c r="HG187" s="251"/>
      <c r="HH187" s="251"/>
      <c r="HI187" s="251"/>
      <c r="HJ187" s="251"/>
      <c r="HK187" s="251"/>
      <c r="HL187" s="251"/>
      <c r="HM187" s="251"/>
      <c r="HN187" s="251"/>
      <c r="HO187" s="251"/>
      <c r="HP187" s="251"/>
      <c r="HQ187" s="251"/>
      <c r="HR187" s="251"/>
      <c r="HS187" s="251"/>
      <c r="HT187" s="251"/>
      <c r="HU187" s="251"/>
      <c r="HV187" s="251"/>
      <c r="HW187" s="251"/>
      <c r="HX187" s="251"/>
      <c r="HY187" s="251"/>
      <c r="HZ187" s="251"/>
      <c r="IA187" s="251"/>
      <c r="IB187" s="251"/>
      <c r="IC187" s="251"/>
      <c r="ID187" s="251"/>
      <c r="IE187" s="251"/>
      <c r="IF187" s="251"/>
      <c r="IG187" s="251"/>
      <c r="IH187" s="251"/>
      <c r="II187" s="251"/>
      <c r="IJ187" s="251"/>
      <c r="IK187" s="251"/>
      <c r="IL187" s="251"/>
      <c r="IM187" s="251"/>
      <c r="IN187" s="251"/>
      <c r="IO187" s="251"/>
      <c r="IP187" s="251"/>
      <c r="IQ187" s="251"/>
      <c r="IR187" s="251"/>
      <c r="IS187" s="251"/>
      <c r="IT187" s="251"/>
      <c r="IU187" s="251"/>
      <c r="IV187" s="251"/>
      <c r="IW187" s="251"/>
      <c r="IX187" s="251"/>
      <c r="IY187" s="251"/>
      <c r="IZ187" s="251"/>
      <c r="JA187" s="251"/>
      <c r="JB187" s="251"/>
      <c r="JC187" s="251"/>
      <c r="JD187" s="251"/>
      <c r="JE187" s="251"/>
      <c r="JF187" s="251"/>
      <c r="JG187" s="251"/>
      <c r="JH187" s="251"/>
      <c r="JI187" s="251"/>
    </row>
    <row r="188" spans="1:269">
      <c r="A188" s="251"/>
      <c r="B188" s="251"/>
      <c r="C188" s="251"/>
      <c r="D188" s="251"/>
      <c r="E188" s="251"/>
      <c r="F188" s="251"/>
      <c r="G188" s="251"/>
      <c r="H188" s="251"/>
      <c r="I188" s="251"/>
      <c r="J188" s="251"/>
      <c r="K188" s="251"/>
      <c r="L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251"/>
      <c r="AY188" s="251"/>
      <c r="AZ188" s="251"/>
      <c r="BA188" s="251"/>
      <c r="BB188" s="251"/>
      <c r="BC188" s="251"/>
      <c r="BD188" s="251"/>
      <c r="BE188" s="251"/>
      <c r="BF188" s="251"/>
      <c r="BG188" s="251"/>
      <c r="BH188" s="251"/>
      <c r="BI188" s="251"/>
      <c r="BJ188" s="251"/>
      <c r="BK188" s="251"/>
      <c r="BL188" s="251"/>
      <c r="BM188" s="251"/>
      <c r="BN188" s="251"/>
      <c r="BO188" s="251"/>
      <c r="BP188" s="251"/>
      <c r="BQ188" s="251"/>
      <c r="BR188" s="251"/>
      <c r="BS188" s="251"/>
      <c r="BT188" s="251"/>
      <c r="BU188" s="251"/>
      <c r="BV188" s="251"/>
      <c r="BW188" s="251"/>
      <c r="BX188" s="251"/>
      <c r="BY188" s="251"/>
      <c r="BZ188" s="251"/>
      <c r="CA188" s="251"/>
      <c r="CB188" s="251"/>
      <c r="CC188" s="251"/>
      <c r="CD188" s="251"/>
      <c r="CE188" s="251"/>
      <c r="CF188" s="251"/>
      <c r="CG188" s="251"/>
      <c r="CH188" s="251"/>
      <c r="CI188" s="251"/>
      <c r="CJ188" s="251"/>
      <c r="CK188" s="251"/>
      <c r="CL188" s="251"/>
      <c r="CM188" s="251"/>
      <c r="CN188" s="251"/>
      <c r="CO188" s="251"/>
      <c r="CP188" s="251"/>
      <c r="CQ188" s="251"/>
      <c r="CR188" s="251"/>
      <c r="CS188" s="251"/>
      <c r="CT188" s="251"/>
      <c r="CU188" s="251"/>
      <c r="CV188" s="251"/>
      <c r="CW188" s="251"/>
      <c r="CX188" s="251"/>
      <c r="CY188" s="251"/>
      <c r="CZ188" s="251"/>
      <c r="DA188" s="251"/>
      <c r="DB188" s="251"/>
      <c r="DC188" s="251"/>
      <c r="DD188" s="251"/>
      <c r="DE188" s="251"/>
      <c r="DF188" s="251"/>
      <c r="DG188" s="251"/>
      <c r="DH188" s="251"/>
      <c r="DI188" s="251"/>
      <c r="DJ188" s="251"/>
      <c r="DK188" s="251"/>
      <c r="DL188" s="251"/>
      <c r="DM188" s="251"/>
      <c r="DN188" s="251"/>
      <c r="DO188" s="251"/>
      <c r="DP188" s="251"/>
      <c r="DQ188" s="251"/>
      <c r="DR188" s="251"/>
      <c r="DS188" s="251"/>
      <c r="DT188" s="251"/>
      <c r="DU188" s="251"/>
      <c r="DV188" s="251"/>
      <c r="DW188" s="251"/>
      <c r="DX188" s="251"/>
      <c r="DY188" s="251"/>
      <c r="DZ188" s="251"/>
      <c r="EA188" s="251"/>
      <c r="EB188" s="251"/>
      <c r="EC188" s="251"/>
      <c r="ED188" s="251"/>
      <c r="EE188" s="251"/>
      <c r="EF188" s="251"/>
      <c r="EG188" s="251"/>
      <c r="EH188" s="251"/>
      <c r="EI188" s="251"/>
      <c r="EJ188" s="251"/>
      <c r="EK188" s="251"/>
      <c r="EL188" s="251"/>
      <c r="EM188" s="251"/>
      <c r="EN188" s="251"/>
      <c r="EO188" s="251"/>
      <c r="EP188" s="251"/>
      <c r="EQ188" s="251"/>
      <c r="ER188" s="251"/>
      <c r="ES188" s="251"/>
      <c r="ET188" s="251"/>
      <c r="EU188" s="251"/>
      <c r="EV188" s="251"/>
      <c r="EW188" s="251"/>
      <c r="EX188" s="251"/>
      <c r="EY188" s="251"/>
      <c r="EZ188" s="251"/>
      <c r="FA188" s="251"/>
      <c r="FB188" s="251"/>
      <c r="FC188" s="251"/>
      <c r="FD188" s="251"/>
      <c r="FE188" s="251"/>
      <c r="FF188" s="251"/>
      <c r="FG188" s="251"/>
      <c r="FH188" s="251"/>
      <c r="FI188" s="251"/>
      <c r="FJ188" s="251"/>
      <c r="FK188" s="251"/>
      <c r="FL188" s="251"/>
      <c r="FM188" s="251"/>
      <c r="FN188" s="251"/>
      <c r="FO188" s="251"/>
      <c r="FP188" s="251"/>
      <c r="FQ188" s="251"/>
      <c r="FR188" s="251"/>
      <c r="FS188" s="251"/>
      <c r="FT188" s="251"/>
      <c r="FU188" s="251"/>
      <c r="FV188" s="251"/>
      <c r="FW188" s="251"/>
      <c r="FX188" s="251"/>
      <c r="FY188" s="251"/>
      <c r="FZ188" s="251"/>
      <c r="GA188" s="251"/>
      <c r="GB188" s="251"/>
      <c r="GC188" s="251"/>
      <c r="GD188" s="251"/>
      <c r="GE188" s="251"/>
      <c r="GF188" s="251"/>
      <c r="GG188" s="251"/>
      <c r="GH188" s="251"/>
      <c r="GI188" s="251"/>
      <c r="GJ188" s="251"/>
      <c r="GK188" s="251"/>
      <c r="GL188" s="251"/>
      <c r="GM188" s="251"/>
      <c r="GN188" s="251"/>
      <c r="GO188" s="251"/>
      <c r="GP188" s="251"/>
      <c r="GQ188" s="251"/>
      <c r="GR188" s="251"/>
      <c r="GS188" s="251"/>
      <c r="GT188" s="251"/>
      <c r="GU188" s="251"/>
      <c r="GV188" s="251"/>
      <c r="GW188" s="251"/>
      <c r="GX188" s="251"/>
      <c r="GY188" s="251"/>
      <c r="GZ188" s="251"/>
      <c r="HA188" s="251"/>
      <c r="HB188" s="251"/>
      <c r="HC188" s="251"/>
      <c r="HD188" s="251"/>
      <c r="HE188" s="251"/>
      <c r="HF188" s="251"/>
      <c r="HG188" s="251"/>
      <c r="HH188" s="251"/>
      <c r="HI188" s="251"/>
      <c r="HJ188" s="251"/>
      <c r="HK188" s="251"/>
      <c r="HL188" s="251"/>
      <c r="HM188" s="251"/>
      <c r="HN188" s="251"/>
      <c r="HO188" s="251"/>
      <c r="HP188" s="251"/>
      <c r="HQ188" s="251"/>
      <c r="HR188" s="251"/>
      <c r="HS188" s="251"/>
      <c r="HT188" s="251"/>
      <c r="HU188" s="251"/>
      <c r="HV188" s="251"/>
      <c r="HW188" s="251"/>
      <c r="HX188" s="251"/>
      <c r="HY188" s="251"/>
      <c r="HZ188" s="251"/>
      <c r="IA188" s="251"/>
      <c r="IB188" s="251"/>
      <c r="IC188" s="251"/>
      <c r="ID188" s="251"/>
      <c r="IE188" s="251"/>
      <c r="IF188" s="251"/>
      <c r="IG188" s="251"/>
      <c r="IH188" s="251"/>
      <c r="II188" s="251"/>
      <c r="IJ188" s="251"/>
      <c r="IK188" s="251"/>
      <c r="IL188" s="251"/>
      <c r="IM188" s="251"/>
      <c r="IN188" s="251"/>
      <c r="IO188" s="251"/>
      <c r="IP188" s="251"/>
      <c r="IQ188" s="251"/>
      <c r="IR188" s="251"/>
      <c r="IS188" s="251"/>
      <c r="IT188" s="251"/>
      <c r="IU188" s="251"/>
      <c r="IV188" s="251"/>
      <c r="IW188" s="251"/>
      <c r="IX188" s="251"/>
      <c r="IY188" s="251"/>
      <c r="IZ188" s="251"/>
      <c r="JA188" s="251"/>
      <c r="JB188" s="251"/>
      <c r="JC188" s="251"/>
      <c r="JD188" s="251"/>
      <c r="JE188" s="251"/>
      <c r="JF188" s="251"/>
      <c r="JG188" s="251"/>
      <c r="JH188" s="251"/>
      <c r="JI188" s="251"/>
    </row>
    <row r="189" spans="1:269">
      <c r="A189" s="251"/>
      <c r="B189" s="251"/>
      <c r="C189" s="251"/>
      <c r="D189" s="251"/>
      <c r="E189" s="251"/>
      <c r="F189" s="251"/>
      <c r="G189" s="251"/>
      <c r="H189" s="251"/>
      <c r="I189" s="251"/>
      <c r="J189" s="251"/>
      <c r="K189" s="251"/>
      <c r="L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251"/>
      <c r="BU189" s="251"/>
      <c r="BV189" s="251"/>
      <c r="BW189" s="251"/>
      <c r="BX189" s="251"/>
      <c r="BY189" s="251"/>
      <c r="BZ189" s="251"/>
      <c r="CA189" s="251"/>
      <c r="CB189" s="251"/>
      <c r="CC189" s="251"/>
      <c r="CD189" s="251"/>
      <c r="CE189" s="251"/>
      <c r="CF189" s="251"/>
      <c r="CG189" s="251"/>
      <c r="CH189" s="251"/>
      <c r="CI189" s="251"/>
      <c r="CJ189" s="251"/>
      <c r="CK189" s="251"/>
      <c r="CL189" s="251"/>
      <c r="CM189" s="251"/>
      <c r="CN189" s="251"/>
      <c r="CO189" s="251"/>
      <c r="CP189" s="251"/>
      <c r="CQ189" s="251"/>
      <c r="CR189" s="251"/>
      <c r="CS189" s="251"/>
      <c r="CT189" s="251"/>
      <c r="CU189" s="251"/>
      <c r="CV189" s="251"/>
      <c r="CW189" s="251"/>
      <c r="CX189" s="251"/>
      <c r="CY189" s="251"/>
      <c r="CZ189" s="251"/>
      <c r="DA189" s="251"/>
      <c r="DB189" s="251"/>
      <c r="DC189" s="251"/>
      <c r="DD189" s="251"/>
      <c r="DE189" s="251"/>
      <c r="DF189" s="251"/>
      <c r="DG189" s="251"/>
      <c r="DH189" s="251"/>
      <c r="DI189" s="251"/>
      <c r="DJ189" s="251"/>
      <c r="DK189" s="251"/>
      <c r="DL189" s="251"/>
      <c r="DM189" s="251"/>
      <c r="DN189" s="251"/>
      <c r="DO189" s="251"/>
      <c r="DP189" s="251"/>
      <c r="DQ189" s="251"/>
      <c r="DR189" s="251"/>
      <c r="DS189" s="251"/>
      <c r="DT189" s="251"/>
      <c r="DU189" s="251"/>
      <c r="DV189" s="251"/>
      <c r="DW189" s="251"/>
      <c r="DX189" s="251"/>
      <c r="DY189" s="251"/>
      <c r="DZ189" s="251"/>
      <c r="EA189" s="251"/>
      <c r="EB189" s="251"/>
      <c r="EC189" s="251"/>
      <c r="ED189" s="251"/>
      <c r="EE189" s="251"/>
      <c r="EF189" s="251"/>
      <c r="EG189" s="251"/>
      <c r="EH189" s="251"/>
      <c r="EI189" s="251"/>
      <c r="EJ189" s="251"/>
      <c r="EK189" s="251"/>
      <c r="EL189" s="251"/>
      <c r="EM189" s="251"/>
      <c r="EN189" s="251"/>
      <c r="EO189" s="251"/>
      <c r="EP189" s="251"/>
      <c r="EQ189" s="251"/>
      <c r="ER189" s="251"/>
      <c r="ES189" s="251"/>
      <c r="ET189" s="251"/>
      <c r="EU189" s="251"/>
      <c r="EV189" s="251"/>
      <c r="EW189" s="251"/>
      <c r="EX189" s="251"/>
      <c r="EY189" s="251"/>
      <c r="EZ189" s="251"/>
      <c r="FA189" s="251"/>
      <c r="FB189" s="251"/>
      <c r="FC189" s="251"/>
      <c r="FD189" s="251"/>
      <c r="FE189" s="251"/>
      <c r="FF189" s="251"/>
      <c r="FG189" s="251"/>
      <c r="FH189" s="251"/>
      <c r="FI189" s="251"/>
      <c r="FJ189" s="251"/>
      <c r="FK189" s="251"/>
      <c r="FL189" s="251"/>
      <c r="FM189" s="251"/>
      <c r="FN189" s="251"/>
      <c r="FO189" s="251"/>
      <c r="FP189" s="251"/>
      <c r="FQ189" s="251"/>
      <c r="FR189" s="251"/>
      <c r="FS189" s="251"/>
      <c r="FT189" s="251"/>
      <c r="FU189" s="251"/>
      <c r="FV189" s="251"/>
      <c r="FW189" s="251"/>
      <c r="FX189" s="251"/>
      <c r="FY189" s="251"/>
      <c r="FZ189" s="251"/>
      <c r="GA189" s="251"/>
      <c r="GB189" s="251"/>
      <c r="GC189" s="251"/>
      <c r="GD189" s="251"/>
      <c r="GE189" s="251"/>
      <c r="GF189" s="251"/>
      <c r="GG189" s="251"/>
      <c r="GH189" s="251"/>
      <c r="GI189" s="251"/>
      <c r="GJ189" s="251"/>
      <c r="GK189" s="251"/>
      <c r="GL189" s="251"/>
      <c r="GM189" s="251"/>
      <c r="GN189" s="251"/>
      <c r="GO189" s="251"/>
      <c r="GP189" s="251"/>
      <c r="GQ189" s="251"/>
      <c r="GR189" s="251"/>
      <c r="GS189" s="251"/>
      <c r="GT189" s="251"/>
      <c r="GU189" s="251"/>
      <c r="GV189" s="251"/>
      <c r="GW189" s="251"/>
      <c r="GX189" s="251"/>
      <c r="GY189" s="251"/>
      <c r="GZ189" s="251"/>
      <c r="HA189" s="251"/>
      <c r="HB189" s="251"/>
      <c r="HC189" s="251"/>
      <c r="HD189" s="251"/>
      <c r="HE189" s="251"/>
      <c r="HF189" s="251"/>
      <c r="HG189" s="251"/>
      <c r="HH189" s="251"/>
      <c r="HI189" s="251"/>
      <c r="HJ189" s="251"/>
      <c r="HK189" s="251"/>
      <c r="HL189" s="251"/>
      <c r="HM189" s="251"/>
      <c r="HN189" s="251"/>
      <c r="HO189" s="251"/>
      <c r="HP189" s="251"/>
      <c r="HQ189" s="251"/>
      <c r="HR189" s="251"/>
      <c r="HS189" s="251"/>
      <c r="HT189" s="251"/>
      <c r="HU189" s="251"/>
      <c r="HV189" s="251"/>
      <c r="HW189" s="251"/>
      <c r="HX189" s="251"/>
      <c r="HY189" s="251"/>
      <c r="HZ189" s="251"/>
      <c r="IA189" s="251"/>
      <c r="IB189" s="251"/>
      <c r="IC189" s="251"/>
      <c r="ID189" s="251"/>
      <c r="IE189" s="251"/>
      <c r="IF189" s="251"/>
      <c r="IG189" s="251"/>
      <c r="IH189" s="251"/>
      <c r="II189" s="251"/>
      <c r="IJ189" s="251"/>
      <c r="IK189" s="251"/>
      <c r="IL189" s="251"/>
      <c r="IM189" s="251"/>
      <c r="IN189" s="251"/>
      <c r="IO189" s="251"/>
      <c r="IP189" s="251"/>
      <c r="IQ189" s="251"/>
      <c r="IR189" s="251"/>
      <c r="IS189" s="251"/>
      <c r="IT189" s="251"/>
      <c r="IU189" s="251"/>
      <c r="IV189" s="251"/>
      <c r="IW189" s="251"/>
      <c r="IX189" s="251"/>
      <c r="IY189" s="251"/>
      <c r="IZ189" s="251"/>
      <c r="JA189" s="251"/>
      <c r="JB189" s="251"/>
      <c r="JC189" s="251"/>
      <c r="JD189" s="251"/>
      <c r="JE189" s="251"/>
      <c r="JF189" s="251"/>
      <c r="JG189" s="251"/>
      <c r="JH189" s="251"/>
      <c r="JI189" s="251"/>
    </row>
    <row r="190" spans="1:269">
      <c r="A190" s="251"/>
      <c r="B190" s="251"/>
      <c r="C190" s="251"/>
      <c r="D190" s="251"/>
      <c r="E190" s="251"/>
      <c r="F190" s="251"/>
      <c r="G190" s="251"/>
      <c r="H190" s="251"/>
      <c r="I190" s="251"/>
      <c r="J190" s="251"/>
      <c r="K190" s="251"/>
      <c r="L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c r="BK190" s="251"/>
      <c r="BL190" s="251"/>
      <c r="BM190" s="251"/>
      <c r="BN190" s="251"/>
      <c r="BO190" s="251"/>
      <c r="BP190" s="251"/>
      <c r="BQ190" s="251"/>
      <c r="BR190" s="251"/>
      <c r="BS190" s="251"/>
      <c r="BT190" s="251"/>
      <c r="BU190" s="251"/>
      <c r="BV190" s="251"/>
      <c r="BW190" s="251"/>
      <c r="BX190" s="251"/>
      <c r="BY190" s="251"/>
      <c r="BZ190" s="251"/>
      <c r="CA190" s="251"/>
      <c r="CB190" s="251"/>
      <c r="CC190" s="251"/>
      <c r="CD190" s="251"/>
      <c r="CE190" s="251"/>
      <c r="CF190" s="251"/>
      <c r="CG190" s="251"/>
      <c r="CH190" s="251"/>
      <c r="CI190" s="251"/>
      <c r="CJ190" s="251"/>
      <c r="CK190" s="251"/>
      <c r="CL190" s="251"/>
      <c r="CM190" s="251"/>
      <c r="CN190" s="251"/>
      <c r="CO190" s="251"/>
      <c r="CP190" s="251"/>
      <c r="CQ190" s="251"/>
      <c r="CR190" s="251"/>
      <c r="CS190" s="251"/>
      <c r="CT190" s="251"/>
      <c r="CU190" s="251"/>
      <c r="CV190" s="251"/>
      <c r="CW190" s="251"/>
      <c r="CX190" s="251"/>
      <c r="CY190" s="251"/>
      <c r="CZ190" s="251"/>
      <c r="DA190" s="251"/>
      <c r="DB190" s="251"/>
      <c r="DC190" s="251"/>
      <c r="DD190" s="251"/>
      <c r="DE190" s="251"/>
      <c r="DF190" s="251"/>
      <c r="DG190" s="251"/>
      <c r="DH190" s="251"/>
      <c r="DI190" s="251"/>
      <c r="DJ190" s="251"/>
      <c r="DK190" s="251"/>
      <c r="DL190" s="251"/>
      <c r="DM190" s="251"/>
      <c r="DN190" s="251"/>
      <c r="DO190" s="251"/>
      <c r="DP190" s="251"/>
      <c r="DQ190" s="251"/>
      <c r="DR190" s="251"/>
      <c r="DS190" s="251"/>
      <c r="DT190" s="251"/>
      <c r="DU190" s="251"/>
      <c r="DV190" s="251"/>
      <c r="DW190" s="251"/>
      <c r="DX190" s="251"/>
      <c r="DY190" s="251"/>
      <c r="DZ190" s="251"/>
      <c r="EA190" s="251"/>
      <c r="EB190" s="251"/>
      <c r="EC190" s="251"/>
      <c r="ED190" s="251"/>
      <c r="EE190" s="251"/>
      <c r="EF190" s="251"/>
      <c r="EG190" s="251"/>
      <c r="EH190" s="251"/>
      <c r="EI190" s="251"/>
      <c r="EJ190" s="251"/>
      <c r="EK190" s="251"/>
      <c r="EL190" s="251"/>
      <c r="EM190" s="251"/>
      <c r="EN190" s="251"/>
      <c r="EO190" s="251"/>
      <c r="EP190" s="251"/>
      <c r="EQ190" s="251"/>
      <c r="ER190" s="251"/>
      <c r="ES190" s="251"/>
      <c r="ET190" s="251"/>
      <c r="EU190" s="251"/>
      <c r="EV190" s="251"/>
      <c r="EW190" s="251"/>
      <c r="EX190" s="251"/>
      <c r="EY190" s="251"/>
      <c r="EZ190" s="251"/>
      <c r="FA190" s="251"/>
      <c r="FB190" s="251"/>
      <c r="FC190" s="251"/>
      <c r="FD190" s="251"/>
      <c r="FE190" s="251"/>
      <c r="FF190" s="251"/>
      <c r="FG190" s="251"/>
      <c r="FH190" s="251"/>
      <c r="FI190" s="251"/>
      <c r="FJ190" s="251"/>
      <c r="FK190" s="251"/>
      <c r="FL190" s="251"/>
      <c r="FM190" s="251"/>
      <c r="FN190" s="251"/>
      <c r="FO190" s="251"/>
      <c r="FP190" s="251"/>
      <c r="FQ190" s="251"/>
      <c r="FR190" s="251"/>
      <c r="FS190" s="251"/>
      <c r="FT190" s="251"/>
      <c r="FU190" s="251"/>
      <c r="FV190" s="251"/>
      <c r="FW190" s="251"/>
      <c r="FX190" s="251"/>
      <c r="FY190" s="251"/>
      <c r="FZ190" s="251"/>
      <c r="GA190" s="251"/>
      <c r="GB190" s="251"/>
      <c r="GC190" s="251"/>
      <c r="GD190" s="251"/>
      <c r="GE190" s="251"/>
      <c r="GF190" s="251"/>
      <c r="GG190" s="251"/>
      <c r="GH190" s="251"/>
      <c r="GI190" s="251"/>
      <c r="GJ190" s="251"/>
      <c r="GK190" s="251"/>
      <c r="GL190" s="251"/>
      <c r="GM190" s="251"/>
      <c r="GN190" s="251"/>
      <c r="GO190" s="251"/>
      <c r="GP190" s="251"/>
      <c r="GQ190" s="251"/>
      <c r="GR190" s="251"/>
      <c r="GS190" s="251"/>
      <c r="GT190" s="251"/>
      <c r="GU190" s="251"/>
      <c r="GV190" s="251"/>
      <c r="GW190" s="251"/>
      <c r="GX190" s="251"/>
      <c r="GY190" s="251"/>
      <c r="GZ190" s="251"/>
      <c r="HA190" s="251"/>
      <c r="HB190" s="251"/>
      <c r="HC190" s="251"/>
      <c r="HD190" s="251"/>
      <c r="HE190" s="251"/>
      <c r="HF190" s="251"/>
      <c r="HG190" s="251"/>
      <c r="HH190" s="251"/>
      <c r="HI190" s="251"/>
      <c r="HJ190" s="251"/>
      <c r="HK190" s="251"/>
      <c r="HL190" s="251"/>
      <c r="HM190" s="251"/>
      <c r="HN190" s="251"/>
      <c r="HO190" s="251"/>
      <c r="HP190" s="251"/>
      <c r="HQ190" s="251"/>
      <c r="HR190" s="251"/>
      <c r="HS190" s="251"/>
      <c r="HT190" s="251"/>
      <c r="HU190" s="251"/>
      <c r="HV190" s="251"/>
      <c r="HW190" s="251"/>
      <c r="HX190" s="251"/>
      <c r="HY190" s="251"/>
      <c r="HZ190" s="251"/>
      <c r="IA190" s="251"/>
      <c r="IB190" s="251"/>
      <c r="IC190" s="251"/>
      <c r="ID190" s="251"/>
      <c r="IE190" s="251"/>
      <c r="IF190" s="251"/>
      <c r="IG190" s="251"/>
      <c r="IH190" s="251"/>
      <c r="II190" s="251"/>
      <c r="IJ190" s="251"/>
      <c r="IK190" s="251"/>
      <c r="IL190" s="251"/>
      <c r="IM190" s="251"/>
      <c r="IN190" s="251"/>
      <c r="IO190" s="251"/>
      <c r="IP190" s="251"/>
      <c r="IQ190" s="251"/>
      <c r="IR190" s="251"/>
      <c r="IS190" s="251"/>
      <c r="IT190" s="251"/>
      <c r="IU190" s="251"/>
      <c r="IV190" s="251"/>
      <c r="IW190" s="251"/>
      <c r="IX190" s="251"/>
      <c r="IY190" s="251"/>
      <c r="IZ190" s="251"/>
      <c r="JA190" s="251"/>
      <c r="JB190" s="251"/>
      <c r="JC190" s="251"/>
      <c r="JD190" s="251"/>
      <c r="JE190" s="251"/>
      <c r="JF190" s="251"/>
      <c r="JG190" s="251"/>
      <c r="JH190" s="251"/>
      <c r="JI190" s="251"/>
    </row>
    <row r="191" spans="1:269">
      <c r="A191" s="251"/>
      <c r="B191" s="251"/>
      <c r="C191" s="251"/>
      <c r="D191" s="251"/>
      <c r="E191" s="251"/>
      <c r="F191" s="251"/>
      <c r="G191" s="251"/>
      <c r="H191" s="251"/>
      <c r="I191" s="251"/>
      <c r="J191" s="251"/>
      <c r="K191" s="251"/>
      <c r="L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c r="BK191" s="251"/>
      <c r="BL191" s="251"/>
      <c r="BM191" s="251"/>
      <c r="BN191" s="251"/>
      <c r="BO191" s="251"/>
      <c r="BP191" s="251"/>
      <c r="BQ191" s="251"/>
      <c r="BR191" s="251"/>
      <c r="BS191" s="251"/>
      <c r="BT191" s="251"/>
      <c r="BU191" s="251"/>
      <c r="BV191" s="251"/>
      <c r="BW191" s="251"/>
      <c r="BX191" s="251"/>
      <c r="BY191" s="251"/>
      <c r="BZ191" s="251"/>
      <c r="CA191" s="251"/>
      <c r="CB191" s="251"/>
      <c r="CC191" s="251"/>
      <c r="CD191" s="251"/>
      <c r="CE191" s="251"/>
      <c r="CF191" s="251"/>
      <c r="CG191" s="251"/>
      <c r="CH191" s="251"/>
      <c r="CI191" s="251"/>
      <c r="CJ191" s="251"/>
      <c r="CK191" s="251"/>
      <c r="CL191" s="251"/>
      <c r="CM191" s="251"/>
      <c r="CN191" s="251"/>
      <c r="CO191" s="251"/>
      <c r="CP191" s="251"/>
      <c r="CQ191" s="251"/>
      <c r="CR191" s="251"/>
      <c r="CS191" s="251"/>
      <c r="CT191" s="251"/>
      <c r="CU191" s="251"/>
      <c r="CV191" s="251"/>
      <c r="CW191" s="251"/>
      <c r="CX191" s="251"/>
      <c r="CY191" s="251"/>
      <c r="CZ191" s="251"/>
      <c r="DA191" s="251"/>
      <c r="DB191" s="251"/>
      <c r="DC191" s="251"/>
      <c r="DD191" s="251"/>
      <c r="DE191" s="251"/>
      <c r="DF191" s="251"/>
      <c r="DG191" s="251"/>
      <c r="DH191" s="251"/>
      <c r="DI191" s="251"/>
      <c r="DJ191" s="251"/>
      <c r="DK191" s="251"/>
      <c r="DL191" s="251"/>
      <c r="DM191" s="251"/>
      <c r="DN191" s="251"/>
      <c r="DO191" s="251"/>
      <c r="DP191" s="251"/>
      <c r="DQ191" s="251"/>
      <c r="DR191" s="251"/>
      <c r="DS191" s="251"/>
      <c r="DT191" s="251"/>
      <c r="DU191" s="251"/>
      <c r="DV191" s="251"/>
      <c r="DW191" s="251"/>
      <c r="DX191" s="251"/>
      <c r="DY191" s="251"/>
      <c r="DZ191" s="251"/>
      <c r="EA191" s="251"/>
      <c r="EB191" s="251"/>
      <c r="EC191" s="251"/>
      <c r="ED191" s="251"/>
      <c r="EE191" s="251"/>
      <c r="EF191" s="251"/>
      <c r="EG191" s="251"/>
      <c r="EH191" s="251"/>
      <c r="EI191" s="251"/>
      <c r="EJ191" s="251"/>
      <c r="EK191" s="251"/>
      <c r="EL191" s="251"/>
      <c r="EM191" s="251"/>
      <c r="EN191" s="251"/>
      <c r="EO191" s="251"/>
      <c r="EP191" s="251"/>
      <c r="EQ191" s="251"/>
      <c r="ER191" s="251"/>
      <c r="ES191" s="251"/>
      <c r="ET191" s="251"/>
      <c r="EU191" s="251"/>
      <c r="EV191" s="251"/>
      <c r="EW191" s="251"/>
      <c r="EX191" s="251"/>
      <c r="EY191" s="251"/>
      <c r="EZ191" s="251"/>
      <c r="FA191" s="251"/>
      <c r="FB191" s="251"/>
      <c r="FC191" s="251"/>
      <c r="FD191" s="251"/>
      <c r="FE191" s="251"/>
      <c r="FF191" s="251"/>
      <c r="FG191" s="251"/>
      <c r="FH191" s="251"/>
      <c r="FI191" s="251"/>
      <c r="FJ191" s="251"/>
      <c r="FK191" s="251"/>
      <c r="FL191" s="251"/>
      <c r="FM191" s="251"/>
      <c r="FN191" s="251"/>
      <c r="FO191" s="251"/>
      <c r="FP191" s="251"/>
      <c r="FQ191" s="251"/>
      <c r="FR191" s="251"/>
      <c r="FS191" s="251"/>
      <c r="FT191" s="251"/>
      <c r="FU191" s="251"/>
      <c r="FV191" s="251"/>
      <c r="FW191" s="251"/>
      <c r="FX191" s="251"/>
      <c r="FY191" s="251"/>
      <c r="FZ191" s="251"/>
      <c r="GA191" s="251"/>
      <c r="GB191" s="251"/>
      <c r="GC191" s="251"/>
      <c r="GD191" s="251"/>
      <c r="GE191" s="251"/>
      <c r="GF191" s="251"/>
      <c r="GG191" s="251"/>
      <c r="GH191" s="251"/>
      <c r="GI191" s="251"/>
      <c r="GJ191" s="251"/>
      <c r="GK191" s="251"/>
      <c r="GL191" s="251"/>
      <c r="GM191" s="251"/>
      <c r="GN191" s="251"/>
      <c r="GO191" s="251"/>
      <c r="GP191" s="251"/>
      <c r="GQ191" s="251"/>
      <c r="GR191" s="251"/>
      <c r="GS191" s="251"/>
      <c r="GT191" s="251"/>
      <c r="GU191" s="251"/>
      <c r="GV191" s="251"/>
      <c r="GW191" s="251"/>
      <c r="GX191" s="251"/>
      <c r="GY191" s="251"/>
      <c r="GZ191" s="251"/>
      <c r="HA191" s="251"/>
      <c r="HB191" s="251"/>
      <c r="HC191" s="251"/>
      <c r="HD191" s="251"/>
      <c r="HE191" s="251"/>
      <c r="HF191" s="251"/>
      <c r="HG191" s="251"/>
      <c r="HH191" s="251"/>
      <c r="HI191" s="251"/>
      <c r="HJ191" s="251"/>
      <c r="HK191" s="251"/>
      <c r="HL191" s="251"/>
      <c r="HM191" s="251"/>
      <c r="HN191" s="251"/>
      <c r="HO191" s="251"/>
      <c r="HP191" s="251"/>
      <c r="HQ191" s="251"/>
      <c r="HR191" s="251"/>
      <c r="HS191" s="251"/>
      <c r="HT191" s="251"/>
      <c r="HU191" s="251"/>
      <c r="HV191" s="251"/>
      <c r="HW191" s="251"/>
      <c r="HX191" s="251"/>
      <c r="HY191" s="251"/>
      <c r="HZ191" s="251"/>
      <c r="IA191" s="251"/>
      <c r="IB191" s="251"/>
      <c r="IC191" s="251"/>
      <c r="ID191" s="251"/>
      <c r="IE191" s="251"/>
      <c r="IF191" s="251"/>
      <c r="IG191" s="251"/>
      <c r="IH191" s="251"/>
      <c r="II191" s="251"/>
      <c r="IJ191" s="251"/>
      <c r="IK191" s="251"/>
      <c r="IL191" s="251"/>
      <c r="IM191" s="251"/>
      <c r="IN191" s="251"/>
      <c r="IO191" s="251"/>
      <c r="IP191" s="251"/>
      <c r="IQ191" s="251"/>
      <c r="IR191" s="251"/>
      <c r="IS191" s="251"/>
      <c r="IT191" s="251"/>
      <c r="IU191" s="251"/>
      <c r="IV191" s="251"/>
      <c r="IW191" s="251"/>
      <c r="IX191" s="251"/>
      <c r="IY191" s="251"/>
      <c r="IZ191" s="251"/>
      <c r="JA191" s="251"/>
      <c r="JB191" s="251"/>
      <c r="JC191" s="251"/>
      <c r="JD191" s="251"/>
      <c r="JE191" s="251"/>
      <c r="JF191" s="251"/>
      <c r="JG191" s="251"/>
      <c r="JH191" s="251"/>
      <c r="JI191" s="251"/>
    </row>
    <row r="192" spans="1:269">
      <c r="A192" s="251"/>
      <c r="B192" s="251"/>
      <c r="C192" s="251"/>
      <c r="D192" s="251"/>
      <c r="E192" s="251"/>
      <c r="F192" s="251"/>
      <c r="G192" s="251"/>
      <c r="H192" s="251"/>
      <c r="I192" s="251"/>
      <c r="J192" s="251"/>
      <c r="K192" s="251"/>
      <c r="L192" s="251"/>
      <c r="AD192" s="251"/>
      <c r="AE192" s="251"/>
      <c r="AF192" s="251"/>
      <c r="AG192" s="251"/>
      <c r="AH192" s="251"/>
      <c r="AI192" s="251"/>
      <c r="AJ192" s="251"/>
      <c r="AK192" s="251"/>
      <c r="AL192" s="251"/>
      <c r="AM192" s="251"/>
      <c r="AN192" s="251"/>
      <c r="AO192" s="251"/>
      <c r="AP192" s="251"/>
      <c r="AQ192" s="251"/>
      <c r="AR192" s="251"/>
      <c r="AS192" s="251"/>
      <c r="AT192" s="251"/>
      <c r="AU192" s="251"/>
      <c r="AV192" s="251"/>
      <c r="AW192" s="251"/>
      <c r="AX192" s="251"/>
      <c r="AY192" s="251"/>
      <c r="AZ192" s="251"/>
      <c r="BA192" s="251"/>
      <c r="BB192" s="251"/>
      <c r="BC192" s="251"/>
      <c r="BD192" s="251"/>
      <c r="BE192" s="251"/>
      <c r="BF192" s="251"/>
      <c r="BG192" s="251"/>
      <c r="BH192" s="251"/>
      <c r="BI192" s="251"/>
      <c r="BJ192" s="251"/>
      <c r="BK192" s="251"/>
      <c r="BL192" s="251"/>
      <c r="BM192" s="251"/>
      <c r="BN192" s="251"/>
      <c r="BO192" s="251"/>
      <c r="BP192" s="251"/>
      <c r="BQ192" s="251"/>
      <c r="BR192" s="251"/>
      <c r="BS192" s="251"/>
      <c r="BT192" s="251"/>
      <c r="BU192" s="251"/>
      <c r="BV192" s="251"/>
      <c r="BW192" s="251"/>
      <c r="BX192" s="251"/>
      <c r="BY192" s="251"/>
      <c r="BZ192" s="251"/>
      <c r="CA192" s="251"/>
      <c r="CB192" s="251"/>
      <c r="CC192" s="251"/>
      <c r="CD192" s="251"/>
      <c r="CE192" s="251"/>
      <c r="CF192" s="251"/>
      <c r="CG192" s="251"/>
      <c r="CH192" s="251"/>
      <c r="CI192" s="251"/>
      <c r="CJ192" s="251"/>
      <c r="CK192" s="251"/>
      <c r="CL192" s="251"/>
      <c r="CM192" s="251"/>
      <c r="CN192" s="251"/>
      <c r="CO192" s="251"/>
      <c r="CP192" s="251"/>
      <c r="CQ192" s="251"/>
      <c r="CR192" s="251"/>
      <c r="CS192" s="251"/>
      <c r="CT192" s="251"/>
      <c r="CU192" s="251"/>
      <c r="CV192" s="251"/>
      <c r="CW192" s="251"/>
      <c r="CX192" s="251"/>
      <c r="CY192" s="251"/>
      <c r="CZ192" s="251"/>
      <c r="DA192" s="251"/>
      <c r="DB192" s="251"/>
      <c r="DC192" s="251"/>
      <c r="DD192" s="251"/>
      <c r="DE192" s="251"/>
      <c r="DF192" s="251"/>
      <c r="DG192" s="251"/>
      <c r="DH192" s="251"/>
      <c r="DI192" s="251"/>
      <c r="DJ192" s="251"/>
      <c r="DK192" s="251"/>
      <c r="DL192" s="251"/>
      <c r="DM192" s="251"/>
      <c r="DN192" s="251"/>
      <c r="DO192" s="251"/>
      <c r="DP192" s="251"/>
      <c r="DQ192" s="251"/>
      <c r="DR192" s="251"/>
      <c r="DS192" s="251"/>
      <c r="DT192" s="251"/>
      <c r="DU192" s="251"/>
      <c r="DV192" s="251"/>
      <c r="DW192" s="251"/>
      <c r="DX192" s="251"/>
      <c r="DY192" s="251"/>
      <c r="DZ192" s="251"/>
      <c r="EA192" s="251"/>
      <c r="EB192" s="251"/>
      <c r="EC192" s="251"/>
      <c r="ED192" s="251"/>
      <c r="EE192" s="251"/>
      <c r="EF192" s="251"/>
      <c r="EG192" s="251"/>
      <c r="EH192" s="251"/>
      <c r="EI192" s="251"/>
      <c r="EJ192" s="251"/>
      <c r="EK192" s="251"/>
      <c r="EL192" s="251"/>
      <c r="EM192" s="251"/>
      <c r="EN192" s="251"/>
      <c r="EO192" s="251"/>
      <c r="EP192" s="251"/>
      <c r="EQ192" s="251"/>
      <c r="ER192" s="251"/>
      <c r="ES192" s="251"/>
      <c r="ET192" s="251"/>
      <c r="EU192" s="251"/>
      <c r="EV192" s="251"/>
      <c r="EW192" s="251"/>
      <c r="EX192" s="251"/>
      <c r="EY192" s="251"/>
      <c r="EZ192" s="251"/>
      <c r="FA192" s="251"/>
      <c r="FB192" s="251"/>
      <c r="FC192" s="251"/>
      <c r="FD192" s="251"/>
      <c r="FE192" s="251"/>
      <c r="FF192" s="251"/>
      <c r="FG192" s="251"/>
      <c r="FH192" s="251"/>
      <c r="FI192" s="251"/>
      <c r="FJ192" s="251"/>
      <c r="FK192" s="251"/>
      <c r="FL192" s="251"/>
      <c r="FM192" s="251"/>
      <c r="FN192" s="251"/>
      <c r="FO192" s="251"/>
      <c r="FP192" s="251"/>
      <c r="FQ192" s="251"/>
      <c r="FR192" s="251"/>
      <c r="FS192" s="251"/>
      <c r="FT192" s="251"/>
      <c r="FU192" s="251"/>
      <c r="FV192" s="251"/>
      <c r="FW192" s="251"/>
      <c r="FX192" s="251"/>
      <c r="FY192" s="251"/>
      <c r="FZ192" s="251"/>
      <c r="GA192" s="251"/>
      <c r="GB192" s="251"/>
      <c r="GC192" s="251"/>
      <c r="GD192" s="251"/>
      <c r="GE192" s="251"/>
      <c r="GF192" s="251"/>
      <c r="GG192" s="251"/>
      <c r="GH192" s="251"/>
      <c r="GI192" s="251"/>
      <c r="GJ192" s="251"/>
      <c r="GK192" s="251"/>
      <c r="GL192" s="251"/>
      <c r="GM192" s="251"/>
      <c r="GN192" s="251"/>
      <c r="GO192" s="251"/>
      <c r="GP192" s="251"/>
      <c r="GQ192" s="251"/>
      <c r="GR192" s="251"/>
      <c r="GS192" s="251"/>
      <c r="GT192" s="251"/>
      <c r="GU192" s="251"/>
      <c r="GV192" s="251"/>
      <c r="GW192" s="251"/>
      <c r="GX192" s="251"/>
      <c r="GY192" s="251"/>
      <c r="GZ192" s="251"/>
      <c r="HA192" s="251"/>
      <c r="HB192" s="251"/>
      <c r="HC192" s="251"/>
      <c r="HD192" s="251"/>
      <c r="HE192" s="251"/>
      <c r="HF192" s="251"/>
      <c r="HG192" s="251"/>
      <c r="HH192" s="251"/>
      <c r="HI192" s="251"/>
      <c r="HJ192" s="251"/>
      <c r="HK192" s="251"/>
      <c r="HL192" s="251"/>
      <c r="HM192" s="251"/>
      <c r="HN192" s="251"/>
      <c r="HO192" s="251"/>
      <c r="HP192" s="251"/>
      <c r="HQ192" s="251"/>
      <c r="HR192" s="251"/>
      <c r="HS192" s="251"/>
      <c r="HT192" s="251"/>
      <c r="HU192" s="251"/>
      <c r="HV192" s="251"/>
      <c r="HW192" s="251"/>
      <c r="HX192" s="251"/>
      <c r="HY192" s="251"/>
      <c r="HZ192" s="251"/>
      <c r="IA192" s="251"/>
      <c r="IB192" s="251"/>
      <c r="IC192" s="251"/>
      <c r="ID192" s="251"/>
      <c r="IE192" s="251"/>
      <c r="IF192" s="251"/>
      <c r="IG192" s="251"/>
      <c r="IH192" s="251"/>
      <c r="II192" s="251"/>
      <c r="IJ192" s="251"/>
      <c r="IK192" s="251"/>
      <c r="IL192" s="251"/>
      <c r="IM192" s="251"/>
      <c r="IN192" s="251"/>
      <c r="IO192" s="251"/>
      <c r="IP192" s="251"/>
      <c r="IQ192" s="251"/>
      <c r="IR192" s="251"/>
      <c r="IS192" s="251"/>
      <c r="IT192" s="251"/>
      <c r="IU192" s="251"/>
      <c r="IV192" s="251"/>
      <c r="IW192" s="251"/>
      <c r="IX192" s="251"/>
      <c r="IY192" s="251"/>
      <c r="IZ192" s="251"/>
      <c r="JA192" s="251"/>
      <c r="JB192" s="251"/>
      <c r="JC192" s="251"/>
      <c r="JD192" s="251"/>
      <c r="JE192" s="251"/>
      <c r="JF192" s="251"/>
      <c r="JG192" s="251"/>
      <c r="JH192" s="251"/>
      <c r="JI192" s="251"/>
    </row>
    <row r="193" spans="1:269">
      <c r="A193" s="251"/>
      <c r="B193" s="251"/>
      <c r="C193" s="251"/>
      <c r="D193" s="251"/>
      <c r="E193" s="251"/>
      <c r="F193" s="251"/>
      <c r="G193" s="251"/>
      <c r="H193" s="251"/>
      <c r="I193" s="251"/>
      <c r="J193" s="251"/>
      <c r="K193" s="251"/>
      <c r="L193" s="251"/>
      <c r="AD193" s="251"/>
      <c r="AE193" s="251"/>
      <c r="AF193" s="251"/>
      <c r="AG193" s="251"/>
      <c r="AH193" s="251"/>
      <c r="AI193" s="251"/>
      <c r="AJ193" s="251"/>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c r="BK193" s="251"/>
      <c r="BL193" s="251"/>
      <c r="BM193" s="251"/>
      <c r="BN193" s="251"/>
      <c r="BO193" s="251"/>
      <c r="BP193" s="251"/>
      <c r="BQ193" s="251"/>
      <c r="BR193" s="251"/>
      <c r="BS193" s="251"/>
      <c r="BT193" s="251"/>
      <c r="BU193" s="251"/>
      <c r="BV193" s="251"/>
      <c r="BW193" s="251"/>
      <c r="BX193" s="251"/>
      <c r="BY193" s="251"/>
      <c r="BZ193" s="251"/>
      <c r="CA193" s="251"/>
      <c r="CB193" s="251"/>
      <c r="CC193" s="251"/>
      <c r="CD193" s="251"/>
      <c r="CE193" s="251"/>
      <c r="CF193" s="251"/>
      <c r="CG193" s="251"/>
      <c r="CH193" s="251"/>
      <c r="CI193" s="251"/>
      <c r="CJ193" s="251"/>
      <c r="CK193" s="251"/>
      <c r="CL193" s="251"/>
      <c r="CM193" s="251"/>
      <c r="CN193" s="251"/>
      <c r="CO193" s="251"/>
      <c r="CP193" s="251"/>
      <c r="CQ193" s="251"/>
      <c r="CR193" s="251"/>
      <c r="CS193" s="251"/>
      <c r="CT193" s="251"/>
      <c r="CU193" s="251"/>
      <c r="CV193" s="251"/>
      <c r="CW193" s="251"/>
      <c r="CX193" s="251"/>
      <c r="CY193" s="251"/>
      <c r="CZ193" s="251"/>
      <c r="DA193" s="251"/>
      <c r="DB193" s="251"/>
      <c r="DC193" s="251"/>
      <c r="DD193" s="251"/>
      <c r="DE193" s="251"/>
      <c r="DF193" s="251"/>
      <c r="DG193" s="251"/>
      <c r="DH193" s="251"/>
      <c r="DI193" s="251"/>
      <c r="DJ193" s="251"/>
      <c r="DK193" s="251"/>
      <c r="DL193" s="251"/>
      <c r="DM193" s="251"/>
      <c r="DN193" s="251"/>
      <c r="DO193" s="251"/>
      <c r="DP193" s="251"/>
      <c r="DQ193" s="251"/>
      <c r="DR193" s="251"/>
      <c r="DS193" s="251"/>
      <c r="DT193" s="251"/>
      <c r="DU193" s="251"/>
      <c r="DV193" s="251"/>
      <c r="DW193" s="251"/>
      <c r="DX193" s="251"/>
      <c r="DY193" s="251"/>
      <c r="DZ193" s="251"/>
      <c r="EA193" s="251"/>
      <c r="EB193" s="251"/>
      <c r="EC193" s="251"/>
      <c r="ED193" s="251"/>
      <c r="EE193" s="251"/>
      <c r="EF193" s="251"/>
      <c r="EG193" s="251"/>
      <c r="EH193" s="251"/>
      <c r="EI193" s="251"/>
      <c r="EJ193" s="251"/>
      <c r="EK193" s="251"/>
      <c r="EL193" s="251"/>
      <c r="EM193" s="251"/>
      <c r="EN193" s="251"/>
      <c r="EO193" s="251"/>
      <c r="EP193" s="251"/>
      <c r="EQ193" s="251"/>
      <c r="ER193" s="251"/>
      <c r="ES193" s="251"/>
      <c r="ET193" s="251"/>
      <c r="EU193" s="251"/>
      <c r="EV193" s="251"/>
      <c r="EW193" s="251"/>
      <c r="EX193" s="251"/>
      <c r="EY193" s="251"/>
      <c r="EZ193" s="251"/>
      <c r="FA193" s="251"/>
      <c r="FB193" s="251"/>
      <c r="FC193" s="251"/>
      <c r="FD193" s="251"/>
      <c r="FE193" s="251"/>
      <c r="FF193" s="251"/>
      <c r="FG193" s="251"/>
      <c r="FH193" s="251"/>
      <c r="FI193" s="251"/>
      <c r="FJ193" s="251"/>
      <c r="FK193" s="251"/>
      <c r="FL193" s="251"/>
      <c r="FM193" s="251"/>
      <c r="FN193" s="251"/>
      <c r="FO193" s="251"/>
      <c r="FP193" s="251"/>
      <c r="FQ193" s="251"/>
      <c r="FR193" s="251"/>
      <c r="FS193" s="251"/>
      <c r="FT193" s="251"/>
      <c r="FU193" s="251"/>
      <c r="FV193" s="251"/>
      <c r="FW193" s="251"/>
      <c r="FX193" s="251"/>
      <c r="FY193" s="251"/>
      <c r="FZ193" s="251"/>
      <c r="GA193" s="251"/>
      <c r="GB193" s="251"/>
      <c r="GC193" s="251"/>
      <c r="GD193" s="251"/>
      <c r="GE193" s="251"/>
      <c r="GF193" s="251"/>
      <c r="GG193" s="251"/>
      <c r="GH193" s="251"/>
      <c r="GI193" s="251"/>
      <c r="GJ193" s="251"/>
      <c r="GK193" s="251"/>
      <c r="GL193" s="251"/>
      <c r="GM193" s="251"/>
      <c r="GN193" s="251"/>
      <c r="GO193" s="251"/>
      <c r="GP193" s="251"/>
      <c r="GQ193" s="251"/>
      <c r="GR193" s="251"/>
      <c r="GS193" s="251"/>
      <c r="GT193" s="251"/>
      <c r="GU193" s="251"/>
      <c r="GV193" s="251"/>
      <c r="GW193" s="251"/>
      <c r="GX193" s="251"/>
      <c r="GY193" s="251"/>
      <c r="GZ193" s="251"/>
      <c r="HA193" s="251"/>
      <c r="HB193" s="251"/>
      <c r="HC193" s="251"/>
      <c r="HD193" s="251"/>
      <c r="HE193" s="251"/>
      <c r="HF193" s="251"/>
      <c r="HG193" s="251"/>
      <c r="HH193" s="251"/>
      <c r="HI193" s="251"/>
      <c r="HJ193" s="251"/>
      <c r="HK193" s="251"/>
      <c r="HL193" s="251"/>
      <c r="HM193" s="251"/>
      <c r="HN193" s="251"/>
      <c r="HO193" s="251"/>
      <c r="HP193" s="251"/>
      <c r="HQ193" s="251"/>
      <c r="HR193" s="251"/>
      <c r="HS193" s="251"/>
      <c r="HT193" s="251"/>
      <c r="HU193" s="251"/>
      <c r="HV193" s="251"/>
      <c r="HW193" s="251"/>
      <c r="HX193" s="251"/>
      <c r="HY193" s="251"/>
      <c r="HZ193" s="251"/>
      <c r="IA193" s="251"/>
      <c r="IB193" s="251"/>
      <c r="IC193" s="251"/>
      <c r="ID193" s="251"/>
      <c r="IE193" s="251"/>
      <c r="IF193" s="251"/>
      <c r="IG193" s="251"/>
      <c r="IH193" s="251"/>
      <c r="II193" s="251"/>
      <c r="IJ193" s="251"/>
      <c r="IK193" s="251"/>
      <c r="IL193" s="251"/>
      <c r="IM193" s="251"/>
      <c r="IN193" s="251"/>
      <c r="IO193" s="251"/>
      <c r="IP193" s="251"/>
      <c r="IQ193" s="251"/>
      <c r="IR193" s="251"/>
      <c r="IS193" s="251"/>
      <c r="IT193" s="251"/>
      <c r="IU193" s="251"/>
      <c r="IV193" s="251"/>
      <c r="IW193" s="251"/>
      <c r="IX193" s="251"/>
      <c r="IY193" s="251"/>
      <c r="IZ193" s="251"/>
      <c r="JA193" s="251"/>
      <c r="JB193" s="251"/>
      <c r="JC193" s="251"/>
      <c r="JD193" s="251"/>
      <c r="JE193" s="251"/>
      <c r="JF193" s="251"/>
      <c r="JG193" s="251"/>
      <c r="JH193" s="251"/>
      <c r="JI193" s="251"/>
    </row>
  </sheetData>
  <pageMargins left="0.23622047244094491" right="0.23622047244094491" top="0.74803149606299213" bottom="0.74803149606299213" header="0.31496062992125984" footer="0.31496062992125984"/>
  <pageSetup paperSize="9" scale="6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K47"/>
  <sheetViews>
    <sheetView zoomScaleNormal="100" workbookViewId="0">
      <selection activeCell="B12" sqref="B12"/>
    </sheetView>
  </sheetViews>
  <sheetFormatPr defaultRowHeight="15.5"/>
  <cols>
    <col min="1" max="1" width="10.3046875" customWidth="1"/>
    <col min="4" max="4" width="13.23046875" customWidth="1"/>
  </cols>
  <sheetData>
    <row r="1" spans="1:63">
      <c r="A1" s="24" t="s">
        <v>90</v>
      </c>
    </row>
    <row r="2" spans="1:63">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row>
    <row r="3" spans="1:63">
      <c r="A3" s="290" t="e">
        <f>#REF!</f>
        <v>#REF!</v>
      </c>
      <c r="B3" s="100"/>
      <c r="C3" s="100"/>
      <c r="D3" s="100"/>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row>
    <row r="4" spans="1:63">
      <c r="A4" s="100"/>
      <c r="B4" s="100"/>
      <c r="C4" s="100"/>
      <c r="D4" s="100"/>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row>
    <row r="5" spans="1:63">
      <c r="A5" s="136"/>
      <c r="B5" s="135" t="s">
        <v>74</v>
      </c>
      <c r="C5" s="135" t="s">
        <v>33</v>
      </c>
      <c r="D5" s="238" t="s">
        <v>87</v>
      </c>
      <c r="E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c r="A6" s="183" t="s">
        <v>1</v>
      </c>
      <c r="B6" s="120">
        <f>'K&amp;M data'!D14</f>
        <v>7355.97</v>
      </c>
      <c r="C6" s="120">
        <v>0</v>
      </c>
      <c r="D6" s="283">
        <f t="shared" ref="D6:D21" si="0">C6+B6</f>
        <v>7355.97</v>
      </c>
      <c r="E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c r="A7" s="183" t="s">
        <v>2</v>
      </c>
      <c r="B7" s="120">
        <f>'K&amp;M data'!D15</f>
        <v>15285.34</v>
      </c>
      <c r="C7" s="120">
        <v>0</v>
      </c>
      <c r="D7" s="283">
        <f t="shared" si="0"/>
        <v>15285.34</v>
      </c>
      <c r="E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c r="A8" s="183" t="s">
        <v>3</v>
      </c>
      <c r="B8" s="120">
        <f>'K&amp;M data'!D16</f>
        <v>43218.35</v>
      </c>
      <c r="C8" s="120">
        <v>0</v>
      </c>
      <c r="D8" s="283">
        <f t="shared" si="0"/>
        <v>43218.35</v>
      </c>
      <c r="E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c r="A9" s="183" t="s">
        <v>4</v>
      </c>
      <c r="B9" s="120">
        <f>'K&amp;M data'!D17</f>
        <v>8207.8799999999992</v>
      </c>
      <c r="C9" s="120">
        <v>0</v>
      </c>
      <c r="D9" s="283">
        <f t="shared" si="0"/>
        <v>8207.8799999999992</v>
      </c>
      <c r="E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c r="A10" s="183" t="s">
        <v>5</v>
      </c>
      <c r="B10" s="120">
        <f>'K&amp;M data'!D18</f>
        <v>8273.42</v>
      </c>
      <c r="C10" s="120">
        <v>0</v>
      </c>
      <c r="D10" s="283">
        <f t="shared" si="0"/>
        <v>8273.42</v>
      </c>
      <c r="E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c r="A11" s="183" t="s">
        <v>6</v>
      </c>
      <c r="B11" s="120">
        <f>'K&amp;M data'!D19</f>
        <v>26524.080000000002</v>
      </c>
      <c r="C11" s="120">
        <v>0</v>
      </c>
      <c r="D11" s="283">
        <f t="shared" si="0"/>
        <v>26524.080000000002</v>
      </c>
      <c r="E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c r="A12" s="183" t="s">
        <v>7</v>
      </c>
      <c r="B12" s="120">
        <f>'K&amp;M data'!D20</f>
        <v>90303.1</v>
      </c>
      <c r="C12" s="120">
        <v>0</v>
      </c>
      <c r="D12" s="283">
        <f t="shared" si="0"/>
        <v>90303.1</v>
      </c>
      <c r="E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c r="A13" s="183" t="s">
        <v>8</v>
      </c>
      <c r="B13" s="120">
        <f>'K&amp;M data'!D21</f>
        <v>5127.88</v>
      </c>
      <c r="C13" s="120">
        <v>0</v>
      </c>
      <c r="D13" s="283">
        <f t="shared" si="0"/>
        <v>5127.88</v>
      </c>
      <c r="E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c r="A14" s="183" t="s">
        <v>9</v>
      </c>
      <c r="B14" s="120">
        <f>'K&amp;M data'!D22</f>
        <v>3669.79</v>
      </c>
      <c r="C14" s="120">
        <v>0</v>
      </c>
      <c r="D14" s="283">
        <f t="shared" si="0"/>
        <v>3669.79</v>
      </c>
      <c r="E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c r="A15" s="183" t="s">
        <v>10</v>
      </c>
      <c r="B15" s="120">
        <f>'K&amp;M data'!D23</f>
        <v>34977.71</v>
      </c>
      <c r="C15" s="120">
        <v>0</v>
      </c>
      <c r="D15" s="283">
        <f t="shared" si="0"/>
        <v>34977.71</v>
      </c>
      <c r="E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c r="A16" s="183" t="s">
        <v>11</v>
      </c>
      <c r="B16" s="120">
        <f>'K&amp;M data'!D24</f>
        <v>6160.01</v>
      </c>
      <c r="C16" s="120">
        <v>0</v>
      </c>
      <c r="D16" s="283">
        <f t="shared" si="0"/>
        <v>6160.01</v>
      </c>
      <c r="E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c r="A17" s="183" t="s">
        <v>12</v>
      </c>
      <c r="B17" s="120">
        <f>'K&amp;M data'!D25</f>
        <v>29653.23</v>
      </c>
      <c r="C17" s="120">
        <v>0</v>
      </c>
      <c r="D17" s="283">
        <f t="shared" si="0"/>
        <v>29653.23</v>
      </c>
      <c r="E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c r="A18" s="183" t="s">
        <v>13</v>
      </c>
      <c r="B18" s="120">
        <f>'K&amp;M data'!D26</f>
        <v>1720.22</v>
      </c>
      <c r="C18" s="120">
        <v>0</v>
      </c>
      <c r="D18" s="283">
        <f t="shared" si="0"/>
        <v>1720.22</v>
      </c>
      <c r="E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c r="A19" s="183" t="s">
        <v>14</v>
      </c>
      <c r="B19" s="120">
        <f>'K&amp;M data'!D27</f>
        <v>16694.28</v>
      </c>
      <c r="C19" s="120">
        <v>0</v>
      </c>
      <c r="D19" s="283">
        <f t="shared" si="0"/>
        <v>16694.28</v>
      </c>
      <c r="E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c r="A20" s="183" t="s">
        <v>15</v>
      </c>
      <c r="B20" s="120">
        <f>'K&amp;M data'!D28</f>
        <v>7585.33</v>
      </c>
      <c r="C20" s="120">
        <v>0</v>
      </c>
      <c r="D20" s="283">
        <f t="shared" si="0"/>
        <v>7585.33</v>
      </c>
      <c r="E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c r="A21" s="183" t="s">
        <v>16</v>
      </c>
      <c r="B21" s="121">
        <f>'K&amp;M data'!D29</f>
        <v>192369.19</v>
      </c>
      <c r="C21" s="121">
        <f>'K&amp;M data'!E30</f>
        <v>112758.29999999999</v>
      </c>
      <c r="D21" s="285">
        <f t="shared" si="0"/>
        <v>305127.49</v>
      </c>
      <c r="E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c r="A22" s="245" t="s">
        <v>18</v>
      </c>
      <c r="B22" s="287">
        <f>SUM(B6:B21)</f>
        <v>497125.78</v>
      </c>
      <c r="C22" s="291">
        <f>SUM(C6:C21)</f>
        <v>112758.29999999999</v>
      </c>
      <c r="D22" s="288">
        <f>SUM(D6:D21)</f>
        <v>609884.08000000007</v>
      </c>
      <c r="E22" s="4"/>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c r="A23" s="100"/>
      <c r="B23" s="100"/>
      <c r="C23" s="100"/>
      <c r="D23" s="100"/>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c r="A24" s="100"/>
      <c r="B24" s="100"/>
      <c r="C24" s="100"/>
      <c r="D24" s="100"/>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c r="A25" s="292" t="s">
        <v>171</v>
      </c>
      <c r="B25" s="100"/>
      <c r="C25" s="100"/>
      <c r="D25" s="100"/>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row>
    <row r="29" spans="1:6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row>
    <row r="30" spans="1:6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spans="1:6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row r="32" spans="1:63">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row>
    <row r="33" spans="1:6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row>
    <row r="34" spans="1:63">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row>
    <row r="35" spans="1:63">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row>
    <row r="36" spans="1:63">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row>
    <row r="37" spans="1:63">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row>
    <row r="38" spans="1:63">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row>
    <row r="39" spans="1:63">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row>
    <row r="40" spans="1:63">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row>
    <row r="41" spans="1:63">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row>
    <row r="42" spans="1:63">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row>
    <row r="43" spans="1:63">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row>
    <row r="44" spans="1:63">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row>
    <row r="45" spans="1:6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row>
    <row r="46" spans="1:63">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row>
    <row r="47" spans="1:63">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3"/>
  <sheetViews>
    <sheetView zoomScaleNormal="100" workbookViewId="0">
      <selection activeCell="F9" sqref="F9"/>
    </sheetView>
  </sheetViews>
  <sheetFormatPr defaultColWidth="8.765625" defaultRowHeight="14.5"/>
  <cols>
    <col min="1" max="1" width="9.765625" style="14" customWidth="1"/>
    <col min="2" max="2" width="10.53515625" style="14" customWidth="1"/>
    <col min="3" max="3" width="8.765625" style="14"/>
    <col min="4" max="4" width="15.07421875" style="14" bestFit="1" customWidth="1"/>
    <col min="5" max="5" width="15.23046875" style="14" bestFit="1" customWidth="1"/>
    <col min="6" max="16384" width="8.765625" style="14"/>
  </cols>
  <sheetData>
    <row r="1" spans="1:6" s="24" customFormat="1" ht="15">
      <c r="A1" s="24" t="s">
        <v>90</v>
      </c>
    </row>
    <row r="2" spans="1:6">
      <c r="A2" s="14" t="s">
        <v>70</v>
      </c>
    </row>
    <row r="4" spans="1:6">
      <c r="A4" s="272" t="s">
        <v>71</v>
      </c>
      <c r="B4" s="142"/>
      <c r="C4" s="142"/>
      <c r="D4" s="142"/>
      <c r="E4" s="142"/>
      <c r="F4" s="142"/>
    </row>
    <row r="5" spans="1:6">
      <c r="A5" s="272"/>
      <c r="B5" s="142"/>
      <c r="C5" s="142"/>
      <c r="D5" s="142"/>
      <c r="E5" s="142"/>
      <c r="F5" s="142"/>
    </row>
    <row r="6" spans="1:6">
      <c r="A6" s="142"/>
      <c r="B6" s="142"/>
      <c r="C6" s="131"/>
      <c r="D6" s="142"/>
      <c r="E6" s="142"/>
      <c r="F6" s="142"/>
    </row>
    <row r="7" spans="1:6">
      <c r="A7" s="343" t="s">
        <v>69</v>
      </c>
      <c r="B7" s="343"/>
      <c r="C7" s="574">
        <f>Basbelopp!AV88</f>
        <v>163.83000000000001</v>
      </c>
      <c r="D7" s="142"/>
      <c r="E7" s="142"/>
      <c r="F7" s="142"/>
    </row>
    <row r="8" spans="1:6">
      <c r="A8" s="343" t="s">
        <v>68</v>
      </c>
      <c r="B8" s="343"/>
      <c r="C8" s="574">
        <f>Basbelopp!AW88</f>
        <v>37.159999999999997</v>
      </c>
      <c r="D8" s="142"/>
      <c r="E8" s="142"/>
      <c r="F8" s="142" t="s">
        <v>438</v>
      </c>
    </row>
    <row r="9" spans="1:6">
      <c r="A9" s="142"/>
      <c r="B9" s="142"/>
      <c r="C9" s="142"/>
      <c r="D9" s="142"/>
      <c r="E9" s="142"/>
      <c r="F9" s="142"/>
    </row>
    <row r="10" spans="1:6">
      <c r="A10" s="343" t="s">
        <v>194</v>
      </c>
      <c r="B10" s="343"/>
      <c r="C10" s="344">
        <v>0.1</v>
      </c>
      <c r="D10" s="142"/>
      <c r="E10" s="142"/>
      <c r="F10" s="142"/>
    </row>
    <row r="11" spans="1:6">
      <c r="A11" s="343" t="s">
        <v>195</v>
      </c>
      <c r="B11" s="343"/>
      <c r="C11" s="344">
        <v>0.1</v>
      </c>
      <c r="D11" s="142"/>
      <c r="E11" s="142"/>
      <c r="F11" s="142"/>
    </row>
    <row r="12" spans="1:6">
      <c r="A12" s="142"/>
      <c r="B12" s="142"/>
      <c r="C12" s="142"/>
      <c r="D12" s="142"/>
      <c r="E12" s="142"/>
      <c r="F12" s="142"/>
    </row>
    <row r="13" spans="1:6">
      <c r="A13" s="273" t="str">
        <f>Invånare!B5</f>
        <v>2022</v>
      </c>
      <c r="B13" s="135" t="s">
        <v>88</v>
      </c>
      <c r="C13" s="142"/>
      <c r="D13" s="130" t="s">
        <v>73</v>
      </c>
      <c r="E13" s="130" t="s">
        <v>72</v>
      </c>
      <c r="F13" s="142"/>
    </row>
    <row r="14" spans="1:6">
      <c r="A14" s="274" t="s">
        <v>1</v>
      </c>
      <c r="B14" s="275">
        <f>Invånare!B6</f>
        <v>449</v>
      </c>
      <c r="C14" s="142"/>
      <c r="D14" s="370">
        <f>ROUND($C$7*B14*$C$10,2)</f>
        <v>7355.97</v>
      </c>
      <c r="E14" s="370">
        <f>ROUND($C$8*B14*$C$11,2)</f>
        <v>1668.48</v>
      </c>
      <c r="F14" s="142"/>
    </row>
    <row r="15" spans="1:6">
      <c r="A15" s="211" t="s">
        <v>2</v>
      </c>
      <c r="B15" s="275">
        <f>Invånare!B7</f>
        <v>933</v>
      </c>
      <c r="C15" s="142"/>
      <c r="D15" s="370">
        <f t="shared" ref="D15:D29" si="0">ROUND($C$7*B15*$C$10,2)</f>
        <v>15285.34</v>
      </c>
      <c r="E15" s="370">
        <f t="shared" ref="E15:E29" si="1">ROUND($C$8*B15*$C$11,2)</f>
        <v>3467.03</v>
      </c>
      <c r="F15" s="142"/>
    </row>
    <row r="16" spans="1:6">
      <c r="A16" s="211" t="s">
        <v>3</v>
      </c>
      <c r="B16" s="275">
        <f>Invånare!B8</f>
        <v>2638</v>
      </c>
      <c r="C16" s="142"/>
      <c r="D16" s="370">
        <f t="shared" si="0"/>
        <v>43218.35</v>
      </c>
      <c r="E16" s="370">
        <f t="shared" si="1"/>
        <v>9802.81</v>
      </c>
      <c r="F16" s="142"/>
    </row>
    <row r="17" spans="1:6">
      <c r="A17" s="233" t="s">
        <v>4</v>
      </c>
      <c r="B17" s="275">
        <f>Invånare!B9</f>
        <v>501</v>
      </c>
      <c r="C17" s="142"/>
      <c r="D17" s="370">
        <f t="shared" si="0"/>
        <v>8207.8799999999992</v>
      </c>
      <c r="E17" s="370">
        <f t="shared" si="1"/>
        <v>1861.72</v>
      </c>
      <c r="F17" s="142"/>
    </row>
    <row r="18" spans="1:6">
      <c r="A18" s="233" t="s">
        <v>5</v>
      </c>
      <c r="B18" s="275">
        <f>Invånare!B10</f>
        <v>505</v>
      </c>
      <c r="C18" s="142"/>
      <c r="D18" s="370">
        <f t="shared" si="0"/>
        <v>8273.42</v>
      </c>
      <c r="E18" s="370">
        <f t="shared" si="1"/>
        <v>1876.58</v>
      </c>
      <c r="F18" s="142"/>
    </row>
    <row r="19" spans="1:6">
      <c r="A19" s="233" t="s">
        <v>6</v>
      </c>
      <c r="B19" s="275">
        <f>Invånare!B11</f>
        <v>1619</v>
      </c>
      <c r="C19" s="142"/>
      <c r="D19" s="370">
        <f t="shared" si="0"/>
        <v>26524.080000000002</v>
      </c>
      <c r="E19" s="370">
        <f t="shared" si="1"/>
        <v>6016.2</v>
      </c>
      <c r="F19" s="142"/>
    </row>
    <row r="20" spans="1:6">
      <c r="A20" s="233" t="s">
        <v>7</v>
      </c>
      <c r="B20" s="275">
        <f>Invånare!B12</f>
        <v>5512</v>
      </c>
      <c r="C20" s="142"/>
      <c r="D20" s="370">
        <f t="shared" si="0"/>
        <v>90303.1</v>
      </c>
      <c r="E20" s="370">
        <f t="shared" si="1"/>
        <v>20482.59</v>
      </c>
      <c r="F20" s="142"/>
    </row>
    <row r="21" spans="1:6">
      <c r="A21" s="233" t="s">
        <v>8</v>
      </c>
      <c r="B21" s="275">
        <f>Invånare!B13</f>
        <v>313</v>
      </c>
      <c r="C21" s="142"/>
      <c r="D21" s="370">
        <f t="shared" si="0"/>
        <v>5127.88</v>
      </c>
      <c r="E21" s="370">
        <f t="shared" si="1"/>
        <v>1163.1099999999999</v>
      </c>
      <c r="F21" s="142"/>
    </row>
    <row r="22" spans="1:6">
      <c r="A22" s="233" t="s">
        <v>9</v>
      </c>
      <c r="B22" s="275">
        <f>Invånare!B14</f>
        <v>224</v>
      </c>
      <c r="C22" s="142"/>
      <c r="D22" s="370">
        <f t="shared" si="0"/>
        <v>3669.79</v>
      </c>
      <c r="E22" s="370">
        <f t="shared" si="1"/>
        <v>832.38</v>
      </c>
      <c r="F22" s="142"/>
    </row>
    <row r="23" spans="1:6">
      <c r="A23" s="233" t="s">
        <v>10</v>
      </c>
      <c r="B23" s="275">
        <f>Invånare!B15</f>
        <v>2135</v>
      </c>
      <c r="C23" s="142"/>
      <c r="D23" s="370">
        <f t="shared" si="0"/>
        <v>34977.71</v>
      </c>
      <c r="E23" s="370">
        <f t="shared" si="1"/>
        <v>7933.66</v>
      </c>
      <c r="F23" s="142"/>
    </row>
    <row r="24" spans="1:6">
      <c r="A24" s="233" t="s">
        <v>11</v>
      </c>
      <c r="B24" s="275">
        <f>Invånare!B16</f>
        <v>376</v>
      </c>
      <c r="C24" s="142"/>
      <c r="D24" s="370">
        <f t="shared" si="0"/>
        <v>6160.01</v>
      </c>
      <c r="E24" s="370">
        <f t="shared" si="1"/>
        <v>1397.22</v>
      </c>
      <c r="F24" s="142"/>
    </row>
    <row r="25" spans="1:6">
      <c r="A25" s="233" t="s">
        <v>12</v>
      </c>
      <c r="B25" s="275">
        <f>Invånare!B17</f>
        <v>1810</v>
      </c>
      <c r="C25" s="142"/>
      <c r="D25" s="370">
        <f t="shared" si="0"/>
        <v>29653.23</v>
      </c>
      <c r="E25" s="370">
        <f t="shared" si="1"/>
        <v>6725.96</v>
      </c>
      <c r="F25" s="142"/>
    </row>
    <row r="26" spans="1:6">
      <c r="A26" s="233" t="s">
        <v>13</v>
      </c>
      <c r="B26" s="275">
        <f>Invånare!B18</f>
        <v>105</v>
      </c>
      <c r="C26" s="142"/>
      <c r="D26" s="370">
        <f t="shared" si="0"/>
        <v>1720.22</v>
      </c>
      <c r="E26" s="370">
        <f t="shared" si="1"/>
        <v>390.18</v>
      </c>
      <c r="F26" s="142"/>
    </row>
    <row r="27" spans="1:6">
      <c r="A27" s="233" t="s">
        <v>14</v>
      </c>
      <c r="B27" s="275">
        <f>Invånare!B19</f>
        <v>1019</v>
      </c>
      <c r="C27" s="142"/>
      <c r="D27" s="370">
        <f t="shared" si="0"/>
        <v>16694.28</v>
      </c>
      <c r="E27" s="370">
        <f t="shared" si="1"/>
        <v>3786.6</v>
      </c>
      <c r="F27" s="142"/>
    </row>
    <row r="28" spans="1:6">
      <c r="A28" s="233" t="s">
        <v>15</v>
      </c>
      <c r="B28" s="275">
        <f>Invånare!B20</f>
        <v>463</v>
      </c>
      <c r="C28" s="142"/>
      <c r="D28" s="370">
        <f t="shared" si="0"/>
        <v>7585.33</v>
      </c>
      <c r="E28" s="370">
        <f t="shared" si="1"/>
        <v>1720.51</v>
      </c>
      <c r="F28" s="142"/>
    </row>
    <row r="29" spans="1:6">
      <c r="A29" s="211" t="s">
        <v>16</v>
      </c>
      <c r="B29" s="275">
        <f>Invånare!B21</f>
        <v>11742</v>
      </c>
      <c r="C29" s="142"/>
      <c r="D29" s="370">
        <f t="shared" si="0"/>
        <v>192369.19</v>
      </c>
      <c r="E29" s="370">
        <f t="shared" si="1"/>
        <v>43633.27</v>
      </c>
      <c r="F29" s="142"/>
    </row>
    <row r="30" spans="1:6">
      <c r="A30" s="234" t="s">
        <v>18</v>
      </c>
      <c r="B30" s="276">
        <f>SUM(B14:B29)</f>
        <v>30344</v>
      </c>
      <c r="C30" s="131"/>
      <c r="D30" s="371">
        <f>SUM(D14:D29)</f>
        <v>497125.78</v>
      </c>
      <c r="E30" s="371">
        <f>SUM(E14:E29)</f>
        <v>112758.29999999999</v>
      </c>
      <c r="F30" s="142"/>
    </row>
    <row r="31" spans="1:6" ht="15" thickBot="1">
      <c r="A31" s="142"/>
      <c r="B31" s="142"/>
      <c r="C31" s="142"/>
      <c r="D31" s="142"/>
      <c r="E31" s="142"/>
      <c r="F31" s="142"/>
    </row>
    <row r="32" spans="1:6" ht="15.5" thickTop="1" thickBot="1">
      <c r="A32" s="142"/>
      <c r="B32" s="142"/>
      <c r="C32" s="142"/>
      <c r="D32" s="128">
        <f>E30-'Kultur&amp;Medis'!C22</f>
        <v>0</v>
      </c>
      <c r="E32" s="128">
        <f>D30-'Kultur&amp;Medis'!B22</f>
        <v>0</v>
      </c>
      <c r="F32" s="142"/>
    </row>
    <row r="33" spans="1:6" ht="15" thickTop="1">
      <c r="A33" s="142"/>
      <c r="B33" s="142"/>
      <c r="C33" s="142"/>
      <c r="D33" s="142"/>
      <c r="E33" s="142"/>
      <c r="F33" s="142"/>
    </row>
  </sheetData>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127"/>
  <sheetViews>
    <sheetView zoomScale="85" zoomScaleNormal="100" workbookViewId="0">
      <selection activeCell="F6" sqref="F6:F21"/>
    </sheetView>
  </sheetViews>
  <sheetFormatPr defaultColWidth="8.765625" defaultRowHeight="14.5"/>
  <cols>
    <col min="1" max="1" width="11.765625" style="26" customWidth="1"/>
    <col min="2" max="2" width="8.765625" style="26"/>
    <col min="3" max="3" width="8.765625" style="26" customWidth="1"/>
    <col min="4" max="7" width="8.765625" style="26"/>
    <col min="8" max="8" width="2.53515625" style="26" customWidth="1"/>
    <col min="9" max="11" width="8.765625" style="26"/>
    <col min="12" max="12" width="5.53515625" style="26" bestFit="1" customWidth="1"/>
    <col min="13" max="13" width="5.53515625" style="26" customWidth="1"/>
    <col min="14" max="14" width="4.765625" style="26" customWidth="1"/>
    <col min="15" max="16384" width="8.765625" style="26"/>
  </cols>
  <sheetData>
    <row r="1" spans="1:6" ht="15.5">
      <c r="A1" s="17" t="s">
        <v>104</v>
      </c>
    </row>
    <row r="2" spans="1:6" ht="15.5">
      <c r="A2" s="610" t="s">
        <v>91</v>
      </c>
      <c r="B2" s="28">
        <v>44743</v>
      </c>
      <c r="C2" s="360"/>
    </row>
    <row r="3" spans="1:6">
      <c r="A3" s="27"/>
      <c r="B3" s="28"/>
    </row>
    <row r="4" spans="1:6">
      <c r="A4" s="9" t="s">
        <v>106</v>
      </c>
      <c r="B4" s="32"/>
      <c r="E4" s="9" t="s">
        <v>32</v>
      </c>
      <c r="F4" s="33" t="s">
        <v>103</v>
      </c>
    </row>
    <row r="5" spans="1:6">
      <c r="A5" s="126">
        <v>42736</v>
      </c>
      <c r="B5" s="382" t="s">
        <v>356</v>
      </c>
      <c r="C5" s="100"/>
      <c r="D5" s="100"/>
      <c r="E5" s="126">
        <v>42736</v>
      </c>
      <c r="F5" s="382" t="s">
        <v>356</v>
      </c>
    </row>
    <row r="6" spans="1:6">
      <c r="A6" s="122" t="s">
        <v>1</v>
      </c>
      <c r="B6" s="120">
        <v>449</v>
      </c>
      <c r="C6" s="100"/>
      <c r="D6" s="100"/>
      <c r="E6" s="122" t="s">
        <v>1</v>
      </c>
      <c r="F6" s="380">
        <v>31</v>
      </c>
    </row>
    <row r="7" spans="1:6">
      <c r="A7" s="122" t="s">
        <v>2</v>
      </c>
      <c r="B7" s="120">
        <v>933</v>
      </c>
      <c r="C7" s="100"/>
      <c r="D7" s="100"/>
      <c r="E7" s="122" t="s">
        <v>2</v>
      </c>
      <c r="F7" s="380">
        <v>93</v>
      </c>
    </row>
    <row r="8" spans="1:6">
      <c r="A8" s="122" t="s">
        <v>3</v>
      </c>
      <c r="B8" s="120">
        <v>2638</v>
      </c>
      <c r="C8" s="100"/>
      <c r="D8" s="100"/>
      <c r="E8" s="122" t="s">
        <v>3</v>
      </c>
      <c r="F8" s="380">
        <v>339</v>
      </c>
    </row>
    <row r="9" spans="1:6">
      <c r="A9" s="122" t="s">
        <v>4</v>
      </c>
      <c r="B9" s="120">
        <v>501</v>
      </c>
      <c r="C9" s="100"/>
      <c r="D9" s="100"/>
      <c r="E9" s="122" t="s">
        <v>4</v>
      </c>
      <c r="F9" s="380">
        <v>39</v>
      </c>
    </row>
    <row r="10" spans="1:6">
      <c r="A10" s="122" t="s">
        <v>5</v>
      </c>
      <c r="B10" s="120">
        <v>505</v>
      </c>
      <c r="C10" s="100"/>
      <c r="D10" s="100"/>
      <c r="E10" s="122" t="s">
        <v>5</v>
      </c>
      <c r="F10" s="380">
        <v>62</v>
      </c>
    </row>
    <row r="11" spans="1:6">
      <c r="A11" s="122" t="s">
        <v>6</v>
      </c>
      <c r="B11" s="120">
        <v>1619</v>
      </c>
      <c r="C11" s="100"/>
      <c r="D11" s="100"/>
      <c r="E11" s="122" t="s">
        <v>6</v>
      </c>
      <c r="F11" s="380">
        <v>200</v>
      </c>
    </row>
    <row r="12" spans="1:6">
      <c r="A12" s="122" t="s">
        <v>7</v>
      </c>
      <c r="B12" s="120">
        <v>5512</v>
      </c>
      <c r="C12" s="100"/>
      <c r="D12" s="100"/>
      <c r="E12" s="122" t="s">
        <v>7</v>
      </c>
      <c r="F12" s="379">
        <v>768</v>
      </c>
    </row>
    <row r="13" spans="1:6">
      <c r="A13" s="122" t="s">
        <v>8</v>
      </c>
      <c r="B13" s="120">
        <v>313</v>
      </c>
      <c r="C13" s="100"/>
      <c r="D13" s="100"/>
      <c r="E13" s="122" t="s">
        <v>8</v>
      </c>
      <c r="F13" s="379">
        <v>19</v>
      </c>
    </row>
    <row r="14" spans="1:6">
      <c r="A14" s="122" t="s">
        <v>9</v>
      </c>
      <c r="B14" s="120">
        <v>224</v>
      </c>
      <c r="C14" s="100"/>
      <c r="D14" s="100"/>
      <c r="E14" s="122" t="s">
        <v>9</v>
      </c>
      <c r="F14" s="379">
        <v>6</v>
      </c>
    </row>
    <row r="15" spans="1:6">
      <c r="A15" s="122" t="s">
        <v>10</v>
      </c>
      <c r="B15" s="120">
        <v>2135</v>
      </c>
      <c r="C15" s="100"/>
      <c r="D15" s="100"/>
      <c r="E15" s="122" t="s">
        <v>10</v>
      </c>
      <c r="F15" s="379">
        <v>298</v>
      </c>
    </row>
    <row r="16" spans="1:6">
      <c r="A16" s="122" t="s">
        <v>11</v>
      </c>
      <c r="B16" s="120">
        <v>376</v>
      </c>
      <c r="C16" s="100"/>
      <c r="D16" s="100"/>
      <c r="E16" s="122" t="s">
        <v>11</v>
      </c>
      <c r="F16" s="379">
        <v>44</v>
      </c>
    </row>
    <row r="17" spans="1:20">
      <c r="A17" s="122" t="s">
        <v>12</v>
      </c>
      <c r="B17" s="120">
        <v>1810</v>
      </c>
      <c r="C17" s="100"/>
      <c r="D17" s="100"/>
      <c r="E17" s="122" t="s">
        <v>12</v>
      </c>
      <c r="F17" s="379">
        <v>224</v>
      </c>
      <c r="I17" s="36"/>
    </row>
    <row r="18" spans="1:20">
      <c r="A18" s="122" t="s">
        <v>13</v>
      </c>
      <c r="B18" s="120">
        <v>105</v>
      </c>
      <c r="C18" s="100"/>
      <c r="D18" s="100"/>
      <c r="E18" s="122" t="s">
        <v>13</v>
      </c>
      <c r="F18" s="379">
        <v>10</v>
      </c>
    </row>
    <row r="19" spans="1:20">
      <c r="A19" s="122" t="s">
        <v>14</v>
      </c>
      <c r="B19" s="120">
        <v>1019</v>
      </c>
      <c r="C19" s="100"/>
      <c r="D19" s="100"/>
      <c r="E19" s="122" t="s">
        <v>14</v>
      </c>
      <c r="F19" s="379">
        <v>117</v>
      </c>
    </row>
    <row r="20" spans="1:20">
      <c r="A20" s="122" t="s">
        <v>15</v>
      </c>
      <c r="B20" s="120">
        <v>463</v>
      </c>
      <c r="C20" s="100"/>
      <c r="D20" s="100"/>
      <c r="E20" s="122" t="s">
        <v>15</v>
      </c>
      <c r="F20" s="379">
        <v>47</v>
      </c>
    </row>
    <row r="21" spans="1:20">
      <c r="A21" s="123" t="s">
        <v>16</v>
      </c>
      <c r="B21" s="121">
        <v>11742</v>
      </c>
      <c r="C21" s="100"/>
      <c r="D21" s="100"/>
      <c r="E21" s="123" t="s">
        <v>16</v>
      </c>
      <c r="F21" s="381">
        <v>1225</v>
      </c>
    </row>
    <row r="22" spans="1:20">
      <c r="A22" s="122" t="s">
        <v>18</v>
      </c>
      <c r="B22" s="124">
        <f>SUM(B6:B21)</f>
        <v>30344</v>
      </c>
      <c r="C22" s="100"/>
      <c r="D22" s="100"/>
      <c r="E22" s="122" t="s">
        <v>18</v>
      </c>
      <c r="F22" s="125">
        <f>SUM(F6:F21)</f>
        <v>3522</v>
      </c>
    </row>
    <row r="23" spans="1:20">
      <c r="R23" s="35"/>
      <c r="T23" s="37"/>
    </row>
    <row r="25" spans="1:20" ht="15.5">
      <c r="A25" s="9" t="s">
        <v>105</v>
      </c>
      <c r="B25" s="34"/>
      <c r="C25" s="34"/>
      <c r="D25" s="34"/>
      <c r="E25" s="34"/>
      <c r="F25" s="34"/>
      <c r="G25"/>
    </row>
    <row r="26" spans="1:20" ht="15" thickBot="1">
      <c r="A26" s="387" t="s">
        <v>400</v>
      </c>
      <c r="B26" s="127" t="s">
        <v>24</v>
      </c>
      <c r="C26" s="127" t="s">
        <v>25</v>
      </c>
      <c r="D26" s="127" t="s">
        <v>26</v>
      </c>
      <c r="E26" s="127" t="s">
        <v>27</v>
      </c>
      <c r="F26" s="127" t="s">
        <v>28</v>
      </c>
      <c r="L26" s="100" t="s">
        <v>188</v>
      </c>
      <c r="M26" s="100"/>
      <c r="N26" s="100"/>
    </row>
    <row r="27" spans="1:20" ht="15.5" thickTop="1" thickBot="1">
      <c r="A27" s="122" t="s">
        <v>1</v>
      </c>
      <c r="B27" s="386">
        <v>14</v>
      </c>
      <c r="C27" s="386">
        <v>283</v>
      </c>
      <c r="D27" s="386">
        <v>80</v>
      </c>
      <c r="E27" s="386">
        <v>54</v>
      </c>
      <c r="F27" s="386">
        <v>18</v>
      </c>
      <c r="L27" s="128">
        <f t="shared" ref="L27:L42" si="0">SUM(B27:F27)-B6</f>
        <v>0</v>
      </c>
      <c r="M27" s="100"/>
      <c r="N27" s="100"/>
    </row>
    <row r="28" spans="1:20" ht="15.5" thickTop="1" thickBot="1">
      <c r="A28" s="122" t="s">
        <v>2</v>
      </c>
      <c r="B28" s="386">
        <v>58</v>
      </c>
      <c r="C28" s="386">
        <v>614</v>
      </c>
      <c r="D28" s="386">
        <v>143</v>
      </c>
      <c r="E28" s="386">
        <v>85</v>
      </c>
      <c r="F28" s="386">
        <v>33</v>
      </c>
      <c r="L28" s="128">
        <f t="shared" si="0"/>
        <v>0</v>
      </c>
      <c r="M28" s="100"/>
      <c r="N28" s="100"/>
    </row>
    <row r="29" spans="1:20" ht="15.5" thickTop="1" thickBot="1">
      <c r="A29" s="122" t="s">
        <v>3</v>
      </c>
      <c r="B29" s="386">
        <v>195</v>
      </c>
      <c r="C29" s="386">
        <v>1857</v>
      </c>
      <c r="D29" s="386">
        <v>322</v>
      </c>
      <c r="E29" s="386">
        <v>207</v>
      </c>
      <c r="F29" s="386">
        <v>57</v>
      </c>
      <c r="L29" s="128">
        <f t="shared" si="0"/>
        <v>0</v>
      </c>
      <c r="M29" s="100"/>
      <c r="N29" s="100"/>
    </row>
    <row r="30" spans="1:20" ht="15.5" thickTop="1" thickBot="1">
      <c r="A30" s="122" t="s">
        <v>4</v>
      </c>
      <c r="B30" s="386">
        <v>36</v>
      </c>
      <c r="C30" s="386">
        <v>303</v>
      </c>
      <c r="D30" s="386">
        <v>85</v>
      </c>
      <c r="E30" s="386">
        <v>48</v>
      </c>
      <c r="F30" s="386">
        <v>29</v>
      </c>
      <c r="L30" s="128">
        <f t="shared" si="0"/>
        <v>0</v>
      </c>
      <c r="M30" s="100"/>
      <c r="N30" s="100"/>
    </row>
    <row r="31" spans="1:20" ht="15.5" thickTop="1" thickBot="1">
      <c r="A31" s="122" t="s">
        <v>5</v>
      </c>
      <c r="B31" s="386">
        <v>34</v>
      </c>
      <c r="C31" s="386">
        <v>353</v>
      </c>
      <c r="D31" s="386">
        <v>53</v>
      </c>
      <c r="E31" s="386">
        <v>44</v>
      </c>
      <c r="F31" s="386">
        <v>21</v>
      </c>
      <c r="L31" s="128">
        <f t="shared" si="0"/>
        <v>0</v>
      </c>
      <c r="M31" s="100"/>
      <c r="N31" s="100"/>
    </row>
    <row r="32" spans="1:20" ht="15.5" thickTop="1" thickBot="1">
      <c r="A32" s="122" t="s">
        <v>6</v>
      </c>
      <c r="B32" s="386">
        <v>119</v>
      </c>
      <c r="C32" s="386">
        <v>1136</v>
      </c>
      <c r="D32" s="386">
        <v>195</v>
      </c>
      <c r="E32" s="386">
        <v>123</v>
      </c>
      <c r="F32" s="386">
        <v>46</v>
      </c>
      <c r="L32" s="128">
        <f t="shared" si="0"/>
        <v>0</v>
      </c>
      <c r="M32" s="100"/>
      <c r="N32" s="100"/>
    </row>
    <row r="33" spans="1:16" ht="15.5" thickTop="1" thickBot="1">
      <c r="A33" s="122" t="s">
        <v>7</v>
      </c>
      <c r="B33" s="384">
        <v>540</v>
      </c>
      <c r="C33" s="384">
        <v>4120</v>
      </c>
      <c r="D33" s="384">
        <v>508</v>
      </c>
      <c r="E33" s="384">
        <v>268</v>
      </c>
      <c r="F33" s="384">
        <v>76</v>
      </c>
      <c r="L33" s="128">
        <f t="shared" si="0"/>
        <v>0</v>
      </c>
      <c r="M33" s="100"/>
      <c r="N33" s="100"/>
    </row>
    <row r="34" spans="1:16" ht="15.5" thickTop="1" thickBot="1">
      <c r="A34" s="122" t="s">
        <v>8</v>
      </c>
      <c r="B34" s="384">
        <v>18</v>
      </c>
      <c r="C34" s="384">
        <v>173</v>
      </c>
      <c r="D34" s="384">
        <v>66</v>
      </c>
      <c r="E34" s="384">
        <v>33</v>
      </c>
      <c r="F34" s="384">
        <v>23</v>
      </c>
      <c r="L34" s="128">
        <f t="shared" si="0"/>
        <v>0</v>
      </c>
      <c r="M34" s="100"/>
      <c r="N34" s="100"/>
    </row>
    <row r="35" spans="1:16" ht="15.5" thickTop="1" thickBot="1">
      <c r="A35" s="122" t="s">
        <v>9</v>
      </c>
      <c r="B35" s="384">
        <v>5</v>
      </c>
      <c r="C35" s="384">
        <v>139</v>
      </c>
      <c r="D35" s="384">
        <v>34</v>
      </c>
      <c r="E35" s="384">
        <v>34</v>
      </c>
      <c r="F35" s="384">
        <v>12</v>
      </c>
      <c r="L35" s="128">
        <f t="shared" si="0"/>
        <v>0</v>
      </c>
      <c r="M35" s="100"/>
      <c r="N35" s="100"/>
    </row>
    <row r="36" spans="1:16" ht="15.5" thickTop="1" thickBot="1">
      <c r="A36" s="122" t="s">
        <v>10</v>
      </c>
      <c r="B36" s="384">
        <v>215</v>
      </c>
      <c r="C36" s="384">
        <v>1515</v>
      </c>
      <c r="D36" s="384">
        <v>234</v>
      </c>
      <c r="E36" s="384">
        <v>132</v>
      </c>
      <c r="F36" s="384">
        <v>39</v>
      </c>
      <c r="L36" s="128">
        <f t="shared" si="0"/>
        <v>0</v>
      </c>
      <c r="M36" s="100"/>
      <c r="N36" s="100"/>
    </row>
    <row r="37" spans="1:16" ht="15.5" thickTop="1" thickBot="1">
      <c r="A37" s="122" t="s">
        <v>11</v>
      </c>
      <c r="B37" s="384">
        <v>16</v>
      </c>
      <c r="C37" s="384">
        <v>253</v>
      </c>
      <c r="D37" s="384">
        <v>55</v>
      </c>
      <c r="E37" s="384">
        <v>38</v>
      </c>
      <c r="F37" s="384">
        <v>14</v>
      </c>
      <c r="L37" s="128">
        <f t="shared" si="0"/>
        <v>0</v>
      </c>
      <c r="M37" s="100"/>
      <c r="N37" s="100"/>
    </row>
    <row r="38" spans="1:16" ht="15.5" thickTop="1" thickBot="1">
      <c r="A38" s="122" t="s">
        <v>12</v>
      </c>
      <c r="B38" s="384">
        <v>138</v>
      </c>
      <c r="C38" s="384">
        <v>1203</v>
      </c>
      <c r="D38" s="384">
        <v>257</v>
      </c>
      <c r="E38" s="384">
        <v>139</v>
      </c>
      <c r="F38" s="384">
        <v>73</v>
      </c>
      <c r="L38" s="128">
        <f t="shared" si="0"/>
        <v>0</v>
      </c>
      <c r="M38" s="100"/>
      <c r="N38" s="100"/>
    </row>
    <row r="39" spans="1:16" ht="15.5" thickTop="1" thickBot="1">
      <c r="A39" s="122" t="s">
        <v>13</v>
      </c>
      <c r="B39" s="385">
        <v>9</v>
      </c>
      <c r="C39" s="384">
        <v>59</v>
      </c>
      <c r="D39" s="384">
        <v>17</v>
      </c>
      <c r="E39" s="384">
        <v>15</v>
      </c>
      <c r="F39" s="384">
        <v>5</v>
      </c>
      <c r="L39" s="128">
        <f t="shared" si="0"/>
        <v>0</v>
      </c>
      <c r="M39" s="100"/>
      <c r="N39" s="100"/>
    </row>
    <row r="40" spans="1:16" ht="15.5" thickTop="1" thickBot="1">
      <c r="A40" s="122" t="s">
        <v>14</v>
      </c>
      <c r="B40" s="384">
        <v>60</v>
      </c>
      <c r="C40" s="384">
        <v>685</v>
      </c>
      <c r="D40" s="384">
        <v>152</v>
      </c>
      <c r="E40" s="384">
        <v>94</v>
      </c>
      <c r="F40" s="384">
        <v>28</v>
      </c>
      <c r="L40" s="128">
        <f t="shared" si="0"/>
        <v>0</v>
      </c>
      <c r="M40" s="100"/>
      <c r="N40" s="100"/>
    </row>
    <row r="41" spans="1:16" ht="15.5" thickTop="1" thickBot="1">
      <c r="A41" s="122" t="s">
        <v>15</v>
      </c>
      <c r="B41" s="384">
        <v>39</v>
      </c>
      <c r="C41" s="384">
        <v>292</v>
      </c>
      <c r="D41" s="384">
        <v>63</v>
      </c>
      <c r="E41" s="384">
        <v>41</v>
      </c>
      <c r="F41" s="384">
        <v>28</v>
      </c>
      <c r="L41" s="128">
        <f t="shared" si="0"/>
        <v>0</v>
      </c>
      <c r="M41" s="100"/>
      <c r="N41" s="100"/>
    </row>
    <row r="42" spans="1:16" ht="15.5" thickTop="1" thickBot="1">
      <c r="A42" s="123" t="s">
        <v>16</v>
      </c>
      <c r="B42" s="383">
        <v>662</v>
      </c>
      <c r="C42" s="383">
        <v>8101</v>
      </c>
      <c r="D42" s="383">
        <v>1564</v>
      </c>
      <c r="E42" s="383">
        <v>1036</v>
      </c>
      <c r="F42" s="383">
        <v>379</v>
      </c>
      <c r="L42" s="129">
        <f t="shared" si="0"/>
        <v>0</v>
      </c>
      <c r="M42" s="100"/>
      <c r="N42" s="100"/>
    </row>
    <row r="43" spans="1:16" ht="15.5" thickTop="1" thickBot="1">
      <c r="A43" s="122" t="s">
        <v>18</v>
      </c>
      <c r="B43" s="125">
        <f t="shared" ref="B43:F43" si="1">SUM(B27:B42)</f>
        <v>2158</v>
      </c>
      <c r="C43" s="125">
        <f t="shared" si="1"/>
        <v>21086</v>
      </c>
      <c r="D43" s="125">
        <f t="shared" si="1"/>
        <v>3828</v>
      </c>
      <c r="E43" s="125">
        <f t="shared" si="1"/>
        <v>2391</v>
      </c>
      <c r="F43" s="125">
        <f t="shared" si="1"/>
        <v>881</v>
      </c>
      <c r="K43" s="25"/>
      <c r="L43" s="128">
        <f>SUM(L27:L42)</f>
        <v>0</v>
      </c>
      <c r="M43" s="128">
        <f>B22-B43-C43-D43-E43-F43</f>
        <v>0</v>
      </c>
      <c r="O43" s="39"/>
      <c r="P43" s="39"/>
    </row>
    <row r="44" spans="1:16" ht="15" thickTop="1"/>
    <row r="50" spans="1:15" ht="15.5">
      <c r="A50" s="17" t="s">
        <v>104</v>
      </c>
      <c r="B50" s="664"/>
      <c r="C50" s="664"/>
      <c r="D50" s="664"/>
      <c r="E50" s="664"/>
      <c r="F50" s="664"/>
      <c r="G50" s="664"/>
      <c r="H50" s="664"/>
      <c r="I50" s="664"/>
      <c r="J50" s="664"/>
      <c r="K50" s="664"/>
      <c r="L50" s="664"/>
      <c r="M50" s="664"/>
      <c r="N50" s="664"/>
      <c r="O50" s="664"/>
    </row>
    <row r="51" spans="1:15">
      <c r="A51" s="27" t="s">
        <v>91</v>
      </c>
      <c r="B51" s="470">
        <v>44317</v>
      </c>
      <c r="C51" s="360"/>
      <c r="D51" s="664"/>
      <c r="E51" s="664"/>
      <c r="F51" s="664"/>
      <c r="G51" s="664"/>
      <c r="H51" s="664"/>
      <c r="I51" s="664"/>
      <c r="J51" s="664"/>
      <c r="K51" s="664"/>
      <c r="L51" s="664"/>
      <c r="M51" s="664"/>
      <c r="N51" s="664"/>
      <c r="O51" s="664"/>
    </row>
    <row r="52" spans="1:15">
      <c r="A52" s="27"/>
      <c r="B52" s="470"/>
      <c r="C52" s="664"/>
      <c r="D52" s="664"/>
      <c r="E52" s="664"/>
      <c r="F52" s="664"/>
      <c r="G52" s="664"/>
      <c r="H52" s="664"/>
      <c r="I52" s="664"/>
      <c r="J52" s="664"/>
      <c r="K52" s="664"/>
      <c r="L52" s="664"/>
      <c r="M52" s="664"/>
      <c r="N52" s="664"/>
      <c r="O52" s="664"/>
    </row>
    <row r="53" spans="1:15">
      <c r="A53" s="9" t="s">
        <v>106</v>
      </c>
      <c r="B53" s="32"/>
      <c r="C53" s="664"/>
      <c r="D53" s="664"/>
      <c r="E53" s="9" t="s">
        <v>32</v>
      </c>
      <c r="F53" s="33" t="s">
        <v>103</v>
      </c>
      <c r="G53" s="664"/>
      <c r="H53" s="664"/>
      <c r="I53" s="664"/>
      <c r="J53" s="664"/>
      <c r="K53" s="664"/>
      <c r="L53" s="664"/>
      <c r="M53" s="664"/>
      <c r="N53" s="664"/>
      <c r="O53" s="664"/>
    </row>
    <row r="54" spans="1:15">
      <c r="A54" s="126">
        <v>42736</v>
      </c>
      <c r="B54" s="382" t="s">
        <v>342</v>
      </c>
      <c r="C54" s="100"/>
      <c r="D54" s="100"/>
      <c r="E54" s="126">
        <v>42736</v>
      </c>
      <c r="F54" s="382" t="s">
        <v>342</v>
      </c>
      <c r="G54" s="664"/>
      <c r="H54" s="664"/>
      <c r="I54" s="664"/>
      <c r="J54" s="664"/>
      <c r="K54" s="664"/>
      <c r="L54" s="664"/>
      <c r="M54" s="664"/>
      <c r="N54" s="664"/>
      <c r="O54" s="664"/>
    </row>
    <row r="55" spans="1:15">
      <c r="A55" s="665" t="s">
        <v>1</v>
      </c>
      <c r="B55" s="120">
        <v>449</v>
      </c>
      <c r="C55" s="100"/>
      <c r="D55" s="100"/>
      <c r="E55" s="665" t="s">
        <v>1</v>
      </c>
      <c r="F55" s="379">
        <v>33</v>
      </c>
      <c r="G55" s="664"/>
      <c r="H55" s="664"/>
      <c r="I55" s="664"/>
      <c r="J55" s="664"/>
      <c r="K55" s="664"/>
      <c r="L55" s="664"/>
      <c r="M55" s="664"/>
      <c r="N55" s="664"/>
      <c r="O55" s="664"/>
    </row>
    <row r="56" spans="1:15">
      <c r="A56" s="665" t="s">
        <v>2</v>
      </c>
      <c r="B56" s="120">
        <v>958</v>
      </c>
      <c r="C56" s="100"/>
      <c r="D56" s="100"/>
      <c r="E56" s="665" t="s">
        <v>2</v>
      </c>
      <c r="F56" s="379">
        <v>93</v>
      </c>
      <c r="G56" s="664"/>
      <c r="H56" s="664"/>
      <c r="I56" s="664"/>
      <c r="J56" s="664"/>
      <c r="K56" s="664"/>
      <c r="L56" s="664"/>
      <c r="M56" s="664"/>
      <c r="N56" s="664"/>
      <c r="O56" s="664"/>
    </row>
    <row r="57" spans="1:15">
      <c r="A57" s="665" t="s">
        <v>3</v>
      </c>
      <c r="B57" s="120">
        <v>2603</v>
      </c>
      <c r="C57" s="100"/>
      <c r="D57" s="100"/>
      <c r="E57" s="665" t="s">
        <v>3</v>
      </c>
      <c r="F57" s="379">
        <v>337</v>
      </c>
      <c r="G57" s="664"/>
      <c r="H57" s="664"/>
      <c r="I57" s="664"/>
      <c r="J57" s="664"/>
      <c r="K57" s="664"/>
      <c r="L57" s="664"/>
      <c r="M57" s="664"/>
      <c r="N57" s="664"/>
      <c r="O57" s="664"/>
    </row>
    <row r="58" spans="1:15">
      <c r="A58" s="665" t="s">
        <v>4</v>
      </c>
      <c r="B58" s="120">
        <v>526</v>
      </c>
      <c r="C58" s="100"/>
      <c r="D58" s="100"/>
      <c r="E58" s="665" t="s">
        <v>4</v>
      </c>
      <c r="F58" s="379">
        <v>44</v>
      </c>
      <c r="G58" s="664"/>
      <c r="H58" s="664"/>
      <c r="I58" s="664"/>
      <c r="J58" s="664"/>
      <c r="K58" s="664"/>
      <c r="L58" s="664"/>
      <c r="M58" s="664"/>
      <c r="N58" s="664"/>
      <c r="O58" s="664"/>
    </row>
    <row r="59" spans="1:15">
      <c r="A59" s="665" t="s">
        <v>5</v>
      </c>
      <c r="B59" s="120">
        <v>511</v>
      </c>
      <c r="C59" s="100"/>
      <c r="D59" s="100"/>
      <c r="E59" s="665" t="s">
        <v>5</v>
      </c>
      <c r="F59" s="379">
        <v>63</v>
      </c>
      <c r="G59" s="664"/>
      <c r="H59" s="664"/>
      <c r="I59" s="664"/>
      <c r="J59" s="664"/>
      <c r="K59" s="664"/>
      <c r="L59" s="664"/>
      <c r="M59" s="664"/>
      <c r="N59" s="664"/>
      <c r="O59" s="664"/>
    </row>
    <row r="60" spans="1:15">
      <c r="A60" s="665" t="s">
        <v>6</v>
      </c>
      <c r="B60" s="120">
        <v>1599</v>
      </c>
      <c r="C60" s="100"/>
      <c r="D60" s="100"/>
      <c r="E60" s="665" t="s">
        <v>6</v>
      </c>
      <c r="F60" s="379">
        <v>211</v>
      </c>
      <c r="G60" s="664"/>
      <c r="H60" s="664"/>
      <c r="I60" s="664"/>
      <c r="J60" s="664"/>
      <c r="K60" s="664"/>
      <c r="L60" s="664"/>
      <c r="M60" s="664"/>
      <c r="N60" s="664"/>
      <c r="O60" s="664"/>
    </row>
    <row r="61" spans="1:15">
      <c r="A61" s="665" t="s">
        <v>7</v>
      </c>
      <c r="B61" s="120">
        <v>5386</v>
      </c>
      <c r="C61" s="100"/>
      <c r="D61" s="100"/>
      <c r="E61" s="665" t="s">
        <v>7</v>
      </c>
      <c r="F61" s="379">
        <v>775</v>
      </c>
      <c r="G61" s="664"/>
      <c r="H61" s="664"/>
      <c r="I61" s="664"/>
      <c r="J61" s="664"/>
      <c r="K61" s="664"/>
      <c r="L61" s="664"/>
      <c r="M61" s="664"/>
      <c r="N61" s="664"/>
      <c r="O61" s="664"/>
    </row>
    <row r="62" spans="1:15">
      <c r="A62" s="665" t="s">
        <v>8</v>
      </c>
      <c r="B62" s="120">
        <v>307</v>
      </c>
      <c r="C62" s="100"/>
      <c r="D62" s="100"/>
      <c r="E62" s="665" t="s">
        <v>8</v>
      </c>
      <c r="F62" s="379">
        <v>17</v>
      </c>
      <c r="G62" s="664"/>
      <c r="H62" s="664"/>
      <c r="I62" s="664"/>
      <c r="J62" s="664"/>
      <c r="K62" s="664"/>
      <c r="L62" s="664"/>
      <c r="M62" s="664"/>
      <c r="N62" s="664"/>
      <c r="O62" s="664"/>
    </row>
    <row r="63" spans="1:15">
      <c r="A63" s="665" t="s">
        <v>9</v>
      </c>
      <c r="B63" s="120">
        <v>225</v>
      </c>
      <c r="C63" s="100"/>
      <c r="D63" s="100"/>
      <c r="E63" s="665" t="s">
        <v>9</v>
      </c>
      <c r="F63" s="379">
        <v>9</v>
      </c>
      <c r="G63" s="664"/>
      <c r="H63" s="664"/>
      <c r="I63" s="664"/>
      <c r="J63" s="664"/>
      <c r="K63" s="664"/>
      <c r="L63" s="664"/>
      <c r="M63" s="664"/>
      <c r="N63" s="664"/>
      <c r="O63" s="664"/>
    </row>
    <row r="64" spans="1:15">
      <c r="A64" s="665" t="s">
        <v>10</v>
      </c>
      <c r="B64" s="120">
        <v>2114</v>
      </c>
      <c r="C64" s="100"/>
      <c r="D64" s="100"/>
      <c r="E64" s="665" t="s">
        <v>10</v>
      </c>
      <c r="F64" s="379">
        <v>291</v>
      </c>
      <c r="G64" s="664"/>
      <c r="H64" s="664"/>
      <c r="I64" s="664"/>
      <c r="J64" s="664"/>
      <c r="K64" s="664"/>
      <c r="L64" s="664"/>
      <c r="M64" s="664"/>
      <c r="N64" s="664"/>
      <c r="O64" s="664"/>
    </row>
    <row r="65" spans="1:15">
      <c r="A65" s="665" t="s">
        <v>11</v>
      </c>
      <c r="B65" s="120">
        <v>372</v>
      </c>
      <c r="C65" s="100"/>
      <c r="D65" s="100"/>
      <c r="E65" s="665" t="s">
        <v>11</v>
      </c>
      <c r="F65" s="379">
        <v>45</v>
      </c>
      <c r="G65" s="664"/>
      <c r="H65" s="664"/>
      <c r="I65" s="664"/>
      <c r="J65" s="664"/>
      <c r="K65" s="664"/>
      <c r="L65" s="664"/>
      <c r="M65" s="664"/>
      <c r="N65" s="664"/>
      <c r="O65" s="664"/>
    </row>
    <row r="66" spans="1:15">
      <c r="A66" s="665" t="s">
        <v>12</v>
      </c>
      <c r="B66" s="120">
        <v>1806</v>
      </c>
      <c r="C66" s="100"/>
      <c r="D66" s="100"/>
      <c r="E66" s="665" t="s">
        <v>12</v>
      </c>
      <c r="F66" s="379">
        <v>202</v>
      </c>
      <c r="G66" s="664"/>
      <c r="H66" s="664"/>
      <c r="I66" s="666"/>
      <c r="J66" s="664"/>
      <c r="K66" s="664"/>
      <c r="L66" s="664"/>
      <c r="M66" s="664"/>
      <c r="N66" s="664"/>
      <c r="O66" s="664"/>
    </row>
    <row r="67" spans="1:15">
      <c r="A67" s="665" t="s">
        <v>13</v>
      </c>
      <c r="B67" s="120">
        <v>101</v>
      </c>
      <c r="C67" s="100"/>
      <c r="D67" s="100"/>
      <c r="E67" s="665" t="s">
        <v>13</v>
      </c>
      <c r="F67" s="379">
        <v>5</v>
      </c>
      <c r="G67" s="664"/>
      <c r="H67" s="664"/>
      <c r="I67" s="664"/>
      <c r="J67" s="664"/>
      <c r="K67" s="664"/>
      <c r="L67" s="664"/>
      <c r="M67" s="664"/>
      <c r="N67" s="664"/>
      <c r="O67" s="664"/>
    </row>
    <row r="68" spans="1:15">
      <c r="A68" s="665" t="s">
        <v>14</v>
      </c>
      <c r="B68" s="120">
        <v>1007</v>
      </c>
      <c r="C68" s="100"/>
      <c r="D68" s="100"/>
      <c r="E68" s="665" t="s">
        <v>14</v>
      </c>
      <c r="F68" s="379">
        <v>119</v>
      </c>
      <c r="G68" s="664"/>
      <c r="H68" s="664"/>
      <c r="I68" s="664"/>
      <c r="J68" s="664"/>
      <c r="K68" s="664"/>
      <c r="L68" s="664"/>
      <c r="M68" s="664"/>
      <c r="N68" s="664"/>
      <c r="O68" s="664"/>
    </row>
    <row r="69" spans="1:15">
      <c r="A69" s="665" t="s">
        <v>15</v>
      </c>
      <c r="B69" s="120">
        <v>460</v>
      </c>
      <c r="C69" s="100"/>
      <c r="D69" s="100"/>
      <c r="E69" s="665" t="s">
        <v>15</v>
      </c>
      <c r="F69" s="379">
        <v>48</v>
      </c>
      <c r="G69" s="664"/>
      <c r="H69" s="664"/>
      <c r="I69" s="664"/>
      <c r="J69" s="664"/>
      <c r="K69" s="664"/>
      <c r="L69" s="664"/>
      <c r="M69" s="664"/>
      <c r="N69" s="664"/>
      <c r="O69" s="664"/>
    </row>
    <row r="70" spans="1:15">
      <c r="A70" s="667" t="s">
        <v>16</v>
      </c>
      <c r="B70" s="121">
        <v>11705</v>
      </c>
      <c r="C70" s="100"/>
      <c r="D70" s="100"/>
      <c r="E70" s="667" t="s">
        <v>16</v>
      </c>
      <c r="F70" s="381">
        <v>1188</v>
      </c>
      <c r="G70" s="664"/>
      <c r="H70" s="664"/>
      <c r="I70" s="664"/>
      <c r="J70" s="664"/>
      <c r="K70" s="664"/>
      <c r="L70" s="664"/>
      <c r="M70" s="664"/>
      <c r="N70" s="664"/>
      <c r="O70" s="664"/>
    </row>
    <row r="71" spans="1:15">
      <c r="A71" s="665" t="s">
        <v>18</v>
      </c>
      <c r="B71" s="287">
        <v>30129</v>
      </c>
      <c r="C71" s="100"/>
      <c r="D71" s="100"/>
      <c r="E71" s="665" t="s">
        <v>18</v>
      </c>
      <c r="F71" s="668">
        <v>3480</v>
      </c>
      <c r="G71" s="664"/>
      <c r="H71" s="664"/>
      <c r="I71" s="664"/>
      <c r="J71" s="664"/>
      <c r="K71" s="664"/>
      <c r="L71" s="664"/>
      <c r="M71" s="664"/>
      <c r="N71" s="664"/>
      <c r="O71" s="664"/>
    </row>
    <row r="72" spans="1:15">
      <c r="A72" s="664"/>
      <c r="B72" s="664"/>
      <c r="C72" s="664"/>
      <c r="D72" s="664"/>
      <c r="E72" s="664"/>
      <c r="F72" s="664"/>
      <c r="G72" s="664"/>
      <c r="H72" s="664"/>
      <c r="I72" s="664"/>
      <c r="J72" s="664"/>
      <c r="K72" s="664"/>
      <c r="L72" s="664"/>
      <c r="M72" s="664"/>
      <c r="N72" s="664"/>
      <c r="O72" s="664"/>
    </row>
    <row r="73" spans="1:15">
      <c r="A73" s="664"/>
      <c r="B73" s="664"/>
      <c r="C73" s="664"/>
      <c r="D73" s="664"/>
      <c r="E73" s="664"/>
      <c r="F73" s="664"/>
      <c r="G73" s="664"/>
      <c r="H73" s="664"/>
      <c r="I73" s="664"/>
      <c r="J73" s="664"/>
      <c r="K73" s="664"/>
      <c r="L73" s="664"/>
      <c r="M73" s="664"/>
      <c r="N73" s="664"/>
      <c r="O73" s="664"/>
    </row>
    <row r="74" spans="1:15" ht="15.5">
      <c r="A74" s="9" t="s">
        <v>105</v>
      </c>
      <c r="B74" s="669"/>
      <c r="C74" s="669"/>
      <c r="D74" s="669"/>
      <c r="E74" s="669"/>
      <c r="F74" s="669"/>
      <c r="G74"/>
      <c r="H74" s="664"/>
      <c r="I74" s="664"/>
      <c r="J74" s="664"/>
      <c r="K74" s="664"/>
      <c r="L74" s="664"/>
      <c r="M74" s="664"/>
      <c r="N74" s="664"/>
      <c r="O74" s="664"/>
    </row>
    <row r="75" spans="1:15" ht="15" thickBot="1">
      <c r="A75" s="387" t="s">
        <v>343</v>
      </c>
      <c r="B75" s="127" t="s">
        <v>24</v>
      </c>
      <c r="C75" s="127" t="s">
        <v>25</v>
      </c>
      <c r="D75" s="127" t="s">
        <v>26</v>
      </c>
      <c r="E75" s="127" t="s">
        <v>27</v>
      </c>
      <c r="F75" s="127" t="s">
        <v>28</v>
      </c>
      <c r="G75" s="664"/>
      <c r="H75" s="664"/>
      <c r="I75" s="664"/>
      <c r="J75" s="664"/>
      <c r="K75" s="664"/>
      <c r="L75" s="100" t="s">
        <v>188</v>
      </c>
      <c r="M75" s="100"/>
      <c r="N75" s="100"/>
      <c r="O75" s="664"/>
    </row>
    <row r="76" spans="1:15" ht="15.5" thickTop="1" thickBot="1">
      <c r="A76" s="665" t="s">
        <v>1</v>
      </c>
      <c r="B76" s="384">
        <v>16</v>
      </c>
      <c r="C76" s="384">
        <v>285</v>
      </c>
      <c r="D76" s="384">
        <v>78</v>
      </c>
      <c r="E76" s="384">
        <v>48</v>
      </c>
      <c r="F76" s="384">
        <v>22</v>
      </c>
      <c r="G76" s="664"/>
      <c r="H76" s="664"/>
      <c r="I76" s="664"/>
      <c r="J76" s="664"/>
      <c r="K76" s="664"/>
      <c r="L76" s="128">
        <v>0</v>
      </c>
      <c r="M76" s="100"/>
      <c r="N76" s="100"/>
      <c r="O76" s="664"/>
    </row>
    <row r="77" spans="1:15" ht="15.5" thickTop="1" thickBot="1">
      <c r="A77" s="665" t="s">
        <v>2</v>
      </c>
      <c r="B77" s="384">
        <v>60</v>
      </c>
      <c r="C77" s="384">
        <v>645</v>
      </c>
      <c r="D77" s="384">
        <v>135</v>
      </c>
      <c r="E77" s="384">
        <v>81</v>
      </c>
      <c r="F77" s="384">
        <v>37</v>
      </c>
      <c r="G77" s="664"/>
      <c r="H77" s="664"/>
      <c r="I77" s="664"/>
      <c r="J77" s="664"/>
      <c r="K77" s="664"/>
      <c r="L77" s="128">
        <v>0</v>
      </c>
      <c r="M77" s="100"/>
      <c r="N77" s="100"/>
      <c r="O77" s="664"/>
    </row>
    <row r="78" spans="1:15" ht="15.5" thickTop="1" thickBot="1">
      <c r="A78" s="665" t="s">
        <v>3</v>
      </c>
      <c r="B78" s="384">
        <v>190</v>
      </c>
      <c r="C78" s="384">
        <v>1836</v>
      </c>
      <c r="D78" s="384">
        <v>318</v>
      </c>
      <c r="E78" s="384">
        <v>198</v>
      </c>
      <c r="F78" s="384">
        <v>61</v>
      </c>
      <c r="G78" s="664"/>
      <c r="H78" s="664"/>
      <c r="I78" s="664"/>
      <c r="J78" s="664"/>
      <c r="K78" s="664"/>
      <c r="L78" s="128">
        <v>0</v>
      </c>
      <c r="M78" s="100"/>
      <c r="N78" s="100"/>
      <c r="O78" s="664"/>
    </row>
    <row r="79" spans="1:15" ht="15.5" thickTop="1" thickBot="1">
      <c r="A79" s="665" t="s">
        <v>4</v>
      </c>
      <c r="B79" s="384">
        <v>39</v>
      </c>
      <c r="C79" s="384">
        <v>321</v>
      </c>
      <c r="D79" s="384">
        <v>91</v>
      </c>
      <c r="E79" s="384">
        <v>44</v>
      </c>
      <c r="F79" s="384">
        <v>31</v>
      </c>
      <c r="G79" s="664"/>
      <c r="H79" s="664"/>
      <c r="I79" s="664"/>
      <c r="J79" s="664"/>
      <c r="K79" s="664"/>
      <c r="L79" s="128">
        <v>0</v>
      </c>
      <c r="M79" s="100"/>
      <c r="N79" s="100"/>
      <c r="O79" s="664"/>
    </row>
    <row r="80" spans="1:15" ht="15.5" thickTop="1" thickBot="1">
      <c r="A80" s="665" t="s">
        <v>5</v>
      </c>
      <c r="B80" s="384">
        <v>33</v>
      </c>
      <c r="C80" s="384">
        <v>364</v>
      </c>
      <c r="D80" s="384">
        <v>54</v>
      </c>
      <c r="E80" s="384">
        <v>40</v>
      </c>
      <c r="F80" s="384">
        <v>20</v>
      </c>
      <c r="G80" s="664"/>
      <c r="H80" s="664"/>
      <c r="I80" s="664"/>
      <c r="J80" s="664"/>
      <c r="K80" s="664"/>
      <c r="L80" s="128">
        <v>0</v>
      </c>
      <c r="M80" s="100"/>
      <c r="N80" s="100"/>
      <c r="O80" s="664"/>
    </row>
    <row r="81" spans="1:15" ht="15.5" thickTop="1" thickBot="1">
      <c r="A81" s="665" t="s">
        <v>6</v>
      </c>
      <c r="B81" s="384">
        <v>123</v>
      </c>
      <c r="C81" s="384">
        <v>1122</v>
      </c>
      <c r="D81" s="384">
        <v>202</v>
      </c>
      <c r="E81" s="384">
        <v>106</v>
      </c>
      <c r="F81" s="384">
        <v>46</v>
      </c>
      <c r="G81" s="664"/>
      <c r="H81" s="664"/>
      <c r="I81" s="664"/>
      <c r="J81" s="664"/>
      <c r="K81" s="664"/>
      <c r="L81" s="128">
        <v>0</v>
      </c>
      <c r="M81" s="100"/>
      <c r="N81" s="100"/>
      <c r="O81" s="664"/>
    </row>
    <row r="82" spans="1:15" ht="15.5" thickTop="1" thickBot="1">
      <c r="A82" s="665" t="s">
        <v>7</v>
      </c>
      <c r="B82" s="384">
        <v>531</v>
      </c>
      <c r="C82" s="384">
        <v>4039</v>
      </c>
      <c r="D82" s="384">
        <v>503</v>
      </c>
      <c r="E82" s="384">
        <v>247</v>
      </c>
      <c r="F82" s="384">
        <v>66</v>
      </c>
      <c r="G82" s="664"/>
      <c r="H82" s="664"/>
      <c r="I82" s="664"/>
      <c r="J82" s="664"/>
      <c r="K82" s="664"/>
      <c r="L82" s="128">
        <v>0</v>
      </c>
      <c r="M82" s="100"/>
      <c r="N82" s="100"/>
      <c r="O82" s="664"/>
    </row>
    <row r="83" spans="1:15" ht="15.5" thickTop="1" thickBot="1">
      <c r="A83" s="665" t="s">
        <v>8</v>
      </c>
      <c r="B83" s="384">
        <v>17</v>
      </c>
      <c r="C83" s="384">
        <v>173</v>
      </c>
      <c r="D83" s="384">
        <v>58</v>
      </c>
      <c r="E83" s="384">
        <v>37</v>
      </c>
      <c r="F83" s="384">
        <v>22</v>
      </c>
      <c r="G83" s="664"/>
      <c r="H83" s="664"/>
      <c r="I83" s="664"/>
      <c r="J83" s="664"/>
      <c r="K83" s="664"/>
      <c r="L83" s="128">
        <v>0</v>
      </c>
      <c r="M83" s="100"/>
      <c r="N83" s="100"/>
      <c r="O83" s="664"/>
    </row>
    <row r="84" spans="1:15" ht="15.5" thickTop="1" thickBot="1">
      <c r="A84" s="665" t="s">
        <v>9</v>
      </c>
      <c r="B84" s="384">
        <v>1</v>
      </c>
      <c r="C84" s="384">
        <v>138</v>
      </c>
      <c r="D84" s="384">
        <v>43</v>
      </c>
      <c r="E84" s="384">
        <v>31</v>
      </c>
      <c r="F84" s="384">
        <v>12</v>
      </c>
      <c r="G84" s="664"/>
      <c r="H84" s="664"/>
      <c r="I84" s="664"/>
      <c r="J84" s="664"/>
      <c r="K84" s="664"/>
      <c r="L84" s="128">
        <v>0</v>
      </c>
      <c r="M84" s="100"/>
      <c r="N84" s="100"/>
      <c r="O84" s="664"/>
    </row>
    <row r="85" spans="1:15" ht="15.5" thickTop="1" thickBot="1">
      <c r="A85" s="665" t="s">
        <v>10</v>
      </c>
      <c r="B85" s="384">
        <v>212</v>
      </c>
      <c r="C85" s="384">
        <v>1517</v>
      </c>
      <c r="D85" s="384">
        <v>232</v>
      </c>
      <c r="E85" s="384">
        <v>120</v>
      </c>
      <c r="F85" s="384">
        <v>33</v>
      </c>
      <c r="G85" s="664"/>
      <c r="H85" s="664"/>
      <c r="I85" s="664"/>
      <c r="J85" s="664"/>
      <c r="K85" s="664"/>
      <c r="L85" s="128">
        <v>0</v>
      </c>
      <c r="M85" s="100"/>
      <c r="N85" s="100"/>
      <c r="O85" s="664"/>
    </row>
    <row r="86" spans="1:15" ht="15.5" thickTop="1" thickBot="1">
      <c r="A86" s="665" t="s">
        <v>11</v>
      </c>
      <c r="B86" s="384">
        <v>16</v>
      </c>
      <c r="C86" s="384">
        <v>254</v>
      </c>
      <c r="D86" s="384">
        <v>51</v>
      </c>
      <c r="E86" s="384">
        <v>39</v>
      </c>
      <c r="F86" s="384">
        <v>12</v>
      </c>
      <c r="G86" s="664"/>
      <c r="H86" s="664"/>
      <c r="I86" s="664"/>
      <c r="J86" s="664"/>
      <c r="K86" s="664"/>
      <c r="L86" s="128">
        <v>0</v>
      </c>
      <c r="M86" s="100"/>
      <c r="N86" s="100"/>
      <c r="O86" s="664"/>
    </row>
    <row r="87" spans="1:15" ht="15.5" thickTop="1" thickBot="1">
      <c r="A87" s="665" t="s">
        <v>12</v>
      </c>
      <c r="B87" s="384">
        <v>129</v>
      </c>
      <c r="C87" s="384">
        <v>1213</v>
      </c>
      <c r="D87" s="384">
        <v>258</v>
      </c>
      <c r="E87" s="384">
        <v>135</v>
      </c>
      <c r="F87" s="384">
        <v>71</v>
      </c>
      <c r="G87" s="664"/>
      <c r="H87" s="664"/>
      <c r="I87" s="664"/>
      <c r="J87" s="664"/>
      <c r="K87" s="664"/>
      <c r="L87" s="128">
        <v>0</v>
      </c>
      <c r="M87" s="100"/>
      <c r="N87" s="100"/>
      <c r="O87" s="664"/>
    </row>
    <row r="88" spans="1:15" ht="15.5" thickTop="1" thickBot="1">
      <c r="A88" s="665" t="s">
        <v>13</v>
      </c>
      <c r="B88" s="385">
        <v>6</v>
      </c>
      <c r="C88" s="384">
        <v>58</v>
      </c>
      <c r="D88" s="384">
        <v>17</v>
      </c>
      <c r="E88" s="384">
        <v>14</v>
      </c>
      <c r="F88" s="384">
        <v>6</v>
      </c>
      <c r="G88" s="664"/>
      <c r="H88" s="664"/>
      <c r="I88" s="664"/>
      <c r="J88" s="664"/>
      <c r="K88" s="664"/>
      <c r="L88" s="128">
        <v>0</v>
      </c>
      <c r="M88" s="100"/>
      <c r="N88" s="100"/>
      <c r="O88" s="664"/>
    </row>
    <row r="89" spans="1:15" ht="15.5" thickTop="1" thickBot="1">
      <c r="A89" s="665" t="s">
        <v>14</v>
      </c>
      <c r="B89" s="384">
        <v>57</v>
      </c>
      <c r="C89" s="384">
        <v>686</v>
      </c>
      <c r="D89" s="384">
        <v>161</v>
      </c>
      <c r="E89" s="384">
        <v>75</v>
      </c>
      <c r="F89" s="384">
        <v>28</v>
      </c>
      <c r="G89" s="664"/>
      <c r="H89" s="664"/>
      <c r="I89" s="664"/>
      <c r="J89" s="664"/>
      <c r="K89" s="664"/>
      <c r="L89" s="128">
        <v>0</v>
      </c>
      <c r="M89" s="100"/>
      <c r="N89" s="100"/>
      <c r="O89" s="664"/>
    </row>
    <row r="90" spans="1:15" ht="15.5" thickTop="1" thickBot="1">
      <c r="A90" s="665" t="s">
        <v>15</v>
      </c>
      <c r="B90" s="384">
        <v>37</v>
      </c>
      <c r="C90" s="384">
        <v>285</v>
      </c>
      <c r="D90" s="384">
        <v>67</v>
      </c>
      <c r="E90" s="384">
        <v>44</v>
      </c>
      <c r="F90" s="384">
        <v>27</v>
      </c>
      <c r="G90" s="664"/>
      <c r="H90" s="664"/>
      <c r="I90" s="664"/>
      <c r="J90" s="664"/>
      <c r="K90" s="664"/>
      <c r="L90" s="128">
        <v>0</v>
      </c>
      <c r="M90" s="100"/>
      <c r="N90" s="100"/>
      <c r="O90" s="664"/>
    </row>
    <row r="91" spans="1:15" ht="15.5" thickTop="1" thickBot="1">
      <c r="A91" s="667" t="s">
        <v>16</v>
      </c>
      <c r="B91" s="383">
        <v>709</v>
      </c>
      <c r="C91" s="383">
        <v>8086</v>
      </c>
      <c r="D91" s="383">
        <v>1586</v>
      </c>
      <c r="E91" s="383">
        <v>961</v>
      </c>
      <c r="F91" s="383">
        <v>363</v>
      </c>
      <c r="G91" s="664"/>
      <c r="H91" s="664"/>
      <c r="I91" s="664"/>
      <c r="J91" s="664"/>
      <c r="K91" s="664"/>
      <c r="L91" s="129">
        <v>0</v>
      </c>
      <c r="M91" s="100"/>
      <c r="N91" s="100"/>
      <c r="O91" s="664"/>
    </row>
    <row r="92" spans="1:15" ht="15.5" thickTop="1" thickBot="1">
      <c r="A92" s="665" t="s">
        <v>18</v>
      </c>
      <c r="B92" s="668">
        <v>2176</v>
      </c>
      <c r="C92" s="668">
        <v>21022</v>
      </c>
      <c r="D92" s="668">
        <v>3854</v>
      </c>
      <c r="E92" s="668">
        <v>2220</v>
      </c>
      <c r="F92" s="668">
        <v>857</v>
      </c>
      <c r="G92" s="664"/>
      <c r="H92" s="664"/>
      <c r="I92" s="664"/>
      <c r="J92" s="664"/>
      <c r="K92" s="670"/>
      <c r="L92" s="128">
        <v>0</v>
      </c>
      <c r="M92" s="128">
        <v>0</v>
      </c>
      <c r="N92" s="664"/>
      <c r="O92" s="671"/>
    </row>
    <row r="93" spans="1:15" ht="15" thickTop="1">
      <c r="A93" s="664"/>
      <c r="B93" s="664"/>
      <c r="C93" s="664"/>
      <c r="D93" s="664"/>
      <c r="E93" s="664"/>
      <c r="F93" s="664"/>
      <c r="G93" s="664"/>
      <c r="H93" s="664"/>
      <c r="I93" s="664"/>
      <c r="J93" s="664"/>
      <c r="K93" s="664"/>
      <c r="L93" s="664"/>
      <c r="M93" s="664"/>
      <c r="N93" s="664"/>
      <c r="O93" s="664"/>
    </row>
    <row r="94" spans="1:15">
      <c r="A94" s="664"/>
      <c r="B94" s="664"/>
      <c r="C94" s="664"/>
      <c r="D94" s="664"/>
      <c r="E94" s="664"/>
      <c r="F94" s="664"/>
      <c r="G94" s="664"/>
      <c r="H94" s="664"/>
      <c r="I94" s="664"/>
      <c r="J94" s="664"/>
      <c r="K94" s="664"/>
      <c r="L94" s="664"/>
      <c r="M94" s="664"/>
      <c r="N94" s="664"/>
      <c r="O94" s="664"/>
    </row>
    <row r="99" spans="12:13">
      <c r="M99" s="677"/>
    </row>
    <row r="100" spans="12:13">
      <c r="L100" s="677"/>
    </row>
    <row r="101" spans="12:13">
      <c r="L101" s="677"/>
    </row>
    <row r="102" spans="12:13">
      <c r="L102" s="677"/>
    </row>
    <row r="103" spans="12:13">
      <c r="L103" s="677"/>
    </row>
    <row r="104" spans="12:13">
      <c r="L104" s="677"/>
    </row>
    <row r="105" spans="12:13">
      <c r="L105" s="677"/>
    </row>
    <row r="106" spans="12:13">
      <c r="L106" s="677"/>
    </row>
    <row r="107" spans="12:13">
      <c r="L107" s="677"/>
    </row>
    <row r="108" spans="12:13">
      <c r="L108" s="677"/>
    </row>
    <row r="109" spans="12:13">
      <c r="L109" s="677"/>
    </row>
    <row r="110" spans="12:13">
      <c r="L110" s="677"/>
    </row>
    <row r="111" spans="12:13">
      <c r="L111" s="677"/>
    </row>
    <row r="112" spans="12:13">
      <c r="L112" s="677"/>
    </row>
    <row r="113" spans="12:12">
      <c r="L113" s="677"/>
    </row>
    <row r="114" spans="12:12">
      <c r="L114" s="677"/>
    </row>
    <row r="115" spans="12:12">
      <c r="L115" s="677"/>
    </row>
    <row r="116" spans="12:12">
      <c r="L116" s="677"/>
    </row>
    <row r="117" spans="12:12">
      <c r="L117" s="677"/>
    </row>
    <row r="118" spans="12:12">
      <c r="L118" s="677"/>
    </row>
    <row r="119" spans="12:12">
      <c r="L119" s="677"/>
    </row>
    <row r="120" spans="12:12">
      <c r="L120" s="677"/>
    </row>
    <row r="121" spans="12:12">
      <c r="L121" s="677"/>
    </row>
    <row r="122" spans="12:12">
      <c r="L122" s="677"/>
    </row>
    <row r="123" spans="12:12">
      <c r="L123" s="677"/>
    </row>
    <row r="124" spans="12:12">
      <c r="L124" s="677"/>
    </row>
    <row r="125" spans="12:12">
      <c r="L125" s="677"/>
    </row>
    <row r="126" spans="12:12">
      <c r="L126" s="677"/>
    </row>
    <row r="127" spans="12:12">
      <c r="L127" s="677"/>
    </row>
  </sheetData>
  <hyperlinks>
    <hyperlink ref="A2" r:id="rId1" xr:uid="{00000000-0004-0000-1100-000000000000}"/>
  </hyperlinks>
  <pageMargins left="0.7" right="0.7" top="0.75" bottom="0.75" header="0.3" footer="0.3"/>
  <pageSetup paperSize="9" orientation="landscape" r:id="rId2"/>
  <rowBreaks count="1" manualBreakCount="1">
    <brk id="24"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498D-0E4F-4DB0-8B4D-01CDA7D0F239}">
  <dimension ref="A1"/>
  <sheetViews>
    <sheetView topLeftCell="A19" workbookViewId="0">
      <selection activeCell="L50" sqref="L50"/>
    </sheetView>
  </sheetViews>
  <sheetFormatPr defaultRowHeight="15.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46081" r:id="rId4">
          <objectPr defaultSize="0" r:id="rId5">
            <anchor moveWithCells="1">
              <from>
                <xdr:col>5</xdr:col>
                <xdr:colOff>0</xdr:colOff>
                <xdr:row>4</xdr:row>
                <xdr:rowOff>0</xdr:rowOff>
              </from>
              <to>
                <xdr:col>12</xdr:col>
                <xdr:colOff>336550</xdr:colOff>
                <xdr:row>46</xdr:row>
                <xdr:rowOff>19050</xdr:rowOff>
              </to>
            </anchor>
          </objectPr>
        </oleObject>
      </mc:Choice>
      <mc:Fallback>
        <oleObject progId="Acrobat Document" shapeId="46081"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43617-D657-4F9D-8815-029AF1640DC2}">
  <dimension ref="A1"/>
  <sheetViews>
    <sheetView topLeftCell="A19" workbookViewId="0">
      <selection activeCell="K21" sqref="K21"/>
    </sheetView>
  </sheetViews>
  <sheetFormatPr defaultRowHeight="15.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pdfxml.1" shapeId="47105" r:id="rId4">
          <objectPr defaultSize="0" r:id="rId5">
            <anchor moveWithCells="1">
              <from>
                <xdr:col>3</xdr:col>
                <xdr:colOff>0</xdr:colOff>
                <xdr:row>7</xdr:row>
                <xdr:rowOff>0</xdr:rowOff>
              </from>
              <to>
                <xdr:col>10</xdr:col>
                <xdr:colOff>336550</xdr:colOff>
                <xdr:row>49</xdr:row>
                <xdr:rowOff>19050</xdr:rowOff>
              </to>
            </anchor>
          </objectPr>
        </oleObject>
      </mc:Choice>
      <mc:Fallback>
        <oleObject progId="AcroExch.pdfxml.1" shapeId="4710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0BA1661C58884CB9F040C8471AD7CF" ma:contentTypeVersion="2" ma:contentTypeDescription="Create a new document." ma:contentTypeScope="" ma:versionID="02628008777be9a84ddbd5a7f669103a">
  <xsd:schema xmlns:xsd="http://www.w3.org/2001/XMLSchema" xmlns:xs="http://www.w3.org/2001/XMLSchema" xmlns:p="http://schemas.microsoft.com/office/2006/metadata/properties" xmlns:ns2="98f5c61d-4632-4f24-a4f6-4f90282e60ff" targetNamespace="http://schemas.microsoft.com/office/2006/metadata/properties" ma:root="true" ma:fieldsID="a6560c6f5aaa081b03911b3a77d1dcb6" ns2:_="">
    <xsd:import namespace="98f5c61d-4632-4f24-a4f6-4f90282e60f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5c61d-4632-4f24-a4f6-4f90282e6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175048-F24B-49AD-BB88-A29671497D62}">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98f5c61d-4632-4f24-a4f6-4f90282e60ff"/>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B121DDC-9734-4EAC-9CFA-86A21E7BC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5c61d-4632-4f24-a4f6-4f90282e6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67B1BE-C225-4013-A077-9F3F933846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19</vt:i4>
      </vt:variant>
    </vt:vector>
  </HeadingPairs>
  <TitlesOfParts>
    <vt:vector size="45" baseType="lpstr">
      <vt:lpstr>Versioner</vt:lpstr>
      <vt:lpstr>Överföringar totalt</vt:lpstr>
      <vt:lpstr>Lsandelar totalt</vt:lpstr>
      <vt:lpstr>Kompensationer år 2023</vt:lpstr>
      <vt:lpstr>Statistik</vt:lpstr>
      <vt:lpstr>Olika tabeller</vt:lpstr>
      <vt:lpstr>Lsandelar jmf</vt:lpstr>
      <vt:lpstr>Övergång</vt:lpstr>
      <vt:lpstr>Skattekomplettering</vt:lpstr>
      <vt:lpstr>Skattekompl data</vt:lpstr>
      <vt:lpstr>Basbelopp</vt:lpstr>
      <vt:lpstr>Skola, STR &amp; Spcfr</vt:lpstr>
      <vt:lpstr>Skola data</vt:lpstr>
      <vt:lpstr>STR</vt:lpstr>
      <vt:lpstr>Förb</vt:lpstr>
      <vt:lpstr>Grvux</vt:lpstr>
      <vt:lpstr>Specialfritids</vt:lpstr>
      <vt:lpstr>Barnomsorg</vt:lpstr>
      <vt:lpstr>Sociala</vt:lpstr>
      <vt:lpstr>Socvård+barnomsorg data</vt:lpstr>
      <vt:lpstr>Soctjänst data</vt:lpstr>
      <vt:lpstr>Kultur&amp;Medis</vt:lpstr>
      <vt:lpstr>K&amp;M data</vt:lpstr>
      <vt:lpstr>Invånare</vt:lpstr>
      <vt:lpstr>Basbeloppsberäkning </vt:lpstr>
      <vt:lpstr>Index-beskrivning</vt:lpstr>
      <vt:lpstr>Barnomsorg!Utskriftsområde</vt:lpstr>
      <vt:lpstr>Basbelopp!Utskriftsområde</vt:lpstr>
      <vt:lpstr>Förb!Utskriftsområde</vt:lpstr>
      <vt:lpstr>Grvux!Utskriftsområde</vt:lpstr>
      <vt:lpstr>Invånare!Utskriftsområde</vt:lpstr>
      <vt:lpstr>'K&amp;M data'!Utskriftsområde</vt:lpstr>
      <vt:lpstr>'Kultur&amp;Medis'!Utskriftsområde</vt:lpstr>
      <vt:lpstr>'Lsandelar jmf'!Utskriftsområde</vt:lpstr>
      <vt:lpstr>'Lsandelar totalt'!Utskriftsområde</vt:lpstr>
      <vt:lpstr>'Skattekompl data'!Utskriftsområde</vt:lpstr>
      <vt:lpstr>Skattekomplettering!Utskriftsområde</vt:lpstr>
      <vt:lpstr>'Skola data'!Utskriftsområde</vt:lpstr>
      <vt:lpstr>'Skola, STR &amp; Spcfr'!Utskriftsområde</vt:lpstr>
      <vt:lpstr>Sociala!Utskriftsområde</vt:lpstr>
      <vt:lpstr>'Socvård+barnomsorg data'!Utskriftsområde</vt:lpstr>
      <vt:lpstr>Specialfritids!Utskriftsområde</vt:lpstr>
      <vt:lpstr>STR!Utskriftsområde</vt:lpstr>
      <vt:lpstr>'Överföringar totalt'!Utskriftsområde</vt:lpstr>
      <vt:lpstr>Övergång!Utskriftsområde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Windows-användare</dc:creator>
  <cp:lastModifiedBy>Theresia Sjöberg</cp:lastModifiedBy>
  <cp:lastPrinted>2019-09-12T07:31:38Z</cp:lastPrinted>
  <dcterms:created xsi:type="dcterms:W3CDTF">2016-05-23T17:57:47Z</dcterms:created>
  <dcterms:modified xsi:type="dcterms:W3CDTF">2023-01-26T07:47:42Z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0x010100B50BA1661C58884CB9F040C8471AD7CF</vt:lpwstr>
  </property>
</Properties>
</file>