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7.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8.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9.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0.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2.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harts/chart13.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38.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3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40.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41.xml" ContentType="application/vnd.openxmlformats-officedocument.drawing+xml"/>
  <Override PartName="/xl/charts/chart2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945" windowWidth="24240" windowHeight="13605" tabRatio="663" firstSheet="2" activeTab="5"/>
  </bookViews>
  <sheets>
    <sheet name="A. Test olika avdrag" sheetId="24" state="hidden" r:id="rId1"/>
    <sheet name="Inledande förklaringar" sheetId="12" state="hidden" r:id="rId2"/>
    <sheet name="Data, inkomst- skkompl, kost" sheetId="17" r:id="rId3"/>
    <sheet name="provräknignar invkm2" sheetId="46" r:id="rId4"/>
    <sheet name="C3. Förslag, socialvård (2015)" sheetId="38" r:id="rId5"/>
    <sheet name="Kontrollpanel" sheetId="35" r:id="rId6"/>
    <sheet name="2. Kostnadsutj. skola (2013)" sheetId="6" state="hidden" r:id="rId7"/>
    <sheet name="B2. Kostnadsutj. skola (2014)" sheetId="28" state="hidden" r:id="rId8"/>
    <sheet name="C2. Kostnadsutj. skola (2015)" sheetId="37" state="hidden" r:id="rId9"/>
    <sheet name="4. Förslag, utjämning (2013)" sheetId="4" state="hidden" r:id="rId10"/>
    <sheet name="B4. Förslag, utjämning (2014)" sheetId="30" state="hidden" r:id="rId11"/>
    <sheet name="B. NYCKELMOD. UTJ (2014)" sheetId="44" state="hidden" r:id="rId12"/>
    <sheet name="C4. Förslag, utjämning (2015)" sheetId="39" state="hidden" r:id="rId13"/>
    <sheet name="C6. Övriga delar (2015)" sheetId="41" state="hidden" r:id="rId14"/>
    <sheet name="1. Skattekomplettering (2013)" sheetId="25" state="hidden" r:id="rId15"/>
    <sheet name="B3. Förslag, socialvård (2014)" sheetId="29" state="hidden" r:id="rId16"/>
    <sheet name="3. Förslag, socialvård (2013)" sheetId="1" state="hidden" r:id="rId17"/>
    <sheet name="Kalkyler" sheetId="27" state="hidden" r:id="rId18"/>
    <sheet name="C7. HELHET (2015)" sheetId="42" state="hidden" r:id="rId19"/>
    <sheet name="C1. Skattekomplettering (2015)" sheetId="34" state="hidden" r:id="rId20"/>
    <sheet name="B6. Övriga delar (2014)" sheetId="32" state="hidden" r:id="rId21"/>
    <sheet name="6. Övriga delar" sheetId="23" state="hidden" r:id="rId22"/>
    <sheet name="Jämförelser" sheetId="49" state="hidden" r:id="rId23"/>
    <sheet name="D1. Skattekomplettering (2016)" sheetId="48" state="hidden" r:id="rId24"/>
    <sheet name="5. Skärgårdstillägg" sheetId="16" r:id="rId25"/>
    <sheet name="B5. Skärgårdstillägg (2014)" sheetId="31" r:id="rId26"/>
    <sheet name="C5. Skärgårdstillägg (2015)" sheetId="40" r:id="rId27"/>
    <sheet name="B7. HELHET (2014)" sheetId="33" state="hidden" r:id="rId28"/>
    <sheet name="äldre version, skattko(2013)" sheetId="15" state="hidden" r:id="rId29"/>
    <sheet name="Kostnadsutj. skola (2012)" sheetId="7" state="hidden" r:id="rId30"/>
    <sheet name="Kostnadsutj. skola (2011)" sheetId="8" state="hidden" r:id="rId31"/>
    <sheet name="A. NYCKELMOD. UTJ (2013)" sheetId="43" state="hidden" r:id="rId32"/>
    <sheet name="C. NYCKELMOD. UTJ (2015)" sheetId="45" state="hidden" r:id="rId33"/>
    <sheet name="Regression, skola" sheetId="10" state="hidden" r:id="rId34"/>
    <sheet name="Basbelopp, Skola" sheetId="11" state="hidden" r:id="rId35"/>
    <sheet name="A7. HELHET (2013)" sheetId="13" state="hidden" r:id="rId36"/>
    <sheet name="Inv. antal o prognos" sheetId="3" state="hidden" r:id="rId37"/>
    <sheet name="BASbelopp Social" sheetId="5" state="hidden" r:id="rId38"/>
    <sheet name="8. Regression, tot. soc.vård" sheetId="20" state="hidden" r:id="rId39"/>
    <sheet name="9. Regression. Soc, äldre, barn" sheetId="21" state="hidden" r:id="rId40"/>
    <sheet name="13. Regression. Soc, äld(SKä)" sheetId="47" state="hidden" r:id="rId41"/>
    <sheet name="10 Regr. SKOLA utan trän.und" sheetId="22" state="hidden" r:id="rId42"/>
    <sheet name="12. Regression Kost, kultur" sheetId="26" state="hidden" r:id="rId43"/>
  </sheets>
  <externalReferences>
    <externalReference r:id="rId44"/>
    <externalReference r:id="rId45"/>
  </externalReferences>
  <definedNames>
    <definedName name="Minskning" localSheetId="41">#REF!</definedName>
    <definedName name="Minskning" localSheetId="40">#REF!</definedName>
    <definedName name="Minskning" localSheetId="6">#REF!</definedName>
    <definedName name="Minskning" localSheetId="16">#REF!</definedName>
    <definedName name="Minskning" localSheetId="9">#REF!</definedName>
    <definedName name="Minskning" localSheetId="24">#REF!</definedName>
    <definedName name="Minskning" localSheetId="39">#REF!</definedName>
    <definedName name="Minskning" localSheetId="31">#REF!</definedName>
    <definedName name="Minskning" localSheetId="11">#REF!</definedName>
    <definedName name="Minskning" localSheetId="7">#REF!</definedName>
    <definedName name="Minskning" localSheetId="15">#REF!</definedName>
    <definedName name="Minskning" localSheetId="10">#REF!</definedName>
    <definedName name="Minskning" localSheetId="25">#REF!</definedName>
    <definedName name="Minskning" localSheetId="20">#REF!</definedName>
    <definedName name="Minskning" localSheetId="27">#REF!</definedName>
    <definedName name="Minskning" localSheetId="37">#REF!</definedName>
    <definedName name="Minskning" localSheetId="32">#REF!</definedName>
    <definedName name="Minskning" localSheetId="19">#REF!</definedName>
    <definedName name="Minskning" localSheetId="8">#REF!</definedName>
    <definedName name="Minskning" localSheetId="4">#REF!</definedName>
    <definedName name="Minskning" localSheetId="12">#REF!</definedName>
    <definedName name="Minskning" localSheetId="26">#REF!</definedName>
    <definedName name="Minskning" localSheetId="13">#REF!</definedName>
    <definedName name="Minskning" localSheetId="18">#REF!</definedName>
    <definedName name="Minskning" localSheetId="23">#REF!</definedName>
    <definedName name="Minskning" localSheetId="17">#REF!</definedName>
    <definedName name="Minskning" localSheetId="30">#REF!</definedName>
    <definedName name="Minskning" localSheetId="29">#REF!</definedName>
    <definedName name="Minskning" localSheetId="3">#REF!</definedName>
    <definedName name="Minskning" localSheetId="28">#REF!</definedName>
    <definedName name="Minskning">#REF!</definedName>
  </definedNames>
  <calcPr calcId="145621"/>
</workbook>
</file>

<file path=xl/calcChain.xml><?xml version="1.0" encoding="utf-8"?>
<calcChain xmlns="http://schemas.openxmlformats.org/spreadsheetml/2006/main">
  <c r="G7" i="29" l="1"/>
  <c r="E56" i="29" l="1"/>
  <c r="F56" i="29"/>
  <c r="G56" i="29"/>
  <c r="H56" i="29"/>
  <c r="I56" i="29"/>
  <c r="J56" i="29"/>
  <c r="K56" i="29"/>
  <c r="L56" i="29"/>
  <c r="M56" i="29"/>
  <c r="N56" i="29"/>
  <c r="O56" i="29"/>
  <c r="P56" i="29"/>
  <c r="Q56" i="29"/>
  <c r="R56" i="29"/>
  <c r="S56" i="29"/>
  <c r="E57" i="29"/>
  <c r="F57" i="29"/>
  <c r="G57" i="29"/>
  <c r="H57" i="29"/>
  <c r="I57" i="29"/>
  <c r="J57" i="29"/>
  <c r="K57" i="29"/>
  <c r="L57" i="29"/>
  <c r="M57" i="29"/>
  <c r="N57" i="29"/>
  <c r="O57" i="29"/>
  <c r="P57" i="29"/>
  <c r="Q57" i="29"/>
  <c r="R57" i="29"/>
  <c r="S57" i="29"/>
  <c r="E58" i="29"/>
  <c r="F58" i="29"/>
  <c r="G58" i="29"/>
  <c r="H58" i="29"/>
  <c r="I58" i="29"/>
  <c r="J58" i="29"/>
  <c r="K58" i="29"/>
  <c r="L58" i="29"/>
  <c r="M58" i="29"/>
  <c r="N58" i="29"/>
  <c r="O58" i="29"/>
  <c r="P58" i="29"/>
  <c r="Q58" i="29"/>
  <c r="R58" i="29"/>
  <c r="S58" i="29"/>
  <c r="E59" i="29"/>
  <c r="F59" i="29"/>
  <c r="G59" i="29"/>
  <c r="H59" i="29"/>
  <c r="I59" i="29"/>
  <c r="J59" i="29"/>
  <c r="K59" i="29"/>
  <c r="L59" i="29"/>
  <c r="M59" i="29"/>
  <c r="N59" i="29"/>
  <c r="O59" i="29"/>
  <c r="P59" i="29"/>
  <c r="Q59" i="29"/>
  <c r="R59" i="29"/>
  <c r="S59" i="29"/>
  <c r="E60" i="29"/>
  <c r="F60" i="29"/>
  <c r="G60" i="29"/>
  <c r="H60" i="29"/>
  <c r="I60" i="29"/>
  <c r="J60" i="29"/>
  <c r="K60" i="29"/>
  <c r="L60" i="29"/>
  <c r="M60" i="29"/>
  <c r="N60" i="29"/>
  <c r="O60" i="29"/>
  <c r="P60" i="29"/>
  <c r="Q60" i="29"/>
  <c r="R60" i="29"/>
  <c r="S60" i="29"/>
  <c r="D57" i="29"/>
  <c r="D58" i="29"/>
  <c r="D59" i="29"/>
  <c r="D60" i="29"/>
  <c r="D56" i="29"/>
  <c r="G55" i="48" l="1"/>
  <c r="AJ27" i="48"/>
  <c r="AJ28" i="48"/>
  <c r="AJ29" i="48"/>
  <c r="AJ30" i="48"/>
  <c r="AJ31" i="48"/>
  <c r="AJ32" i="48"/>
  <c r="AJ33" i="48"/>
  <c r="AJ34" i="48"/>
  <c r="AJ35" i="48"/>
  <c r="AJ36" i="48"/>
  <c r="AJ37" i="48"/>
  <c r="AJ38" i="48"/>
  <c r="AJ39" i="48"/>
  <c r="AJ40" i="48"/>
  <c r="AJ41" i="48"/>
  <c r="AJ42" i="48"/>
  <c r="AJ26" i="48"/>
  <c r="G56" i="48"/>
  <c r="E6" i="49" l="1"/>
  <c r="E7" i="49"/>
  <c r="E8" i="49"/>
  <c r="E9" i="49"/>
  <c r="E10" i="49"/>
  <c r="E11" i="49"/>
  <c r="E12" i="49"/>
  <c r="E13" i="49"/>
  <c r="E14" i="49"/>
  <c r="E15" i="49"/>
  <c r="E16" i="49"/>
  <c r="E17" i="49"/>
  <c r="E18" i="49"/>
  <c r="E19" i="49"/>
  <c r="E20" i="49"/>
  <c r="E21" i="49"/>
  <c r="E5" i="49"/>
  <c r="M6" i="49" l="1"/>
  <c r="M7" i="49"/>
  <c r="M8" i="49"/>
  <c r="M9" i="49"/>
  <c r="M10" i="49"/>
  <c r="M11" i="49"/>
  <c r="M12" i="49"/>
  <c r="M13" i="49"/>
  <c r="M14" i="49"/>
  <c r="M15" i="49"/>
  <c r="M16" i="49"/>
  <c r="M17" i="49"/>
  <c r="M18" i="49"/>
  <c r="M19" i="49"/>
  <c r="M20" i="49"/>
  <c r="M21" i="49"/>
  <c r="M5" i="49"/>
  <c r="A21" i="49"/>
  <c r="D63" i="49"/>
  <c r="D62" i="49"/>
  <c r="D61" i="49"/>
  <c r="D60" i="49"/>
  <c r="D59" i="49"/>
  <c r="D58" i="49"/>
  <c r="D57" i="49"/>
  <c r="D56" i="49"/>
  <c r="D55" i="49"/>
  <c r="D54" i="49"/>
  <c r="D53" i="49"/>
  <c r="D52" i="49"/>
  <c r="D51" i="49"/>
  <c r="D50" i="49"/>
  <c r="D49" i="49"/>
  <c r="D48" i="49"/>
  <c r="D47" i="49"/>
  <c r="G27" i="49"/>
  <c r="G28" i="49"/>
  <c r="G29" i="49"/>
  <c r="G30" i="49"/>
  <c r="G31" i="49"/>
  <c r="G32" i="49"/>
  <c r="G33" i="49"/>
  <c r="G34" i="49"/>
  <c r="G35" i="49"/>
  <c r="G36" i="49"/>
  <c r="G37" i="49"/>
  <c r="G38" i="49"/>
  <c r="G39" i="49"/>
  <c r="G40" i="49"/>
  <c r="G41" i="49"/>
  <c r="G42" i="49"/>
  <c r="G26" i="49"/>
  <c r="G21" i="49"/>
  <c r="G20" i="49"/>
  <c r="G19" i="49"/>
  <c r="G18" i="49"/>
  <c r="G17" i="49"/>
  <c r="G16" i="49"/>
  <c r="G15" i="49"/>
  <c r="G14" i="49"/>
  <c r="G13" i="49"/>
  <c r="G12" i="49"/>
  <c r="G11" i="49"/>
  <c r="G10" i="49"/>
  <c r="G9" i="49"/>
  <c r="G8" i="49"/>
  <c r="G7" i="49"/>
  <c r="G6" i="49"/>
  <c r="G5" i="49"/>
  <c r="I15" i="49"/>
  <c r="D40" i="49"/>
  <c r="D20" i="49"/>
  <c r="D41" i="49" s="1"/>
  <c r="D19" i="49"/>
  <c r="I19" i="49" s="1"/>
  <c r="D18" i="49"/>
  <c r="I18" i="49" s="1"/>
  <c r="D17" i="49"/>
  <c r="I17" i="49" s="1"/>
  <c r="D16" i="49"/>
  <c r="D37" i="49" s="1"/>
  <c r="D15" i="49"/>
  <c r="D36" i="49" s="1"/>
  <c r="D14" i="49"/>
  <c r="I14" i="49" s="1"/>
  <c r="D13" i="49"/>
  <c r="I13" i="49" s="1"/>
  <c r="D12" i="49"/>
  <c r="D33" i="49" s="1"/>
  <c r="D11" i="49"/>
  <c r="I11" i="49" s="1"/>
  <c r="D10" i="49"/>
  <c r="I10" i="49" s="1"/>
  <c r="D9" i="49"/>
  <c r="I9" i="49" s="1"/>
  <c r="D8" i="49"/>
  <c r="D29" i="49" s="1"/>
  <c r="D7" i="49"/>
  <c r="I7" i="49" s="1"/>
  <c r="D6" i="49"/>
  <c r="I6" i="49" s="1"/>
  <c r="D5" i="49"/>
  <c r="I5" i="49" s="1"/>
  <c r="D32" i="49" l="1"/>
  <c r="D39" i="49"/>
  <c r="D31" i="49"/>
  <c r="D28" i="49"/>
  <c r="D35" i="49"/>
  <c r="D27" i="49"/>
  <c r="I20" i="49"/>
  <c r="I12" i="49"/>
  <c r="I8" i="49"/>
  <c r="D38" i="49"/>
  <c r="D34" i="49"/>
  <c r="D30" i="49"/>
  <c r="D26" i="49"/>
  <c r="I16" i="49"/>
  <c r="D21" i="49"/>
  <c r="I21" i="49" l="1"/>
  <c r="D42" i="49"/>
  <c r="AE29" i="48" l="1"/>
  <c r="AE33" i="48"/>
  <c r="AE37" i="48"/>
  <c r="AE41" i="48"/>
  <c r="H42" i="34"/>
  <c r="AB41" i="48"/>
  <c r="W97" i="17"/>
  <c r="W98" i="17"/>
  <c r="W99" i="17"/>
  <c r="W100" i="17"/>
  <c r="W101" i="17"/>
  <c r="W102" i="17"/>
  <c r="W103" i="17"/>
  <c r="W104" i="17"/>
  <c r="W105" i="17"/>
  <c r="W106" i="17"/>
  <c r="W107" i="17"/>
  <c r="W108" i="17"/>
  <c r="W109" i="17"/>
  <c r="W110" i="17"/>
  <c r="W111" i="17"/>
  <c r="W112" i="17"/>
  <c r="W113" i="17"/>
  <c r="V97" i="17"/>
  <c r="X26" i="34"/>
  <c r="Y26" i="48"/>
  <c r="AF26" i="48" s="1"/>
  <c r="Z26" i="48"/>
  <c r="AA26" i="48"/>
  <c r="AB26" i="48"/>
  <c r="Y27" i="48"/>
  <c r="AF27" i="48" s="1"/>
  <c r="Z27" i="48"/>
  <c r="AA27" i="48"/>
  <c r="AB27" i="48"/>
  <c r="Y28" i="48"/>
  <c r="AF28" i="48" s="1"/>
  <c r="Z28" i="48"/>
  <c r="AA28" i="48"/>
  <c r="AB28" i="48"/>
  <c r="Y29" i="48"/>
  <c r="AF29" i="48" s="1"/>
  <c r="Z29" i="48"/>
  <c r="AA29" i="48"/>
  <c r="AB29" i="48"/>
  <c r="Y30" i="48"/>
  <c r="AF30" i="48" s="1"/>
  <c r="Z30" i="48"/>
  <c r="AA30" i="48"/>
  <c r="AB30" i="48"/>
  <c r="Y31" i="48"/>
  <c r="AF31" i="48" s="1"/>
  <c r="Z31" i="48"/>
  <c r="AA31" i="48"/>
  <c r="AB31" i="48"/>
  <c r="Y32" i="48"/>
  <c r="AF32" i="48" s="1"/>
  <c r="Z32" i="48"/>
  <c r="AA32" i="48"/>
  <c r="AB32" i="48"/>
  <c r="Y33" i="48"/>
  <c r="AF33" i="48" s="1"/>
  <c r="Z33" i="48"/>
  <c r="AA33" i="48"/>
  <c r="AB33" i="48"/>
  <c r="Y34" i="48"/>
  <c r="AF34" i="48" s="1"/>
  <c r="Z34" i="48"/>
  <c r="AA34" i="48"/>
  <c r="AB34" i="48"/>
  <c r="Y35" i="48"/>
  <c r="AF35" i="48" s="1"/>
  <c r="Z35" i="48"/>
  <c r="AA35" i="48"/>
  <c r="AB35" i="48"/>
  <c r="Y36" i="48"/>
  <c r="AF36" i="48" s="1"/>
  <c r="Z36" i="48"/>
  <c r="AA36" i="48"/>
  <c r="AB36" i="48"/>
  <c r="Y37" i="48"/>
  <c r="AF37" i="48" s="1"/>
  <c r="Z37" i="48"/>
  <c r="AA37" i="48"/>
  <c r="AB37" i="48"/>
  <c r="Y38" i="48"/>
  <c r="AF38" i="48" s="1"/>
  <c r="Z38" i="48"/>
  <c r="AA38" i="48"/>
  <c r="AB38" i="48"/>
  <c r="Y39" i="48"/>
  <c r="AF39" i="48" s="1"/>
  <c r="Z39" i="48"/>
  <c r="AA39" i="48"/>
  <c r="AB39" i="48"/>
  <c r="Y40" i="48"/>
  <c r="AF40" i="48" s="1"/>
  <c r="Z40" i="48"/>
  <c r="AA40" i="48"/>
  <c r="AB40" i="48"/>
  <c r="Y41" i="48"/>
  <c r="AF41" i="48" s="1"/>
  <c r="Z41" i="48"/>
  <c r="AA41" i="48"/>
  <c r="Y42" i="48"/>
  <c r="AF42" i="48" s="1"/>
  <c r="Z42" i="48"/>
  <c r="AA42" i="48"/>
  <c r="AB42" i="48"/>
  <c r="X27" i="48"/>
  <c r="AE27" i="48" s="1"/>
  <c r="X28" i="48"/>
  <c r="AE28" i="48" s="1"/>
  <c r="X29" i="48"/>
  <c r="X30" i="48"/>
  <c r="AE30" i="48" s="1"/>
  <c r="X31" i="48"/>
  <c r="AE31" i="48" s="1"/>
  <c r="X32" i="48"/>
  <c r="AE32" i="48" s="1"/>
  <c r="X33" i="48"/>
  <c r="X34" i="48"/>
  <c r="AE34" i="48" s="1"/>
  <c r="X35" i="48"/>
  <c r="AE35" i="48" s="1"/>
  <c r="X36" i="48"/>
  <c r="AE36" i="48" s="1"/>
  <c r="X37" i="48"/>
  <c r="X38" i="48"/>
  <c r="AE38" i="48" s="1"/>
  <c r="X39" i="48"/>
  <c r="AE39" i="48" s="1"/>
  <c r="X40" i="48"/>
  <c r="AE40" i="48" s="1"/>
  <c r="X41" i="48"/>
  <c r="X42" i="48"/>
  <c r="AE42" i="48" s="1"/>
  <c r="X26" i="48"/>
  <c r="AE26" i="48" s="1"/>
  <c r="Y88" i="17"/>
  <c r="AI48" i="48" l="1"/>
  <c r="U48" i="48"/>
  <c r="AI46" i="48"/>
  <c r="AG46" i="48"/>
  <c r="G46" i="48"/>
  <c r="G47" i="48" s="1"/>
  <c r="AH43" i="48"/>
  <c r="AG43" i="48"/>
  <c r="AF43" i="48"/>
  <c r="AH42" i="48"/>
  <c r="AG42" i="48"/>
  <c r="P42" i="48"/>
  <c r="G52" i="48" s="1"/>
  <c r="H42" i="48"/>
  <c r="AI41" i="48"/>
  <c r="AH41" i="48"/>
  <c r="AG41" i="48"/>
  <c r="P41" i="48"/>
  <c r="H41" i="48"/>
  <c r="AI40" i="48"/>
  <c r="AH40" i="48"/>
  <c r="AG40" i="48"/>
  <c r="P40" i="48"/>
  <c r="H40" i="48"/>
  <c r="AH39" i="48"/>
  <c r="AI39" i="48"/>
  <c r="AG39" i="48"/>
  <c r="P39" i="48"/>
  <c r="H39" i="48"/>
  <c r="AI38" i="48"/>
  <c r="AH38" i="48"/>
  <c r="AG38" i="48"/>
  <c r="P38" i="48"/>
  <c r="H38" i="48"/>
  <c r="AI37" i="48"/>
  <c r="AH46" i="48"/>
  <c r="AG37" i="48"/>
  <c r="P37" i="48"/>
  <c r="H37" i="48"/>
  <c r="AI36" i="48"/>
  <c r="AH36" i="48"/>
  <c r="AG36" i="48"/>
  <c r="P36" i="48"/>
  <c r="H36" i="48"/>
  <c r="AI35" i="48"/>
  <c r="AH35" i="48"/>
  <c r="AG35" i="48"/>
  <c r="P35" i="48"/>
  <c r="H35" i="48"/>
  <c r="AH34" i="48"/>
  <c r="AI34" i="48"/>
  <c r="AG34" i="48"/>
  <c r="P34" i="48"/>
  <c r="H34" i="48"/>
  <c r="R73" i="48" s="1"/>
  <c r="AI33" i="48"/>
  <c r="AH33" i="48"/>
  <c r="AG33" i="48"/>
  <c r="P33" i="48"/>
  <c r="H33" i="48"/>
  <c r="AI32" i="48"/>
  <c r="AH32" i="48"/>
  <c r="AG32" i="48"/>
  <c r="P32" i="48"/>
  <c r="H32" i="48"/>
  <c r="AI31" i="48"/>
  <c r="AH31" i="48"/>
  <c r="AG31" i="48"/>
  <c r="P31" i="48"/>
  <c r="H31" i="48"/>
  <c r="AI30" i="48"/>
  <c r="AH30" i="48"/>
  <c r="AG30" i="48"/>
  <c r="P30" i="48"/>
  <c r="H30" i="48"/>
  <c r="AG29" i="48"/>
  <c r="AI29" i="48"/>
  <c r="AH29" i="48"/>
  <c r="P29" i="48"/>
  <c r="H29" i="48"/>
  <c r="AI28" i="48"/>
  <c r="AG28" i="48"/>
  <c r="P28" i="48"/>
  <c r="H28" i="48"/>
  <c r="AH27" i="48"/>
  <c r="AG27" i="48"/>
  <c r="AI27" i="48"/>
  <c r="P27" i="48"/>
  <c r="H27" i="48"/>
  <c r="AI26" i="48"/>
  <c r="AG26" i="48"/>
  <c r="AH26" i="48"/>
  <c r="P26" i="48"/>
  <c r="H26" i="48"/>
  <c r="U42" i="34"/>
  <c r="U41" i="34"/>
  <c r="U40" i="34"/>
  <c r="U39" i="34"/>
  <c r="U38" i="34"/>
  <c r="U37" i="34"/>
  <c r="U36" i="34"/>
  <c r="U35" i="34"/>
  <c r="U34" i="34"/>
  <c r="U33" i="34"/>
  <c r="U32" i="34"/>
  <c r="U31" i="34"/>
  <c r="U30" i="34"/>
  <c r="U29" i="34"/>
  <c r="U28" i="34"/>
  <c r="U27" i="34"/>
  <c r="U26" i="34"/>
  <c r="Y26" i="34"/>
  <c r="Z26" i="34"/>
  <c r="AA26" i="34"/>
  <c r="AB26" i="34"/>
  <c r="Y27" i="34"/>
  <c r="Z27" i="34"/>
  <c r="AA27" i="34"/>
  <c r="AB27" i="34"/>
  <c r="Y28" i="34"/>
  <c r="Z28" i="34"/>
  <c r="AA28" i="34"/>
  <c r="AB28" i="34"/>
  <c r="Y29" i="34"/>
  <c r="Z29" i="34"/>
  <c r="AA29" i="34"/>
  <c r="AB29" i="34"/>
  <c r="Y30" i="34"/>
  <c r="Z30" i="34"/>
  <c r="AA30" i="34"/>
  <c r="AB30" i="34"/>
  <c r="Y31" i="34"/>
  <c r="Z31" i="34"/>
  <c r="AA31" i="34"/>
  <c r="AB31" i="34"/>
  <c r="Y32" i="34"/>
  <c r="Z32" i="34"/>
  <c r="AA32" i="34"/>
  <c r="AB32" i="34"/>
  <c r="Y33" i="34"/>
  <c r="Z33" i="34"/>
  <c r="AA33" i="34"/>
  <c r="AB33" i="34"/>
  <c r="Y34" i="34"/>
  <c r="Z34" i="34"/>
  <c r="AA34" i="34"/>
  <c r="AB34" i="34"/>
  <c r="Y35" i="34"/>
  <c r="Z35" i="34"/>
  <c r="AA35" i="34"/>
  <c r="AB35" i="34"/>
  <c r="Y36" i="34"/>
  <c r="Z36" i="34"/>
  <c r="AA36" i="34"/>
  <c r="AB36" i="34"/>
  <c r="Y37" i="34"/>
  <c r="Z37" i="34"/>
  <c r="AA37" i="34"/>
  <c r="AB37" i="34"/>
  <c r="Y38" i="34"/>
  <c r="Z38" i="34"/>
  <c r="AA38" i="34"/>
  <c r="AB38" i="34"/>
  <c r="Y39" i="34"/>
  <c r="Z39" i="34"/>
  <c r="AA39" i="34"/>
  <c r="AB39" i="34"/>
  <c r="Y40" i="34"/>
  <c r="Z40" i="34"/>
  <c r="AA40" i="34"/>
  <c r="AB40" i="34"/>
  <c r="Y41" i="34"/>
  <c r="Z41" i="34"/>
  <c r="AA41" i="34"/>
  <c r="AB41" i="34"/>
  <c r="Y42" i="34"/>
  <c r="Z42" i="34"/>
  <c r="AA42" i="34"/>
  <c r="AB42" i="34"/>
  <c r="X27" i="34"/>
  <c r="X28" i="34"/>
  <c r="X29" i="34"/>
  <c r="X30" i="34"/>
  <c r="X31" i="34"/>
  <c r="X32" i="34"/>
  <c r="X33" i="34"/>
  <c r="X34" i="34"/>
  <c r="X35" i="34"/>
  <c r="X36" i="34"/>
  <c r="X37" i="34"/>
  <c r="X38" i="34"/>
  <c r="X39" i="34"/>
  <c r="X40" i="34"/>
  <c r="X41" i="34"/>
  <c r="X42" i="34"/>
  <c r="U27" i="27"/>
  <c r="U28" i="27"/>
  <c r="U29" i="27"/>
  <c r="U30" i="27"/>
  <c r="U31" i="27"/>
  <c r="U32" i="27"/>
  <c r="U33" i="27"/>
  <c r="U34" i="27"/>
  <c r="U35" i="27"/>
  <c r="U36" i="27"/>
  <c r="U37" i="27"/>
  <c r="U38" i="27"/>
  <c r="U39" i="27"/>
  <c r="U40" i="27"/>
  <c r="U41" i="27"/>
  <c r="U42" i="27"/>
  <c r="U26" i="27"/>
  <c r="Y26" i="27"/>
  <c r="Z26" i="27"/>
  <c r="AA26" i="27"/>
  <c r="AB26" i="27"/>
  <c r="Y27" i="27"/>
  <c r="Z27" i="27"/>
  <c r="AA27" i="27"/>
  <c r="AB27" i="27"/>
  <c r="Y28" i="27"/>
  <c r="Z28" i="27"/>
  <c r="AA28" i="27"/>
  <c r="AB28" i="27"/>
  <c r="Y29" i="27"/>
  <c r="Z29" i="27"/>
  <c r="AA29" i="27"/>
  <c r="AB29" i="27"/>
  <c r="Y30" i="27"/>
  <c r="Z30" i="27"/>
  <c r="AA30" i="27"/>
  <c r="AB30" i="27"/>
  <c r="Y31" i="27"/>
  <c r="Z31" i="27"/>
  <c r="AA31" i="27"/>
  <c r="AB31" i="27"/>
  <c r="Y32" i="27"/>
  <c r="Z32" i="27"/>
  <c r="AA32" i="27"/>
  <c r="AB32" i="27"/>
  <c r="Y33" i="27"/>
  <c r="Z33" i="27"/>
  <c r="AA33" i="27"/>
  <c r="AB33" i="27"/>
  <c r="Y34" i="27"/>
  <c r="Z34" i="27"/>
  <c r="AA34" i="27"/>
  <c r="AB34" i="27"/>
  <c r="Y35" i="27"/>
  <c r="Z35" i="27"/>
  <c r="AA35" i="27"/>
  <c r="AB35" i="27"/>
  <c r="Y36" i="27"/>
  <c r="Z36" i="27"/>
  <c r="AA36" i="27"/>
  <c r="AB36" i="27"/>
  <c r="Y37" i="27"/>
  <c r="Z37" i="27"/>
  <c r="AA37" i="27"/>
  <c r="AB37" i="27"/>
  <c r="Y38" i="27"/>
  <c r="Z38" i="27"/>
  <c r="AA38" i="27"/>
  <c r="AB38" i="27"/>
  <c r="Y39" i="27"/>
  <c r="Z39" i="27"/>
  <c r="AA39" i="27"/>
  <c r="AB39" i="27"/>
  <c r="Y40" i="27"/>
  <c r="Z40" i="27"/>
  <c r="AA40" i="27"/>
  <c r="AB40" i="27"/>
  <c r="Y41" i="27"/>
  <c r="Z41" i="27"/>
  <c r="AA41" i="27"/>
  <c r="AB41" i="27"/>
  <c r="Y42" i="27"/>
  <c r="Z42" i="27"/>
  <c r="AA42" i="27"/>
  <c r="AB42" i="27"/>
  <c r="X27" i="27"/>
  <c r="X28" i="27"/>
  <c r="X29" i="27"/>
  <c r="X30" i="27"/>
  <c r="X31" i="27"/>
  <c r="X32" i="27"/>
  <c r="X33" i="27"/>
  <c r="X34" i="27"/>
  <c r="X35" i="27"/>
  <c r="X36" i="27"/>
  <c r="X37" i="27"/>
  <c r="X38" i="27"/>
  <c r="X39" i="27"/>
  <c r="X40" i="27"/>
  <c r="X41" i="27"/>
  <c r="X42" i="27"/>
  <c r="X26" i="27"/>
  <c r="U29" i="25"/>
  <c r="U30" i="25"/>
  <c r="U31" i="25"/>
  <c r="U32" i="25"/>
  <c r="U33" i="25"/>
  <c r="U34" i="25"/>
  <c r="U35" i="25"/>
  <c r="U36" i="25"/>
  <c r="U37" i="25"/>
  <c r="U38" i="25"/>
  <c r="U39" i="25"/>
  <c r="U40" i="25"/>
  <c r="U41" i="25"/>
  <c r="U42" i="25"/>
  <c r="U43" i="25"/>
  <c r="U44" i="25"/>
  <c r="U28" i="25"/>
  <c r="Z28" i="25"/>
  <c r="AA28" i="25"/>
  <c r="AB28" i="25"/>
  <c r="AC28" i="25"/>
  <c r="Z29" i="25"/>
  <c r="AA29" i="25"/>
  <c r="AB29" i="25"/>
  <c r="AC29" i="25"/>
  <c r="Z30" i="25"/>
  <c r="AA30" i="25"/>
  <c r="AB30" i="25"/>
  <c r="AC30" i="25"/>
  <c r="Z31" i="25"/>
  <c r="AA31" i="25"/>
  <c r="AB31" i="25"/>
  <c r="AC31" i="25"/>
  <c r="Z32" i="25"/>
  <c r="AA32" i="25"/>
  <c r="AB32" i="25"/>
  <c r="AC32" i="25"/>
  <c r="Z33" i="25"/>
  <c r="AA33" i="25"/>
  <c r="AB33" i="25"/>
  <c r="AC33" i="25"/>
  <c r="Z34" i="25"/>
  <c r="AA34" i="25"/>
  <c r="AB34" i="25"/>
  <c r="AC34" i="25"/>
  <c r="Z35" i="25"/>
  <c r="AA35" i="25"/>
  <c r="AB35" i="25"/>
  <c r="AC35" i="25"/>
  <c r="Z36" i="25"/>
  <c r="AA36" i="25"/>
  <c r="AB36" i="25"/>
  <c r="AC36" i="25"/>
  <c r="Z37" i="25"/>
  <c r="AA37" i="25"/>
  <c r="AB37" i="25"/>
  <c r="AC37" i="25"/>
  <c r="Z38" i="25"/>
  <c r="AA38" i="25"/>
  <c r="AB38" i="25"/>
  <c r="AC38" i="25"/>
  <c r="Z39" i="25"/>
  <c r="AA39" i="25"/>
  <c r="AB39" i="25"/>
  <c r="AC39" i="25"/>
  <c r="Z40" i="25"/>
  <c r="AA40" i="25"/>
  <c r="AB40" i="25"/>
  <c r="AC40" i="25"/>
  <c r="Z41" i="25"/>
  <c r="AA41" i="25"/>
  <c r="AB41" i="25"/>
  <c r="AC41" i="25"/>
  <c r="Z42" i="25"/>
  <c r="AA42" i="25"/>
  <c r="AB42" i="25"/>
  <c r="AC42" i="25"/>
  <c r="Z43" i="25"/>
  <c r="AA43" i="25"/>
  <c r="AB43" i="25"/>
  <c r="AC43" i="25"/>
  <c r="Z44" i="25"/>
  <c r="AA44" i="25"/>
  <c r="AB44" i="25"/>
  <c r="AC44" i="25"/>
  <c r="Y29" i="25"/>
  <c r="Y30" i="25"/>
  <c r="Y31" i="25"/>
  <c r="Y32" i="25"/>
  <c r="Y33" i="25"/>
  <c r="Y34" i="25"/>
  <c r="Y35" i="25"/>
  <c r="Y36" i="25"/>
  <c r="Y37" i="25"/>
  <c r="Y38" i="25"/>
  <c r="Y39" i="25"/>
  <c r="Y40" i="25"/>
  <c r="Y41" i="25"/>
  <c r="Y42" i="25"/>
  <c r="Y43" i="25"/>
  <c r="Y44" i="25"/>
  <c r="Y28" i="25"/>
  <c r="AF28" i="25" s="1"/>
  <c r="E42" i="40"/>
  <c r="E42" i="31"/>
  <c r="E42" i="16"/>
  <c r="V73" i="48" l="1"/>
  <c r="X73" i="48" s="1"/>
  <c r="T73" i="48"/>
  <c r="W73" i="48" s="1"/>
  <c r="Y73" i="48" s="1"/>
  <c r="R68" i="48"/>
  <c r="V68" i="48" s="1"/>
  <c r="X68" i="48" s="1"/>
  <c r="R76" i="48"/>
  <c r="V76" i="48" s="1"/>
  <c r="X76" i="48" s="1"/>
  <c r="R74" i="48"/>
  <c r="V74" i="48" s="1"/>
  <c r="X74" i="48" s="1"/>
  <c r="AJ46" i="48"/>
  <c r="U46" i="48" s="1"/>
  <c r="U27" i="48"/>
  <c r="E66" i="48" s="1"/>
  <c r="T66" i="48"/>
  <c r="W66" i="48" s="1"/>
  <c r="Y66" i="48" s="1"/>
  <c r="R67" i="48"/>
  <c r="R78" i="48"/>
  <c r="V78" i="48" s="1"/>
  <c r="X78" i="48" s="1"/>
  <c r="T68" i="48"/>
  <c r="W68" i="48" s="1"/>
  <c r="Y68" i="48" s="1"/>
  <c r="R66" i="48"/>
  <c r="V66" i="48" s="1"/>
  <c r="X66" i="48" s="1"/>
  <c r="T65" i="48"/>
  <c r="W65" i="48" s="1"/>
  <c r="Y65" i="48" s="1"/>
  <c r="R69" i="48"/>
  <c r="V69" i="48" s="1"/>
  <c r="X69" i="48" s="1"/>
  <c r="T71" i="48"/>
  <c r="W71" i="48" s="1"/>
  <c r="Y71" i="48" s="1"/>
  <c r="R71" i="48"/>
  <c r="V71" i="48" s="1"/>
  <c r="X71" i="48" s="1"/>
  <c r="AE43" i="48"/>
  <c r="AI43" i="48"/>
  <c r="AI42" i="48"/>
  <c r="AG48" i="48"/>
  <c r="AH48" i="48"/>
  <c r="AH28" i="48"/>
  <c r="U28" i="48" s="1"/>
  <c r="E67" i="48" s="1"/>
  <c r="U31" i="48"/>
  <c r="E70" i="48" s="1"/>
  <c r="U36" i="48"/>
  <c r="E75" i="48" s="1"/>
  <c r="R77" i="48"/>
  <c r="V77" i="48" s="1"/>
  <c r="X77" i="48" s="1"/>
  <c r="T79" i="48"/>
  <c r="W79" i="48" s="1"/>
  <c r="Y79" i="48" s="1"/>
  <c r="R79" i="48"/>
  <c r="V79" i="48" s="1"/>
  <c r="X79" i="48" s="1"/>
  <c r="T69" i="48"/>
  <c r="W69" i="48" s="1"/>
  <c r="Y69" i="48" s="1"/>
  <c r="U29" i="48"/>
  <c r="E68" i="48" s="1"/>
  <c r="U39" i="48"/>
  <c r="E78" i="48" s="1"/>
  <c r="V67" i="48"/>
  <c r="X67" i="48" s="1"/>
  <c r="U34" i="48"/>
  <c r="E73" i="48" s="1"/>
  <c r="T77" i="48"/>
  <c r="W77" i="48" s="1"/>
  <c r="Y77" i="48" s="1"/>
  <c r="U30" i="48"/>
  <c r="E69" i="48" s="1"/>
  <c r="U33" i="48"/>
  <c r="E72" i="48" s="1"/>
  <c r="U38" i="48"/>
  <c r="E77" i="48" s="1"/>
  <c r="U41" i="48"/>
  <c r="E80" i="48" s="1"/>
  <c r="R70" i="48"/>
  <c r="V70" i="48" s="1"/>
  <c r="X70" i="48" s="1"/>
  <c r="R65" i="48"/>
  <c r="V65" i="48" s="1"/>
  <c r="X65" i="48" s="1"/>
  <c r="R75" i="48"/>
  <c r="V75" i="48" s="1"/>
  <c r="X75" i="48" s="1"/>
  <c r="T67" i="48"/>
  <c r="W67" i="48" s="1"/>
  <c r="Y67" i="48" s="1"/>
  <c r="U32" i="48"/>
  <c r="E71" i="48" s="1"/>
  <c r="R72" i="48"/>
  <c r="V72" i="48" s="1"/>
  <c r="X72" i="48" s="1"/>
  <c r="U35" i="48"/>
  <c r="E74" i="48" s="1"/>
  <c r="T75" i="48"/>
  <c r="W75" i="48" s="1"/>
  <c r="Y75" i="48" s="1"/>
  <c r="AH37" i="48"/>
  <c r="U37" i="48" s="1"/>
  <c r="E76" i="48" s="1"/>
  <c r="U40" i="48"/>
  <c r="E79" i="48" s="1"/>
  <c r="R80" i="48"/>
  <c r="V80" i="48" s="1"/>
  <c r="X80" i="48" s="1"/>
  <c r="T74" i="48"/>
  <c r="W74" i="48" s="1"/>
  <c r="Y74" i="48" s="1"/>
  <c r="T72" i="48"/>
  <c r="W72" i="48" s="1"/>
  <c r="Y72" i="48" s="1"/>
  <c r="T78" i="48"/>
  <c r="W78" i="48" s="1"/>
  <c r="Y78" i="48" s="1"/>
  <c r="T76" i="48"/>
  <c r="W76" i="48" s="1"/>
  <c r="Y76" i="48" s="1"/>
  <c r="T70" i="48"/>
  <c r="W70" i="48" s="1"/>
  <c r="Y70" i="48" s="1"/>
  <c r="T80" i="48"/>
  <c r="W80" i="48" s="1"/>
  <c r="Y80" i="48" s="1"/>
  <c r="R81" i="48"/>
  <c r="AE61" i="40"/>
  <c r="AD61" i="40"/>
  <c r="AE54" i="40"/>
  <c r="AD54" i="40"/>
  <c r="AE46" i="40"/>
  <c r="AD46" i="40"/>
  <c r="AE24" i="40"/>
  <c r="AD24" i="40"/>
  <c r="U26" i="48" l="1"/>
  <c r="E65" i="48" s="1"/>
  <c r="U42" i="48"/>
  <c r="G50" i="48" s="1"/>
  <c r="Y81" i="48"/>
  <c r="AJ48" i="48"/>
  <c r="X81" i="48"/>
  <c r="F42" i="31"/>
  <c r="E81" i="48" l="1"/>
  <c r="G54" i="48"/>
  <c r="AE61" i="31"/>
  <c r="AD61" i="31"/>
  <c r="AE54" i="31"/>
  <c r="AD54" i="31"/>
  <c r="AE46" i="31"/>
  <c r="AD46" i="31"/>
  <c r="AE24" i="31"/>
  <c r="AD24" i="31"/>
  <c r="B17" i="31"/>
  <c r="B17" i="40" s="1"/>
  <c r="B16" i="31"/>
  <c r="B16" i="40" s="1"/>
  <c r="B17" i="16"/>
  <c r="B16" i="16"/>
  <c r="F42" i="16"/>
  <c r="AE46" i="16"/>
  <c r="AD46" i="16"/>
  <c r="AE54" i="16"/>
  <c r="AD54" i="16"/>
  <c r="AE61" i="16"/>
  <c r="AD61" i="16"/>
  <c r="AE24" i="16"/>
  <c r="AD24" i="16"/>
  <c r="G69" i="48" l="1"/>
  <c r="J69" i="48" s="1"/>
  <c r="N69" i="48" s="1"/>
  <c r="G67" i="48"/>
  <c r="J67" i="48" s="1"/>
  <c r="N67" i="48" s="1"/>
  <c r="G75" i="48"/>
  <c r="J75" i="48" s="1"/>
  <c r="N75" i="48" s="1"/>
  <c r="G80" i="48"/>
  <c r="J80" i="48" s="1"/>
  <c r="N80" i="48" s="1"/>
  <c r="G74" i="48"/>
  <c r="J74" i="48" s="1"/>
  <c r="N74" i="48" s="1"/>
  <c r="G65" i="48"/>
  <c r="J65" i="48" s="1"/>
  <c r="N65" i="48" s="1"/>
  <c r="G73" i="48"/>
  <c r="J73" i="48" s="1"/>
  <c r="N73" i="48" s="1"/>
  <c r="G79" i="48"/>
  <c r="J79" i="48" s="1"/>
  <c r="N79" i="48" s="1"/>
  <c r="G78" i="48"/>
  <c r="J78" i="48" s="1"/>
  <c r="N78" i="48" s="1"/>
  <c r="G76" i="48"/>
  <c r="J76" i="48" s="1"/>
  <c r="N76" i="48" s="1"/>
  <c r="G71" i="48"/>
  <c r="J71" i="48" s="1"/>
  <c r="N71" i="48" s="1"/>
  <c r="G77" i="48"/>
  <c r="J77" i="48" s="1"/>
  <c r="N77" i="48" s="1"/>
  <c r="G81" i="48"/>
  <c r="G66" i="48"/>
  <c r="J66" i="48" s="1"/>
  <c r="N66" i="48" s="1"/>
  <c r="G72" i="48"/>
  <c r="J72" i="48" s="1"/>
  <c r="N72" i="48" s="1"/>
  <c r="G68" i="48"/>
  <c r="J68" i="48" s="1"/>
  <c r="N68" i="48" s="1"/>
  <c r="G70" i="48"/>
  <c r="J70" i="48" s="1"/>
  <c r="N70" i="48" s="1"/>
  <c r="I81" i="48"/>
  <c r="I77" i="48"/>
  <c r="L77" i="48" s="1"/>
  <c r="O77" i="48" s="1"/>
  <c r="AB77" i="48" s="1"/>
  <c r="AC77" i="48" s="1"/>
  <c r="I73" i="48"/>
  <c r="L73" i="48" s="1"/>
  <c r="O73" i="48" s="1"/>
  <c r="AB73" i="48" s="1"/>
  <c r="AC73" i="48" s="1"/>
  <c r="I69" i="48"/>
  <c r="L69" i="48" s="1"/>
  <c r="O69" i="48" s="1"/>
  <c r="AB69" i="48" s="1"/>
  <c r="AC69" i="48" s="1"/>
  <c r="I65" i="48"/>
  <c r="L65" i="48" s="1"/>
  <c r="O65" i="48" s="1"/>
  <c r="AB65" i="48" s="1"/>
  <c r="AC65" i="48" s="1"/>
  <c r="I79" i="48"/>
  <c r="L79" i="48" s="1"/>
  <c r="O79" i="48" s="1"/>
  <c r="AB79" i="48" s="1"/>
  <c r="AC79" i="48" s="1"/>
  <c r="I72" i="48"/>
  <c r="L72" i="48" s="1"/>
  <c r="O72" i="48" s="1"/>
  <c r="AB72" i="48" s="1"/>
  <c r="AC72" i="48" s="1"/>
  <c r="I70" i="48"/>
  <c r="L70" i="48" s="1"/>
  <c r="O70" i="48" s="1"/>
  <c r="AB70" i="48" s="1"/>
  <c r="AC70" i="48" s="1"/>
  <c r="I76" i="48"/>
  <c r="L76" i="48" s="1"/>
  <c r="O76" i="48" s="1"/>
  <c r="AB76" i="48" s="1"/>
  <c r="AC76" i="48" s="1"/>
  <c r="I78" i="48"/>
  <c r="L78" i="48" s="1"/>
  <c r="O78" i="48" s="1"/>
  <c r="AB78" i="48" s="1"/>
  <c r="AC78" i="48" s="1"/>
  <c r="I71" i="48"/>
  <c r="L71" i="48" s="1"/>
  <c r="O71" i="48" s="1"/>
  <c r="AB71" i="48" s="1"/>
  <c r="AC71" i="48" s="1"/>
  <c r="I67" i="48"/>
  <c r="L67" i="48" s="1"/>
  <c r="O67" i="48" s="1"/>
  <c r="AB67" i="48" s="1"/>
  <c r="AC67" i="48" s="1"/>
  <c r="I66" i="48"/>
  <c r="L66" i="48" s="1"/>
  <c r="O66" i="48" s="1"/>
  <c r="AB66" i="48" s="1"/>
  <c r="AC66" i="48" s="1"/>
  <c r="I80" i="48"/>
  <c r="L80" i="48" s="1"/>
  <c r="O80" i="48" s="1"/>
  <c r="AB80" i="48" s="1"/>
  <c r="AC80" i="48" s="1"/>
  <c r="I74" i="48"/>
  <c r="L74" i="48" s="1"/>
  <c r="O74" i="48" s="1"/>
  <c r="AB74" i="48" s="1"/>
  <c r="AC74" i="48" s="1"/>
  <c r="I75" i="48"/>
  <c r="L75" i="48" s="1"/>
  <c r="O75" i="48" s="1"/>
  <c r="AB75" i="48" s="1"/>
  <c r="AC75" i="48" s="1"/>
  <c r="I68" i="48"/>
  <c r="L68" i="48" s="1"/>
  <c r="O68" i="48" s="1"/>
  <c r="AB68" i="48" s="1"/>
  <c r="AC68" i="48" s="1"/>
  <c r="AZ124" i="35"/>
  <c r="AZ125" i="35"/>
  <c r="AZ126" i="35"/>
  <c r="AZ127" i="35"/>
  <c r="AZ128" i="35"/>
  <c r="AZ129" i="35"/>
  <c r="AZ130" i="35"/>
  <c r="AZ131" i="35"/>
  <c r="AZ132" i="35"/>
  <c r="AZ133" i="35"/>
  <c r="AZ134" i="35"/>
  <c r="AZ135" i="35"/>
  <c r="AZ136" i="35"/>
  <c r="AZ137" i="35"/>
  <c r="AZ138" i="35"/>
  <c r="AZ139" i="35"/>
  <c r="AZ123" i="35"/>
  <c r="AY139" i="35"/>
  <c r="AY124" i="35"/>
  <c r="AY125" i="35"/>
  <c r="AY126" i="35"/>
  <c r="AY127" i="35"/>
  <c r="AY128" i="35"/>
  <c r="AY129" i="35"/>
  <c r="AY130" i="35"/>
  <c r="AY131" i="35"/>
  <c r="AY132" i="35"/>
  <c r="AY133" i="35"/>
  <c r="AY134" i="35"/>
  <c r="AY135" i="35"/>
  <c r="AY136" i="35"/>
  <c r="AY137" i="35"/>
  <c r="AY138" i="35"/>
  <c r="AY123" i="35"/>
  <c r="AX124" i="35"/>
  <c r="AX125" i="35"/>
  <c r="AX126" i="35"/>
  <c r="AX127" i="35"/>
  <c r="AX128" i="35"/>
  <c r="AX129" i="35"/>
  <c r="AX130" i="35"/>
  <c r="AX131" i="35"/>
  <c r="AX132" i="35"/>
  <c r="AX133" i="35"/>
  <c r="AX134" i="35"/>
  <c r="AX135" i="35"/>
  <c r="AX136" i="35"/>
  <c r="AX137" i="35"/>
  <c r="AX138" i="35"/>
  <c r="AX139" i="35"/>
  <c r="AX123" i="35"/>
  <c r="AW139" i="35"/>
  <c r="AW124" i="35"/>
  <c r="AW125" i="35"/>
  <c r="AW126" i="35"/>
  <c r="AW127" i="35"/>
  <c r="AW128" i="35"/>
  <c r="AW129" i="35"/>
  <c r="AW130" i="35"/>
  <c r="AW131" i="35"/>
  <c r="AW132" i="35"/>
  <c r="AW133" i="35"/>
  <c r="AW134" i="35"/>
  <c r="AW135" i="35"/>
  <c r="AW136" i="35"/>
  <c r="AW137" i="35"/>
  <c r="AW138" i="35"/>
  <c r="AW123" i="35"/>
  <c r="AV124" i="35"/>
  <c r="AV125" i="35"/>
  <c r="AV126" i="35"/>
  <c r="AV127" i="35"/>
  <c r="AV128" i="35"/>
  <c r="AV129" i="35"/>
  <c r="AV130" i="35"/>
  <c r="AV131" i="35"/>
  <c r="AV132" i="35"/>
  <c r="AV133" i="35"/>
  <c r="AV134" i="35"/>
  <c r="AV135" i="35"/>
  <c r="AV136" i="35"/>
  <c r="AV137" i="35"/>
  <c r="AV138" i="35"/>
  <c r="AV139" i="35"/>
  <c r="AV123" i="35"/>
  <c r="AY38" i="35"/>
  <c r="AY37" i="35"/>
  <c r="AX37" i="35"/>
  <c r="AZ37" i="35" s="1"/>
  <c r="AX36" i="35"/>
  <c r="AY35" i="35"/>
  <c r="AX35" i="35"/>
  <c r="AZ35" i="35" s="1"/>
  <c r="AY34" i="35"/>
  <c r="AX34" i="35"/>
  <c r="AZ34" i="35" s="1"/>
  <c r="AY33" i="35"/>
  <c r="AX33" i="35"/>
  <c r="AX32" i="35"/>
  <c r="AY31" i="35"/>
  <c r="AX31" i="35"/>
  <c r="AY30" i="35"/>
  <c r="AX30" i="35"/>
  <c r="AZ30" i="35" s="1"/>
  <c r="AY29" i="35"/>
  <c r="AX29" i="35"/>
  <c r="AX28" i="35"/>
  <c r="AY27" i="35"/>
  <c r="AX27" i="35"/>
  <c r="AZ27" i="35" s="1"/>
  <c r="AY26" i="35"/>
  <c r="AX26" i="35"/>
  <c r="AZ26" i="35" s="1"/>
  <c r="AY25" i="35"/>
  <c r="AX25" i="35"/>
  <c r="AX24" i="35"/>
  <c r="AY23" i="35"/>
  <c r="AX23" i="35"/>
  <c r="AZ23" i="35" s="1"/>
  <c r="AY22" i="35"/>
  <c r="AX38" i="35"/>
  <c r="AZ38" i="35" s="1"/>
  <c r="N81" i="48" l="1"/>
  <c r="O81" i="48"/>
  <c r="AZ29" i="35"/>
  <c r="AZ31" i="35"/>
  <c r="AZ33" i="35"/>
  <c r="AZ24" i="35"/>
  <c r="AZ25" i="35"/>
  <c r="AY24" i="35"/>
  <c r="AY28" i="35"/>
  <c r="AZ28" i="35" s="1"/>
  <c r="AY32" i="35"/>
  <c r="AZ32" i="35" s="1"/>
  <c r="AY36" i="35"/>
  <c r="AZ36" i="35" s="1"/>
  <c r="AX22" i="35"/>
  <c r="AZ22" i="35" s="1"/>
  <c r="AY45" i="35"/>
  <c r="AY46" i="35"/>
  <c r="AY47" i="35"/>
  <c r="AY48" i="35"/>
  <c r="AY49" i="35"/>
  <c r="AY50" i="35"/>
  <c r="AY51" i="35"/>
  <c r="AY52" i="35"/>
  <c r="AY53" i="35"/>
  <c r="AY54" i="35"/>
  <c r="AY55" i="35"/>
  <c r="AY56" i="35"/>
  <c r="AY57" i="35"/>
  <c r="AY58" i="35"/>
  <c r="AY59" i="35"/>
  <c r="AY60" i="35"/>
  <c r="AY44" i="35"/>
  <c r="AV60" i="35"/>
  <c r="AV45" i="35"/>
  <c r="AV46" i="35"/>
  <c r="AV47" i="35"/>
  <c r="AV48" i="35"/>
  <c r="AV49" i="35"/>
  <c r="AV50" i="35"/>
  <c r="AV51" i="35"/>
  <c r="AV52" i="35"/>
  <c r="AV53" i="35"/>
  <c r="AV54" i="35"/>
  <c r="AV55" i="35"/>
  <c r="AV56" i="35"/>
  <c r="AV57" i="35"/>
  <c r="AV58" i="35"/>
  <c r="AV59" i="35"/>
  <c r="AV44" i="35"/>
  <c r="AY120" i="35" l="1"/>
  <c r="AY105" i="35"/>
  <c r="AY106" i="35"/>
  <c r="AY107" i="35"/>
  <c r="AY108" i="35"/>
  <c r="AY109" i="35"/>
  <c r="AY110" i="35"/>
  <c r="AY111" i="35"/>
  <c r="AY112" i="35"/>
  <c r="AY113" i="35"/>
  <c r="AY114" i="35"/>
  <c r="AY115" i="35"/>
  <c r="AY116" i="35"/>
  <c r="AY117" i="35"/>
  <c r="AY118" i="35"/>
  <c r="AY119" i="35"/>
  <c r="AY104" i="35"/>
  <c r="AX105" i="35"/>
  <c r="AX106" i="35"/>
  <c r="AX107" i="35"/>
  <c r="AX108" i="35"/>
  <c r="AX109" i="35"/>
  <c r="AX110" i="35"/>
  <c r="AX111" i="35"/>
  <c r="AX112" i="35"/>
  <c r="AX113" i="35"/>
  <c r="AX114" i="35"/>
  <c r="AX115" i="35"/>
  <c r="AX116" i="35"/>
  <c r="AX117" i="35"/>
  <c r="AX118" i="35"/>
  <c r="AX119" i="35"/>
  <c r="AX120" i="35"/>
  <c r="AX104" i="35"/>
  <c r="AE65" i="35"/>
  <c r="AE66" i="35"/>
  <c r="AE67" i="35"/>
  <c r="AE68" i="35"/>
  <c r="AE69" i="35"/>
  <c r="AE70" i="35"/>
  <c r="AE71" i="35"/>
  <c r="AE72" i="35"/>
  <c r="AE73" i="35"/>
  <c r="AE74" i="35"/>
  <c r="AE75" i="35"/>
  <c r="AE76" i="35"/>
  <c r="AE77" i="35"/>
  <c r="AE78" i="35"/>
  <c r="AE79" i="35"/>
  <c r="AE80" i="35"/>
  <c r="AE64" i="35"/>
  <c r="AN114" i="35" l="1"/>
  <c r="AN115" i="35"/>
  <c r="AN116" i="35"/>
  <c r="AN117" i="35"/>
  <c r="AN118" i="35"/>
  <c r="AN119" i="35"/>
  <c r="AN120" i="35"/>
  <c r="AN121" i="35"/>
  <c r="AN122" i="35"/>
  <c r="AN123" i="35"/>
  <c r="AN124" i="35"/>
  <c r="AN125" i="35"/>
  <c r="AN126" i="35"/>
  <c r="AN127" i="35"/>
  <c r="AN128" i="35"/>
  <c r="AN113" i="35"/>
  <c r="AN129" i="35"/>
  <c r="AH114" i="35"/>
  <c r="AH115" i="35"/>
  <c r="AH116" i="35"/>
  <c r="AH117" i="35"/>
  <c r="AH118" i="35"/>
  <c r="AH119" i="35"/>
  <c r="AH120" i="35"/>
  <c r="AH121" i="35"/>
  <c r="AH122" i="35"/>
  <c r="AH123" i="35"/>
  <c r="AH124" i="35"/>
  <c r="AH125" i="35"/>
  <c r="AH126" i="35"/>
  <c r="AH127" i="35"/>
  <c r="AH128" i="35"/>
  <c r="AH129" i="35"/>
  <c r="AH113" i="35"/>
  <c r="AO106" i="35"/>
  <c r="E31" i="35" l="1"/>
  <c r="L25" i="35" l="1"/>
  <c r="L23" i="35" l="1"/>
  <c r="K25" i="35"/>
  <c r="K23" i="35" s="1"/>
  <c r="H25" i="35"/>
  <c r="I25" i="35"/>
  <c r="J25" i="35"/>
  <c r="J23" i="35" s="1"/>
  <c r="G25" i="35"/>
  <c r="F25" i="35"/>
  <c r="E25" i="35"/>
  <c r="K24" i="35"/>
  <c r="L24" i="35"/>
  <c r="E29" i="35"/>
  <c r="F29" i="35"/>
  <c r="I29" i="35"/>
  <c r="J29" i="35"/>
  <c r="H29" i="35"/>
  <c r="G29" i="35"/>
  <c r="E53" i="37"/>
  <c r="E54" i="37"/>
  <c r="E55" i="37"/>
  <c r="E56" i="37"/>
  <c r="E57" i="37"/>
  <c r="E58" i="37"/>
  <c r="E59" i="37"/>
  <c r="E60" i="37"/>
  <c r="E61" i="37"/>
  <c r="E62" i="37"/>
  <c r="E63" i="37"/>
  <c r="E64" i="37"/>
  <c r="E65" i="37"/>
  <c r="E66" i="37"/>
  <c r="E67" i="37"/>
  <c r="E68" i="37"/>
  <c r="E52" i="37"/>
  <c r="F24" i="35"/>
  <c r="G24" i="35"/>
  <c r="H24" i="35"/>
  <c r="I24" i="35"/>
  <c r="J24" i="35"/>
  <c r="E24" i="35"/>
  <c r="E56" i="39" l="1"/>
  <c r="F56" i="39"/>
  <c r="G56" i="39"/>
  <c r="H56" i="39"/>
  <c r="I56" i="39"/>
  <c r="J56" i="39"/>
  <c r="K56" i="39"/>
  <c r="L56" i="39"/>
  <c r="M56" i="39"/>
  <c r="N56" i="39"/>
  <c r="O56" i="39"/>
  <c r="P56" i="39"/>
  <c r="Q56" i="39"/>
  <c r="R56" i="39"/>
  <c r="S56" i="39"/>
  <c r="D56" i="39"/>
  <c r="D55" i="39"/>
  <c r="E56" i="45"/>
  <c r="F56" i="45"/>
  <c r="G56" i="45"/>
  <c r="H56" i="45"/>
  <c r="I56" i="45"/>
  <c r="J56" i="45"/>
  <c r="K56" i="45"/>
  <c r="L56" i="45"/>
  <c r="M56" i="45"/>
  <c r="N56" i="45"/>
  <c r="O56" i="45"/>
  <c r="P56" i="45"/>
  <c r="Q56" i="45"/>
  <c r="R56" i="45"/>
  <c r="S56" i="45"/>
  <c r="D56" i="45"/>
  <c r="S56" i="44"/>
  <c r="R56" i="44"/>
  <c r="Q56" i="44"/>
  <c r="P56" i="44"/>
  <c r="O56" i="44"/>
  <c r="N56" i="44"/>
  <c r="M56" i="44"/>
  <c r="L56" i="44"/>
  <c r="K56" i="44"/>
  <c r="J56" i="44"/>
  <c r="I56" i="44"/>
  <c r="H56" i="44"/>
  <c r="G56" i="44"/>
  <c r="F56" i="44"/>
  <c r="E56" i="44"/>
  <c r="D56" i="44"/>
  <c r="E56" i="30"/>
  <c r="F56" i="30"/>
  <c r="G56" i="30"/>
  <c r="H56" i="30"/>
  <c r="I56" i="30"/>
  <c r="J56" i="30"/>
  <c r="K56" i="30"/>
  <c r="L56" i="30"/>
  <c r="M56" i="30"/>
  <c r="N56" i="30"/>
  <c r="O56" i="30"/>
  <c r="P56" i="30"/>
  <c r="Q56" i="30"/>
  <c r="R56" i="30"/>
  <c r="S56" i="30"/>
  <c r="D56" i="30"/>
  <c r="T55" i="43"/>
  <c r="T56" i="43"/>
  <c r="E56" i="43"/>
  <c r="F56" i="43"/>
  <c r="G56" i="43"/>
  <c r="H56" i="43"/>
  <c r="I56" i="43"/>
  <c r="J56" i="43"/>
  <c r="K56" i="43"/>
  <c r="L56" i="43"/>
  <c r="M56" i="43"/>
  <c r="N56" i="43"/>
  <c r="O56" i="43"/>
  <c r="P56" i="43"/>
  <c r="Q56" i="43"/>
  <c r="R56" i="43"/>
  <c r="S56" i="43"/>
  <c r="D56" i="43"/>
  <c r="E56" i="4"/>
  <c r="F56" i="4"/>
  <c r="G56" i="4"/>
  <c r="H56" i="4"/>
  <c r="I56" i="4"/>
  <c r="J56" i="4"/>
  <c r="K56" i="4"/>
  <c r="L56" i="4"/>
  <c r="M56" i="4"/>
  <c r="N56" i="4"/>
  <c r="O56" i="4"/>
  <c r="P56" i="4"/>
  <c r="Q56" i="4"/>
  <c r="R56" i="4"/>
  <c r="S56" i="4"/>
  <c r="D56" i="4"/>
  <c r="G119" i="47" l="1"/>
  <c r="G77" i="47" l="1"/>
  <c r="H77" i="47"/>
  <c r="E126" i="47"/>
  <c r="D126" i="47"/>
  <c r="C126" i="47"/>
  <c r="H125" i="47"/>
  <c r="G125" i="47"/>
  <c r="H123" i="47"/>
  <c r="G123" i="47"/>
  <c r="H121" i="47"/>
  <c r="G121" i="47"/>
  <c r="H120" i="47"/>
  <c r="G120" i="47"/>
  <c r="H119" i="47"/>
  <c r="H116" i="47"/>
  <c r="G116" i="47"/>
  <c r="H115" i="47"/>
  <c r="G115" i="47"/>
  <c r="H114" i="47"/>
  <c r="G114" i="47"/>
  <c r="H112" i="47"/>
  <c r="G112" i="47"/>
  <c r="H111" i="47"/>
  <c r="G111" i="47"/>
  <c r="H109" i="47"/>
  <c r="G109" i="47"/>
  <c r="H107" i="47"/>
  <c r="G107" i="47"/>
  <c r="H105" i="47"/>
  <c r="G105" i="47"/>
  <c r="H104" i="47"/>
  <c r="G104" i="47"/>
  <c r="H103" i="47"/>
  <c r="G103" i="47"/>
  <c r="H100" i="47"/>
  <c r="G100" i="47"/>
  <c r="H99" i="47"/>
  <c r="G99" i="47"/>
  <c r="H98" i="47"/>
  <c r="G98" i="47"/>
  <c r="H96" i="47"/>
  <c r="G96" i="47"/>
  <c r="H95" i="47"/>
  <c r="G95" i="47"/>
  <c r="H93" i="47"/>
  <c r="G93" i="47"/>
  <c r="H91" i="47"/>
  <c r="G91" i="47"/>
  <c r="H89" i="47"/>
  <c r="G89" i="47"/>
  <c r="H88" i="47"/>
  <c r="G88" i="47"/>
  <c r="H87" i="47"/>
  <c r="G87" i="47"/>
  <c r="H84" i="47"/>
  <c r="G84" i="47"/>
  <c r="H83" i="47"/>
  <c r="G83" i="47"/>
  <c r="H82" i="47"/>
  <c r="G82" i="47"/>
  <c r="H80" i="47"/>
  <c r="G80" i="47"/>
  <c r="H79" i="47"/>
  <c r="G79" i="47"/>
  <c r="H75" i="47"/>
  <c r="G75" i="47"/>
  <c r="H73" i="47"/>
  <c r="G73" i="47"/>
  <c r="H72" i="47"/>
  <c r="G72" i="47"/>
  <c r="H71" i="47"/>
  <c r="G71" i="47"/>
  <c r="H68" i="47"/>
  <c r="G68" i="47"/>
  <c r="H67" i="47"/>
  <c r="G67" i="47"/>
  <c r="H66" i="47"/>
  <c r="G66" i="47"/>
  <c r="H64" i="47"/>
  <c r="G64" i="47"/>
  <c r="H63" i="47"/>
  <c r="G63" i="47"/>
  <c r="S56" i="47"/>
  <c r="S55" i="47"/>
  <c r="S54" i="47"/>
  <c r="S53" i="47"/>
  <c r="R47" i="47"/>
  <c r="Q47" i="47"/>
  <c r="P47" i="47"/>
  <c r="O47" i="47"/>
  <c r="N47" i="47"/>
  <c r="M47" i="47"/>
  <c r="L47" i="47"/>
  <c r="K47" i="47"/>
  <c r="J47" i="47"/>
  <c r="I47" i="47"/>
  <c r="H47" i="47"/>
  <c r="G47" i="47"/>
  <c r="F47" i="47"/>
  <c r="E47" i="47"/>
  <c r="D47" i="47"/>
  <c r="C47" i="47"/>
  <c r="S47" i="47" s="1"/>
  <c r="R46" i="47"/>
  <c r="Q46" i="47"/>
  <c r="P46" i="47"/>
  <c r="O46" i="47"/>
  <c r="N46" i="47"/>
  <c r="M46" i="47"/>
  <c r="L46" i="47"/>
  <c r="K46" i="47"/>
  <c r="J46" i="47"/>
  <c r="I46" i="47"/>
  <c r="H46" i="47"/>
  <c r="G46" i="47"/>
  <c r="F46" i="47"/>
  <c r="E46" i="47"/>
  <c r="D46" i="47"/>
  <c r="C46" i="47"/>
  <c r="S46" i="47" s="1"/>
  <c r="R45" i="47"/>
  <c r="Q45" i="47"/>
  <c r="P45" i="47"/>
  <c r="O45" i="47"/>
  <c r="N45" i="47"/>
  <c r="M45" i="47"/>
  <c r="L45" i="47"/>
  <c r="K45" i="47"/>
  <c r="J45" i="47"/>
  <c r="I45" i="47"/>
  <c r="H45" i="47"/>
  <c r="G45" i="47"/>
  <c r="F45" i="47"/>
  <c r="E45" i="47"/>
  <c r="D45" i="47"/>
  <c r="C45" i="47"/>
  <c r="S45" i="47" s="1"/>
  <c r="R44" i="47"/>
  <c r="Q44" i="47"/>
  <c r="P44" i="47"/>
  <c r="O44" i="47"/>
  <c r="N44" i="47"/>
  <c r="M44" i="47"/>
  <c r="L44" i="47"/>
  <c r="K44" i="47"/>
  <c r="J44" i="47"/>
  <c r="I44" i="47"/>
  <c r="H44" i="47"/>
  <c r="G44" i="47"/>
  <c r="F44" i="47"/>
  <c r="E44" i="47"/>
  <c r="D44" i="47"/>
  <c r="C44" i="47"/>
  <c r="S44" i="47" s="1"/>
  <c r="S41" i="47"/>
  <c r="S40" i="47"/>
  <c r="S39" i="47"/>
  <c r="S38" i="47"/>
  <c r="S35" i="47"/>
  <c r="S34" i="47"/>
  <c r="S33" i="47"/>
  <c r="S32" i="47"/>
  <c r="S27" i="47"/>
  <c r="S26" i="47"/>
  <c r="S25" i="47"/>
  <c r="S24" i="47"/>
  <c r="S19" i="47"/>
  <c r="S18" i="47"/>
  <c r="S17" i="47"/>
  <c r="S16" i="47"/>
  <c r="AM80" i="35" l="1"/>
  <c r="F312" i="17" l="1"/>
  <c r="G312" i="17"/>
  <c r="H312" i="17" l="1"/>
  <c r="AO36" i="35" l="1"/>
  <c r="AO65" i="35"/>
  <c r="AO66" i="35"/>
  <c r="AO67" i="35"/>
  <c r="AO68" i="35"/>
  <c r="AO69" i="35"/>
  <c r="AO70" i="35"/>
  <c r="AO71" i="35"/>
  <c r="AO72" i="35"/>
  <c r="AO73" i="35"/>
  <c r="AO74" i="35"/>
  <c r="AO75" i="35"/>
  <c r="AO76" i="35"/>
  <c r="AO77" i="35"/>
  <c r="AO78" i="35"/>
  <c r="AO79" i="35"/>
  <c r="AO64" i="35"/>
  <c r="AO44" i="35"/>
  <c r="AO45" i="35"/>
  <c r="AO46" i="35"/>
  <c r="AO47" i="35"/>
  <c r="AO48" i="35"/>
  <c r="AO49" i="35"/>
  <c r="AO50" i="35"/>
  <c r="AO51" i="35"/>
  <c r="AO52" i="35"/>
  <c r="AO53" i="35"/>
  <c r="AO54" i="35"/>
  <c r="AO55" i="35"/>
  <c r="AO56" i="35"/>
  <c r="AO57" i="35"/>
  <c r="AO58" i="35"/>
  <c r="AO59" i="35"/>
  <c r="AO43" i="35"/>
  <c r="AO21" i="35"/>
  <c r="AO22" i="35"/>
  <c r="AO23" i="35"/>
  <c r="AO24" i="35"/>
  <c r="AO25" i="35"/>
  <c r="AO26" i="35"/>
  <c r="AO27" i="35"/>
  <c r="AO28" i="35"/>
  <c r="AO29" i="35"/>
  <c r="AO30" i="35"/>
  <c r="AO31" i="35"/>
  <c r="AO32" i="35"/>
  <c r="AO33" i="35"/>
  <c r="AO34" i="35"/>
  <c r="AO35" i="35"/>
  <c r="AO20" i="35"/>
  <c r="G190" i="46" l="1"/>
  <c r="G191" i="46"/>
  <c r="G192" i="46"/>
  <c r="G193" i="46"/>
  <c r="G194" i="46"/>
  <c r="G195" i="46"/>
  <c r="G196" i="46"/>
  <c r="G197" i="46"/>
  <c r="G198" i="46"/>
  <c r="G199" i="46"/>
  <c r="G200" i="46"/>
  <c r="G201" i="46"/>
  <c r="G202" i="46"/>
  <c r="G203" i="46"/>
  <c r="G189" i="46"/>
  <c r="F202" i="46"/>
  <c r="F198" i="46"/>
  <c r="F194" i="46"/>
  <c r="F190" i="46"/>
  <c r="F191" i="46"/>
  <c r="F192" i="46"/>
  <c r="F193" i="46"/>
  <c r="F195" i="46"/>
  <c r="F196" i="46"/>
  <c r="F197" i="46"/>
  <c r="F199" i="46"/>
  <c r="F200" i="46"/>
  <c r="F201" i="46"/>
  <c r="F203" i="46"/>
  <c r="F204" i="46"/>
  <c r="F189" i="46"/>
  <c r="O71" i="35"/>
  <c r="O72" i="35"/>
  <c r="O73" i="35"/>
  <c r="O74" i="35"/>
  <c r="O75" i="35"/>
  <c r="O76" i="35"/>
  <c r="O77" i="35"/>
  <c r="O78" i="35"/>
  <c r="O79" i="35"/>
  <c r="O80" i="35"/>
  <c r="O81" i="35"/>
  <c r="O82" i="35"/>
  <c r="O83" i="35"/>
  <c r="O84" i="35"/>
  <c r="O85" i="35"/>
  <c r="O86" i="35"/>
  <c r="O87" i="35"/>
  <c r="O114" i="35"/>
  <c r="O115" i="35"/>
  <c r="O116" i="35"/>
  <c r="O117" i="35"/>
  <c r="O118" i="35"/>
  <c r="O119" i="35"/>
  <c r="O120" i="35"/>
  <c r="O121" i="35"/>
  <c r="O122" i="35"/>
  <c r="O123" i="35"/>
  <c r="O124" i="35"/>
  <c r="O125" i="35"/>
  <c r="O126" i="35"/>
  <c r="O127" i="35"/>
  <c r="O128" i="35"/>
  <c r="O113" i="35"/>
  <c r="O93" i="35"/>
  <c r="O94" i="35"/>
  <c r="O95" i="35"/>
  <c r="O96" i="35"/>
  <c r="O97" i="35"/>
  <c r="O98" i="35"/>
  <c r="O99" i="35"/>
  <c r="O100" i="35"/>
  <c r="O101" i="35"/>
  <c r="O102" i="35"/>
  <c r="O103" i="35"/>
  <c r="O104" i="35"/>
  <c r="O105" i="35"/>
  <c r="O106" i="35"/>
  <c r="O107" i="35"/>
  <c r="O108" i="35"/>
  <c r="O92" i="35"/>
  <c r="AA243" i="17"/>
  <c r="AA244" i="17"/>
  <c r="AA245" i="17"/>
  <c r="AA246" i="17"/>
  <c r="AA247" i="17"/>
  <c r="AA248" i="17"/>
  <c r="AA249" i="17"/>
  <c r="AA250" i="17"/>
  <c r="AA251" i="17"/>
  <c r="AA252" i="17"/>
  <c r="AA253" i="17"/>
  <c r="AA254" i="17"/>
  <c r="AA255" i="17"/>
  <c r="AA256" i="17"/>
  <c r="AA257" i="17"/>
  <c r="AA258" i="17"/>
  <c r="AA242" i="17"/>
  <c r="Z243" i="17"/>
  <c r="H114" i="35" s="1"/>
  <c r="Z244" i="17"/>
  <c r="H115" i="35" s="1"/>
  <c r="Z245" i="17"/>
  <c r="H116" i="35" s="1"/>
  <c r="Z246" i="17"/>
  <c r="H117" i="35" s="1"/>
  <c r="Z247" i="17"/>
  <c r="H118" i="35" s="1"/>
  <c r="Z248" i="17"/>
  <c r="H119" i="35" s="1"/>
  <c r="Z249" i="17"/>
  <c r="H120" i="35" s="1"/>
  <c r="Z250" i="17"/>
  <c r="H121" i="35" s="1"/>
  <c r="Z251" i="17"/>
  <c r="H122" i="35" s="1"/>
  <c r="Z252" i="17"/>
  <c r="H123" i="35" s="1"/>
  <c r="Z253" i="17"/>
  <c r="H124" i="35" s="1"/>
  <c r="Z254" i="17"/>
  <c r="H125" i="35" s="1"/>
  <c r="Z255" i="17"/>
  <c r="H126" i="35" s="1"/>
  <c r="Z256" i="17"/>
  <c r="H127" i="35" s="1"/>
  <c r="Z257" i="17"/>
  <c r="H128" i="35" s="1"/>
  <c r="Z258" i="17"/>
  <c r="H129" i="35" s="1"/>
  <c r="H130" i="35" s="1"/>
  <c r="Z242" i="17"/>
  <c r="H113" i="35" s="1"/>
  <c r="X243" i="17"/>
  <c r="X244" i="17"/>
  <c r="X245" i="17"/>
  <c r="X246" i="17"/>
  <c r="X247" i="17"/>
  <c r="X248" i="17"/>
  <c r="X249" i="17"/>
  <c r="X250" i="17"/>
  <c r="X251" i="17"/>
  <c r="X252" i="17"/>
  <c r="X253" i="17"/>
  <c r="X254" i="17"/>
  <c r="X255" i="17"/>
  <c r="X256" i="17"/>
  <c r="X257" i="17"/>
  <c r="X258" i="17"/>
  <c r="X242" i="17"/>
  <c r="W243" i="17"/>
  <c r="H93" i="35" s="1"/>
  <c r="W244" i="17"/>
  <c r="H94" i="35" s="1"/>
  <c r="W245" i="17"/>
  <c r="H95" i="35" s="1"/>
  <c r="W246" i="17"/>
  <c r="H96" i="35" s="1"/>
  <c r="W247" i="17"/>
  <c r="H97" i="35" s="1"/>
  <c r="W248" i="17"/>
  <c r="H98" i="35" s="1"/>
  <c r="W249" i="17"/>
  <c r="H99" i="35" s="1"/>
  <c r="W250" i="17"/>
  <c r="H100" i="35" s="1"/>
  <c r="W251" i="17"/>
  <c r="H101" i="35" s="1"/>
  <c r="W252" i="17"/>
  <c r="H102" i="35" s="1"/>
  <c r="W253" i="17"/>
  <c r="H103" i="35" s="1"/>
  <c r="W254" i="17"/>
  <c r="H104" i="35" s="1"/>
  <c r="W255" i="17"/>
  <c r="H105" i="35" s="1"/>
  <c r="W256" i="17"/>
  <c r="H106" i="35" s="1"/>
  <c r="W257" i="17"/>
  <c r="H107" i="35" s="1"/>
  <c r="W258" i="17"/>
  <c r="H108" i="35" s="1"/>
  <c r="H109" i="35" s="1"/>
  <c r="W242" i="17"/>
  <c r="H92" i="35" s="1"/>
  <c r="U243" i="17"/>
  <c r="U244" i="17"/>
  <c r="U245" i="17"/>
  <c r="U246" i="17"/>
  <c r="U247" i="17"/>
  <c r="U248" i="17"/>
  <c r="U249" i="17"/>
  <c r="U250" i="17"/>
  <c r="U251" i="17"/>
  <c r="U252" i="17"/>
  <c r="U253" i="17"/>
  <c r="U254" i="17"/>
  <c r="U255" i="17"/>
  <c r="U256" i="17"/>
  <c r="U257" i="17"/>
  <c r="U258" i="17"/>
  <c r="U242" i="17"/>
  <c r="T243" i="17"/>
  <c r="T244" i="17"/>
  <c r="T245" i="17"/>
  <c r="T246" i="17"/>
  <c r="T247" i="17"/>
  <c r="T248" i="17"/>
  <c r="T249" i="17"/>
  <c r="T250" i="17"/>
  <c r="T251" i="17"/>
  <c r="T252" i="17"/>
  <c r="T253" i="17"/>
  <c r="T254" i="17"/>
  <c r="T255" i="17"/>
  <c r="T256" i="17"/>
  <c r="T257" i="17"/>
  <c r="T258" i="17"/>
  <c r="T242" i="17"/>
  <c r="N72" i="35" l="1"/>
  <c r="N73" i="35"/>
  <c r="N74" i="35"/>
  <c r="N75" i="35"/>
  <c r="N76" i="35"/>
  <c r="N77" i="35"/>
  <c r="N78" i="35"/>
  <c r="N79" i="35"/>
  <c r="N80" i="35"/>
  <c r="N81" i="35"/>
  <c r="N82" i="35"/>
  <c r="N83" i="35"/>
  <c r="N84" i="35"/>
  <c r="N85" i="35"/>
  <c r="N86" i="35"/>
  <c r="N87" i="35"/>
  <c r="N71" i="35"/>
  <c r="E87" i="35"/>
  <c r="AL259" i="17"/>
  <c r="AK259" i="17"/>
  <c r="AJ259" i="17"/>
  <c r="AG259" i="17"/>
  <c r="AH259" i="17"/>
  <c r="AF259" i="17"/>
  <c r="R243" i="17"/>
  <c r="R244" i="17"/>
  <c r="R245" i="17"/>
  <c r="R246" i="17"/>
  <c r="R247" i="17"/>
  <c r="R248" i="17"/>
  <c r="R249" i="17"/>
  <c r="R250" i="17"/>
  <c r="R251" i="17"/>
  <c r="R252" i="17"/>
  <c r="R253" i="17"/>
  <c r="R254" i="17"/>
  <c r="R255" i="17"/>
  <c r="R256" i="17"/>
  <c r="R257" i="17"/>
  <c r="R258" i="17"/>
  <c r="R242" i="17"/>
  <c r="Q243" i="17"/>
  <c r="Q244" i="17"/>
  <c r="Q245" i="17"/>
  <c r="Q246" i="17"/>
  <c r="Q247" i="17"/>
  <c r="Q248" i="17"/>
  <c r="Q249" i="17"/>
  <c r="Q250" i="17"/>
  <c r="Q251" i="17"/>
  <c r="Q252" i="17"/>
  <c r="Q253" i="17"/>
  <c r="Q254" i="17"/>
  <c r="Q255" i="17"/>
  <c r="Q256" i="17"/>
  <c r="Q257" i="17"/>
  <c r="Q258" i="17"/>
  <c r="Q242" i="17"/>
  <c r="O242" i="17"/>
  <c r="O243" i="17"/>
  <c r="O244" i="17"/>
  <c r="O245" i="17"/>
  <c r="O246" i="17"/>
  <c r="O247" i="17"/>
  <c r="O248" i="17"/>
  <c r="O249" i="17"/>
  <c r="O250" i="17"/>
  <c r="O251" i="17"/>
  <c r="O252" i="17"/>
  <c r="O253" i="17"/>
  <c r="O254" i="17"/>
  <c r="O255" i="17"/>
  <c r="O256" i="17"/>
  <c r="O257" i="17"/>
  <c r="O258" i="17"/>
  <c r="R238" i="17"/>
  <c r="O238" i="17"/>
  <c r="N243" i="17"/>
  <c r="N244" i="17"/>
  <c r="N245" i="17"/>
  <c r="N246" i="17"/>
  <c r="N247" i="17"/>
  <c r="N248" i="17"/>
  <c r="N249" i="17"/>
  <c r="N250" i="17"/>
  <c r="N251" i="17"/>
  <c r="N252" i="17"/>
  <c r="N253" i="17"/>
  <c r="N254" i="17"/>
  <c r="N255" i="17"/>
  <c r="N256" i="17"/>
  <c r="N257" i="17"/>
  <c r="N258" i="17"/>
  <c r="N242" i="17"/>
  <c r="H88" i="35" l="1"/>
  <c r="P72" i="35"/>
  <c r="P73" i="35"/>
  <c r="P74" i="35"/>
  <c r="P75" i="35"/>
  <c r="P76" i="35"/>
  <c r="P77" i="35"/>
  <c r="P78" i="35"/>
  <c r="P79" i="35"/>
  <c r="P80" i="35"/>
  <c r="P81" i="35"/>
  <c r="P82" i="35"/>
  <c r="P83" i="35"/>
  <c r="P84" i="35"/>
  <c r="P85" i="35"/>
  <c r="P86" i="35"/>
  <c r="P71" i="35"/>
  <c r="W279" i="17" l="1"/>
  <c r="X270" i="17"/>
  <c r="X264" i="17"/>
  <c r="X279" i="17"/>
  <c r="U264" i="17"/>
  <c r="M279" i="17"/>
  <c r="G280" i="17"/>
  <c r="G264" i="17"/>
  <c r="V280" i="17" l="1"/>
  <c r="P280" i="17"/>
  <c r="H280" i="17"/>
  <c r="F280" i="17"/>
  <c r="O279" i="17"/>
  <c r="G279" i="17"/>
  <c r="O278" i="17"/>
  <c r="M278" i="17"/>
  <c r="I278" i="17"/>
  <c r="J278" i="17" s="1"/>
  <c r="G278" i="17"/>
  <c r="M277" i="17"/>
  <c r="O277" i="17" s="1"/>
  <c r="G277" i="17"/>
  <c r="O276" i="17"/>
  <c r="M276" i="17"/>
  <c r="I276" i="17"/>
  <c r="J276" i="17" s="1"/>
  <c r="G276" i="17"/>
  <c r="M275" i="17"/>
  <c r="O275" i="17" s="1"/>
  <c r="G275" i="17"/>
  <c r="O274" i="17"/>
  <c r="M274" i="17"/>
  <c r="I274" i="17"/>
  <c r="J274" i="17" s="1"/>
  <c r="G274" i="17"/>
  <c r="M273" i="17"/>
  <c r="O273" i="17" s="1"/>
  <c r="G273" i="17"/>
  <c r="O272" i="17"/>
  <c r="M272" i="17"/>
  <c r="I272" i="17"/>
  <c r="J272" i="17" s="1"/>
  <c r="G272" i="17"/>
  <c r="M271" i="17"/>
  <c r="O271" i="17" s="1"/>
  <c r="G271" i="17"/>
  <c r="M270" i="17"/>
  <c r="O270" i="17" s="1"/>
  <c r="I270" i="17"/>
  <c r="J270" i="17" s="1"/>
  <c r="G270" i="17"/>
  <c r="M269" i="17"/>
  <c r="O269" i="17" s="1"/>
  <c r="G269" i="17"/>
  <c r="M268" i="17"/>
  <c r="O268" i="17" s="1"/>
  <c r="I268" i="17"/>
  <c r="J268" i="17" s="1"/>
  <c r="G268" i="17"/>
  <c r="M267" i="17"/>
  <c r="O267" i="17" s="1"/>
  <c r="G267" i="17"/>
  <c r="M266" i="17"/>
  <c r="O266" i="17" s="1"/>
  <c r="I266" i="17"/>
  <c r="J266" i="17" s="1"/>
  <c r="G266" i="17"/>
  <c r="M265" i="17"/>
  <c r="G265" i="17"/>
  <c r="M264" i="17"/>
  <c r="O264" i="17" s="1"/>
  <c r="I264" i="17"/>
  <c r="O265" i="17" l="1"/>
  <c r="O280" i="17" s="1"/>
  <c r="M280" i="17"/>
  <c r="J264" i="17"/>
  <c r="I265" i="17"/>
  <c r="J265" i="17" s="1"/>
  <c r="I267" i="17"/>
  <c r="J267" i="17" s="1"/>
  <c r="I269" i="17"/>
  <c r="J269" i="17" s="1"/>
  <c r="I271" i="17"/>
  <c r="J271" i="17" s="1"/>
  <c r="I273" i="17"/>
  <c r="J273" i="17" s="1"/>
  <c r="I275" i="17"/>
  <c r="J275" i="17" s="1"/>
  <c r="I277" i="17"/>
  <c r="J277" i="17" s="1"/>
  <c r="I279" i="17"/>
  <c r="J279" i="17" s="1"/>
  <c r="Q278" i="17" l="1"/>
  <c r="S278" i="17" s="1"/>
  <c r="Q276" i="17"/>
  <c r="S276" i="17" s="1"/>
  <c r="Q279" i="17"/>
  <c r="S279" i="17" s="1"/>
  <c r="Q277" i="17"/>
  <c r="S277" i="17" s="1"/>
  <c r="Q275" i="17"/>
  <c r="S275" i="17" s="1"/>
  <c r="Q273" i="17"/>
  <c r="S273" i="17" s="1"/>
  <c r="Q271" i="17"/>
  <c r="S271" i="17" s="1"/>
  <c r="Q269" i="17"/>
  <c r="S269" i="17" s="1"/>
  <c r="Q267" i="17"/>
  <c r="S267" i="17" s="1"/>
  <c r="Q265" i="17"/>
  <c r="S265" i="17" s="1"/>
  <c r="Q274" i="17"/>
  <c r="S274" i="17" s="1"/>
  <c r="Q270" i="17"/>
  <c r="S270" i="17" s="1"/>
  <c r="Q266" i="17"/>
  <c r="S266" i="17" s="1"/>
  <c r="Q272" i="17"/>
  <c r="S272" i="17" s="1"/>
  <c r="Q268" i="17"/>
  <c r="S268" i="17" s="1"/>
  <c r="Q264" i="17"/>
  <c r="I280" i="17"/>
  <c r="J280" i="17" s="1"/>
  <c r="Q280" i="17" l="1"/>
  <c r="S264" i="17"/>
  <c r="S280" i="17" l="1"/>
  <c r="T277" i="17" l="1"/>
  <c r="U277" i="17" s="1"/>
  <c r="W277" i="17" s="1"/>
  <c r="T279" i="17"/>
  <c r="U279" i="17" s="1"/>
  <c r="T276" i="17"/>
  <c r="U276" i="17" s="1"/>
  <c r="W276" i="17" s="1"/>
  <c r="T278" i="17"/>
  <c r="U278" i="17" s="1"/>
  <c r="W278" i="17" s="1"/>
  <c r="T268" i="17"/>
  <c r="U268" i="17" s="1"/>
  <c r="W268" i="17" s="1"/>
  <c r="T272" i="17"/>
  <c r="U272" i="17" s="1"/>
  <c r="W272" i="17" s="1"/>
  <c r="T266" i="17"/>
  <c r="U266" i="17" s="1"/>
  <c r="W266" i="17" s="1"/>
  <c r="T270" i="17"/>
  <c r="U270" i="17" s="1"/>
  <c r="W270" i="17" s="1"/>
  <c r="T274" i="17"/>
  <c r="U274" i="17" s="1"/>
  <c r="W274" i="17" s="1"/>
  <c r="T265" i="17"/>
  <c r="U265" i="17" s="1"/>
  <c r="W265" i="17" s="1"/>
  <c r="T267" i="17"/>
  <c r="U267" i="17" s="1"/>
  <c r="W267" i="17" s="1"/>
  <c r="T269" i="17"/>
  <c r="U269" i="17" s="1"/>
  <c r="W269" i="17" s="1"/>
  <c r="T271" i="17"/>
  <c r="U271" i="17" s="1"/>
  <c r="W271" i="17" s="1"/>
  <c r="T273" i="17"/>
  <c r="U273" i="17" s="1"/>
  <c r="W273" i="17" s="1"/>
  <c r="T275" i="17"/>
  <c r="U275" i="17" s="1"/>
  <c r="W275" i="17" s="1"/>
  <c r="T264" i="17"/>
  <c r="T280" i="17" l="1"/>
  <c r="Z269" i="17"/>
  <c r="AA269" i="17" s="1"/>
  <c r="AB269" i="17" s="1"/>
  <c r="X269" i="17"/>
  <c r="Z270" i="17"/>
  <c r="AA270" i="17" s="1"/>
  <c r="AB270" i="17" s="1"/>
  <c r="Z278" i="17"/>
  <c r="AA278" i="17" s="1"/>
  <c r="AB278" i="17" s="1"/>
  <c r="X278" i="17"/>
  <c r="Z275" i="17"/>
  <c r="AA275" i="17" s="1"/>
  <c r="AB275" i="17" s="1"/>
  <c r="X275" i="17"/>
  <c r="Z267" i="17"/>
  <c r="AA267" i="17" s="1"/>
  <c r="AB267" i="17" s="1"/>
  <c r="X267" i="17"/>
  <c r="X266" i="17"/>
  <c r="Z266" i="17"/>
  <c r="AA266" i="17" s="1"/>
  <c r="AB266" i="17" s="1"/>
  <c r="X276" i="17"/>
  <c r="Z276" i="17"/>
  <c r="AA276" i="17" s="1"/>
  <c r="AB276" i="17" s="1"/>
  <c r="Z273" i="17"/>
  <c r="AA273" i="17" s="1"/>
  <c r="AB273" i="17" s="1"/>
  <c r="X273" i="17"/>
  <c r="Z265" i="17"/>
  <c r="AA265" i="17" s="1"/>
  <c r="AB265" i="17" s="1"/>
  <c r="X265" i="17"/>
  <c r="Z272" i="17"/>
  <c r="AA272" i="17" s="1"/>
  <c r="AB272" i="17" s="1"/>
  <c r="X272" i="17"/>
  <c r="Z279" i="17"/>
  <c r="AA279" i="17" s="1"/>
  <c r="AB279" i="17" s="1"/>
  <c r="Z271" i="17"/>
  <c r="AA271" i="17" s="1"/>
  <c r="AB271" i="17" s="1"/>
  <c r="X271" i="17"/>
  <c r="X274" i="17"/>
  <c r="Z274" i="17"/>
  <c r="AA274" i="17" s="1"/>
  <c r="AB274" i="17" s="1"/>
  <c r="Z268" i="17"/>
  <c r="AA268" i="17" s="1"/>
  <c r="AB268" i="17" s="1"/>
  <c r="X268" i="17"/>
  <c r="Z277" i="17"/>
  <c r="AA277" i="17" s="1"/>
  <c r="AB277" i="17" s="1"/>
  <c r="X277" i="17"/>
  <c r="U280" i="17" l="1"/>
  <c r="W264" i="17"/>
  <c r="X280" i="17" l="1"/>
  <c r="W280" i="17"/>
  <c r="Z264" i="17"/>
  <c r="AA264" i="17" s="1"/>
  <c r="AB264" i="17" s="1"/>
  <c r="AB281" i="17" l="1"/>
  <c r="AB280" i="17"/>
  <c r="C86" i="45" l="1"/>
  <c r="C86" i="44"/>
  <c r="C86" i="43"/>
  <c r="C87" i="39"/>
  <c r="D93" i="44" l="1"/>
  <c r="D93" i="43"/>
  <c r="D94" i="39"/>
  <c r="D94" i="30"/>
  <c r="E67" i="30" l="1"/>
  <c r="F67" i="30"/>
  <c r="G67" i="30"/>
  <c r="H67" i="30"/>
  <c r="I67" i="30"/>
  <c r="J67" i="30"/>
  <c r="K67" i="30"/>
  <c r="L67" i="30"/>
  <c r="M67" i="30"/>
  <c r="N67" i="30"/>
  <c r="O67" i="30"/>
  <c r="P67" i="30"/>
  <c r="Q67" i="30"/>
  <c r="R67" i="30"/>
  <c r="S67" i="30"/>
  <c r="D67" i="30"/>
  <c r="N43" i="46" l="1"/>
  <c r="N44" i="46"/>
  <c r="N45" i="46"/>
  <c r="N46" i="46"/>
  <c r="N47" i="46"/>
  <c r="N48" i="46"/>
  <c r="N49" i="46"/>
  <c r="N50" i="46"/>
  <c r="N52" i="46"/>
  <c r="N53" i="46"/>
  <c r="N54" i="46"/>
  <c r="N55" i="46"/>
  <c r="N56" i="46"/>
  <c r="N57" i="46"/>
  <c r="N42" i="46"/>
  <c r="H66" i="46"/>
  <c r="I66" i="46"/>
  <c r="L66" i="46" s="1"/>
  <c r="J66" i="46"/>
  <c r="K66" i="46"/>
  <c r="H68" i="46"/>
  <c r="I68" i="46"/>
  <c r="L68" i="46" s="1"/>
  <c r="J68" i="46"/>
  <c r="K68" i="46"/>
  <c r="D59" i="46"/>
  <c r="C59" i="46"/>
  <c r="E59" i="46" s="1"/>
  <c r="H67" i="46" s="1"/>
  <c r="H63" i="46"/>
  <c r="I63" i="46"/>
  <c r="J63" i="46"/>
  <c r="L63" i="46" s="1"/>
  <c r="K63" i="46"/>
  <c r="H64" i="46"/>
  <c r="I64" i="46"/>
  <c r="L64" i="46" s="1"/>
  <c r="J64" i="46"/>
  <c r="K64" i="46"/>
  <c r="H65" i="46"/>
  <c r="I65" i="46"/>
  <c r="L65" i="46" s="1"/>
  <c r="J65" i="46"/>
  <c r="K65" i="46"/>
  <c r="K62" i="46"/>
  <c r="J62" i="46"/>
  <c r="I62" i="46"/>
  <c r="H62" i="46"/>
  <c r="L62" i="46" s="1"/>
  <c r="G4" i="46"/>
  <c r="G5" i="46"/>
  <c r="G6" i="46"/>
  <c r="G7" i="46"/>
  <c r="G8" i="46"/>
  <c r="G9" i="46"/>
  <c r="G10" i="46"/>
  <c r="G11" i="46"/>
  <c r="G12" i="46"/>
  <c r="G13" i="46"/>
  <c r="G14" i="46"/>
  <c r="G15" i="46"/>
  <c r="G16" i="46"/>
  <c r="G17" i="46"/>
  <c r="G18" i="46"/>
  <c r="G3" i="46"/>
  <c r="E23" i="46"/>
  <c r="D23" i="46"/>
  <c r="C23" i="46"/>
  <c r="E22" i="46"/>
  <c r="D22" i="46"/>
  <c r="C22" i="46"/>
  <c r="E21" i="46"/>
  <c r="D21" i="46"/>
  <c r="C21" i="46"/>
  <c r="E19" i="46"/>
  <c r="D19" i="46"/>
  <c r="C19" i="46"/>
  <c r="E18" i="46"/>
  <c r="E17" i="46"/>
  <c r="E16" i="46"/>
  <c r="E15" i="46"/>
  <c r="E14" i="46"/>
  <c r="E13" i="46"/>
  <c r="E12" i="46"/>
  <c r="E11" i="46"/>
  <c r="E10" i="46"/>
  <c r="E9" i="46"/>
  <c r="E8" i="46"/>
  <c r="E7" i="46"/>
  <c r="E6" i="46"/>
  <c r="E5" i="46"/>
  <c r="E4" i="46"/>
  <c r="E3" i="46"/>
  <c r="G46" i="27"/>
  <c r="AE41" i="34"/>
  <c r="AE42" i="34"/>
  <c r="AF42" i="34"/>
  <c r="AG42" i="34"/>
  <c r="AH42" i="34"/>
  <c r="AI42" i="34"/>
  <c r="AF41" i="34"/>
  <c r="AG41" i="34"/>
  <c r="AH41" i="34"/>
  <c r="AI41" i="34"/>
  <c r="H42" i="27"/>
  <c r="H27" i="27"/>
  <c r="H28" i="27"/>
  <c r="H29" i="27"/>
  <c r="H30" i="27"/>
  <c r="H31" i="27"/>
  <c r="H32" i="27"/>
  <c r="H33" i="27"/>
  <c r="H34" i="27"/>
  <c r="H35" i="27"/>
  <c r="H36" i="27"/>
  <c r="H37" i="27"/>
  <c r="H38" i="27"/>
  <c r="H39" i="27"/>
  <c r="H40" i="27"/>
  <c r="H41" i="27"/>
  <c r="H26" i="27"/>
  <c r="G49" i="25"/>
  <c r="G48" i="25"/>
  <c r="K67" i="46" l="1"/>
  <c r="J67" i="46"/>
  <c r="I67" i="46"/>
  <c r="L67" i="46" s="1"/>
  <c r="H29" i="25"/>
  <c r="H30" i="25"/>
  <c r="H31" i="25"/>
  <c r="H32" i="25"/>
  <c r="H33" i="25"/>
  <c r="H34" i="25"/>
  <c r="H35" i="25"/>
  <c r="H36" i="25"/>
  <c r="H37" i="25"/>
  <c r="H38" i="25"/>
  <c r="H39" i="25"/>
  <c r="H40" i="25"/>
  <c r="H41" i="25"/>
  <c r="H42" i="25"/>
  <c r="H43" i="25"/>
  <c r="H44" i="25"/>
  <c r="H28" i="25"/>
  <c r="F90" i="17"/>
  <c r="E89" i="17"/>
  <c r="P113" i="17"/>
  <c r="Q113" i="17"/>
  <c r="P98" i="17"/>
  <c r="P99" i="17"/>
  <c r="P100" i="17"/>
  <c r="P101" i="17"/>
  <c r="P102" i="17"/>
  <c r="P103" i="17"/>
  <c r="P104" i="17"/>
  <c r="P105" i="17"/>
  <c r="P106" i="17"/>
  <c r="P107" i="17"/>
  <c r="P108" i="17"/>
  <c r="P109" i="17"/>
  <c r="P110" i="17"/>
  <c r="P111" i="17"/>
  <c r="P112" i="17"/>
  <c r="P97" i="17"/>
  <c r="Q98" i="17"/>
  <c r="Q99" i="17"/>
  <c r="Q100" i="17"/>
  <c r="Q101" i="17"/>
  <c r="Q102" i="17"/>
  <c r="Q103" i="17"/>
  <c r="Q104" i="17"/>
  <c r="Q105" i="17"/>
  <c r="Q106" i="17"/>
  <c r="Q107" i="17"/>
  <c r="Q108" i="17"/>
  <c r="Q109" i="17"/>
  <c r="Q110" i="17"/>
  <c r="Q111" i="17"/>
  <c r="Q112" i="17"/>
  <c r="Q97" i="17"/>
  <c r="G46" i="34"/>
  <c r="H27" i="34"/>
  <c r="H28" i="34"/>
  <c r="H29" i="34"/>
  <c r="H30" i="34"/>
  <c r="H31" i="34"/>
  <c r="H32" i="34"/>
  <c r="H33" i="34"/>
  <c r="H34" i="34"/>
  <c r="H35" i="34"/>
  <c r="H36" i="34"/>
  <c r="H37" i="34"/>
  <c r="H38" i="34"/>
  <c r="H39" i="34"/>
  <c r="H40" i="34"/>
  <c r="H41" i="34"/>
  <c r="H26" i="34"/>
  <c r="D91" i="40"/>
  <c r="D91" i="31"/>
  <c r="C91" i="16"/>
  <c r="G79" i="40"/>
  <c r="F79" i="40"/>
  <c r="E79" i="40"/>
  <c r="C77" i="40"/>
  <c r="C79" i="40"/>
  <c r="G77" i="40"/>
  <c r="F77" i="40"/>
  <c r="E77" i="40"/>
  <c r="D77" i="40"/>
  <c r="H77" i="40"/>
  <c r="D77" i="31"/>
  <c r="H77" i="31"/>
  <c r="G77" i="31"/>
  <c r="F77" i="31"/>
  <c r="E77" i="31"/>
  <c r="C77" i="31"/>
  <c r="G79" i="31"/>
  <c r="F79" i="31"/>
  <c r="E79" i="31"/>
  <c r="C79" i="31"/>
  <c r="H77" i="16"/>
  <c r="G79" i="16"/>
  <c r="D77" i="16"/>
  <c r="E77" i="16"/>
  <c r="G77" i="16"/>
  <c r="C77" i="16"/>
  <c r="F77" i="16"/>
  <c r="F79" i="16"/>
  <c r="E79" i="16"/>
  <c r="C79" i="16"/>
  <c r="I27" i="40"/>
  <c r="I27" i="31"/>
  <c r="I27" i="16"/>
  <c r="D367" i="22" l="1"/>
  <c r="D365" i="22"/>
  <c r="D363" i="22"/>
  <c r="H159" i="46" l="1"/>
  <c r="H160" i="46"/>
  <c r="H161" i="46"/>
  <c r="H162" i="46"/>
  <c r="H163" i="46"/>
  <c r="H164" i="46"/>
  <c r="H165" i="46"/>
  <c r="H166" i="46"/>
  <c r="H167" i="46"/>
  <c r="H168" i="46"/>
  <c r="H169" i="46"/>
  <c r="H170" i="46"/>
  <c r="H171" i="46"/>
  <c r="H172" i="46"/>
  <c r="H173" i="46"/>
  <c r="H158" i="46"/>
  <c r="M161" i="46"/>
  <c r="L161" i="46"/>
  <c r="K161" i="46"/>
  <c r="G159" i="46"/>
  <c r="G160" i="46"/>
  <c r="G161" i="46"/>
  <c r="G162" i="46"/>
  <c r="G163" i="46"/>
  <c r="G164" i="46"/>
  <c r="G165" i="46"/>
  <c r="G166" i="46"/>
  <c r="G167" i="46"/>
  <c r="G168" i="46"/>
  <c r="G169" i="46"/>
  <c r="G170" i="46"/>
  <c r="G171" i="46"/>
  <c r="G172" i="46"/>
  <c r="G173" i="46"/>
  <c r="G158" i="46"/>
  <c r="M158" i="46"/>
  <c r="L158" i="46"/>
  <c r="K158" i="46"/>
  <c r="N161" i="46"/>
  <c r="G343" i="22"/>
  <c r="F343" i="22"/>
  <c r="G58" i="11" l="1"/>
  <c r="E58" i="11"/>
  <c r="I55" i="11"/>
  <c r="J51" i="11"/>
  <c r="E55" i="11"/>
  <c r="H197" i="35" l="1"/>
  <c r="G37" i="46" l="1"/>
  <c r="K43" i="46"/>
  <c r="K44" i="46"/>
  <c r="K45" i="46"/>
  <c r="K46" i="46"/>
  <c r="K47" i="46"/>
  <c r="K48" i="46"/>
  <c r="K49" i="46"/>
  <c r="K50" i="46"/>
  <c r="K52" i="46"/>
  <c r="K53" i="46"/>
  <c r="K54" i="46"/>
  <c r="K55" i="46"/>
  <c r="K56" i="46"/>
  <c r="K57" i="46"/>
  <c r="K42" i="46"/>
  <c r="J43" i="46"/>
  <c r="J44" i="46"/>
  <c r="J45" i="46"/>
  <c r="J46" i="46"/>
  <c r="J47" i="46"/>
  <c r="J48" i="46"/>
  <c r="J49" i="46"/>
  <c r="J50" i="46"/>
  <c r="J52" i="46"/>
  <c r="J53" i="46"/>
  <c r="J54" i="46"/>
  <c r="J55" i="46"/>
  <c r="J56" i="46"/>
  <c r="J57" i="46"/>
  <c r="J42" i="46"/>
  <c r="I43" i="46"/>
  <c r="I44" i="46"/>
  <c r="I45" i="46"/>
  <c r="I46" i="46"/>
  <c r="I47" i="46"/>
  <c r="I48" i="46"/>
  <c r="I49" i="46"/>
  <c r="I50" i="46"/>
  <c r="I52" i="46"/>
  <c r="I53" i="46"/>
  <c r="I54" i="46"/>
  <c r="I55" i="46"/>
  <c r="I56" i="46"/>
  <c r="I57" i="46"/>
  <c r="I42" i="46"/>
  <c r="H43" i="46"/>
  <c r="L43" i="46" s="1"/>
  <c r="M43" i="46" s="1"/>
  <c r="H44" i="46"/>
  <c r="L44" i="46" s="1"/>
  <c r="M44" i="46" s="1"/>
  <c r="H45" i="46"/>
  <c r="L45" i="46" s="1"/>
  <c r="M45" i="46" s="1"/>
  <c r="H46" i="46"/>
  <c r="L46" i="46" s="1"/>
  <c r="M46" i="46" s="1"/>
  <c r="H47" i="46"/>
  <c r="L47" i="46" s="1"/>
  <c r="M47" i="46" s="1"/>
  <c r="H48" i="46"/>
  <c r="L48" i="46" s="1"/>
  <c r="M48" i="46" s="1"/>
  <c r="H49" i="46"/>
  <c r="L49" i="46" s="1"/>
  <c r="M49" i="46" s="1"/>
  <c r="H50" i="46"/>
  <c r="L50" i="46" s="1"/>
  <c r="M50" i="46" s="1"/>
  <c r="H52" i="46"/>
  <c r="L52" i="46" s="1"/>
  <c r="M52" i="46" s="1"/>
  <c r="H53" i="46"/>
  <c r="L53" i="46" s="1"/>
  <c r="M53" i="46" s="1"/>
  <c r="H54" i="46"/>
  <c r="L54" i="46" s="1"/>
  <c r="M54" i="46" s="1"/>
  <c r="H55" i="46"/>
  <c r="L55" i="46" s="1"/>
  <c r="M55" i="46" s="1"/>
  <c r="H56" i="46"/>
  <c r="L56" i="46" s="1"/>
  <c r="M56" i="46" s="1"/>
  <c r="H57" i="46"/>
  <c r="L57" i="46" s="1"/>
  <c r="M57" i="46" s="1"/>
  <c r="H42" i="46"/>
  <c r="L42" i="46" s="1"/>
  <c r="M42" i="46" s="1"/>
  <c r="E35" i="46" l="1"/>
  <c r="E36" i="46"/>
  <c r="E37" i="46"/>
  <c r="E38" i="46"/>
  <c r="E39" i="46"/>
  <c r="E40" i="46"/>
  <c r="E41" i="46"/>
  <c r="E42" i="46"/>
  <c r="E43" i="46"/>
  <c r="E44" i="46"/>
  <c r="E45" i="46"/>
  <c r="E46" i="46"/>
  <c r="E47" i="46"/>
  <c r="E48" i="46"/>
  <c r="E49" i="46"/>
  <c r="E34" i="46"/>
  <c r="AE135" i="46"/>
  <c r="AE127" i="46"/>
  <c r="AE120" i="46"/>
  <c r="AE112" i="46"/>
  <c r="AE105" i="46"/>
  <c r="AE97" i="46"/>
  <c r="AE90" i="46"/>
  <c r="AE82" i="46"/>
  <c r="AE75" i="46"/>
  <c r="AE67" i="46"/>
  <c r="AE60" i="46"/>
  <c r="AE52" i="46"/>
  <c r="AE45" i="46"/>
  <c r="AE37" i="46"/>
  <c r="AS26" i="46"/>
  <c r="AR26" i="46"/>
  <c r="AR49" i="46" s="1"/>
  <c r="AO26" i="46"/>
  <c r="AN26" i="46"/>
  <c r="AN71" i="46" s="1"/>
  <c r="AM26" i="46"/>
  <c r="AM56" i="46" s="1"/>
  <c r="AK26" i="46"/>
  <c r="AJ26" i="46"/>
  <c r="AJ49" i="46" s="1"/>
  <c r="AI26" i="46"/>
  <c r="AI41" i="46" s="1"/>
  <c r="AE30" i="46"/>
  <c r="AN23" i="46"/>
  <c r="AJ23" i="46"/>
  <c r="AI23" i="46"/>
  <c r="AQ22" i="46"/>
  <c r="AQ30" i="46" s="1"/>
  <c r="AP22" i="46"/>
  <c r="AP30" i="46" s="1"/>
  <c r="AM22" i="46"/>
  <c r="AM30" i="46" s="1"/>
  <c r="AL22" i="46"/>
  <c r="AL30" i="46" s="1"/>
  <c r="AI22" i="46"/>
  <c r="AI30" i="46" s="1"/>
  <c r="AI67" i="46" s="1"/>
  <c r="AT26" i="46"/>
  <c r="AQ26" i="46"/>
  <c r="AQ116" i="46" s="1"/>
  <c r="AP26" i="46"/>
  <c r="AP71" i="46" s="1"/>
  <c r="AL26" i="46"/>
  <c r="AL101" i="46" s="1"/>
  <c r="AT23" i="46"/>
  <c r="AT53" i="46" s="1"/>
  <c r="AS23" i="46"/>
  <c r="AS128" i="46" s="1"/>
  <c r="AP23" i="46"/>
  <c r="AP46" i="46" s="1"/>
  <c r="AO23" i="46"/>
  <c r="AO113" i="46" s="1"/>
  <c r="AL23" i="46"/>
  <c r="AK23" i="46"/>
  <c r="AK68" i="46" s="1"/>
  <c r="AS22" i="46"/>
  <c r="AS30" i="46" s="1"/>
  <c r="AS75" i="46" s="1"/>
  <c r="AR22" i="46"/>
  <c r="AR30" i="46" s="1"/>
  <c r="AO22" i="46"/>
  <c r="AO30" i="46" s="1"/>
  <c r="AO112" i="46" s="1"/>
  <c r="AN22" i="46"/>
  <c r="AN30" i="46" s="1"/>
  <c r="AK22" i="46"/>
  <c r="AK30" i="46" s="1"/>
  <c r="AJ22" i="46"/>
  <c r="AJ30" i="46" s="1"/>
  <c r="AE22" i="46"/>
  <c r="K51" i="46" l="1"/>
  <c r="K59" i="46" s="1"/>
  <c r="J51" i="46"/>
  <c r="J59" i="46" s="1"/>
  <c r="I51" i="46"/>
  <c r="I59" i="46" s="1"/>
  <c r="H51" i="46"/>
  <c r="H59" i="46" s="1"/>
  <c r="L59" i="46" s="1"/>
  <c r="AO98" i="46"/>
  <c r="AO99" i="46" s="1"/>
  <c r="AK38" i="46"/>
  <c r="AO38" i="46"/>
  <c r="AQ124" i="46"/>
  <c r="AO61" i="46"/>
  <c r="AO68" i="46"/>
  <c r="AO91" i="46"/>
  <c r="AQ49" i="46"/>
  <c r="AS67" i="46"/>
  <c r="AS90" i="46"/>
  <c r="AO60" i="46"/>
  <c r="AO105" i="46"/>
  <c r="AO120" i="46"/>
  <c r="AN67" i="46"/>
  <c r="AN45" i="46"/>
  <c r="AN82" i="46"/>
  <c r="AJ105" i="46"/>
  <c r="AJ60" i="46"/>
  <c r="AJ97" i="46"/>
  <c r="AJ90" i="46"/>
  <c r="AJ45" i="46"/>
  <c r="AJ67" i="46"/>
  <c r="AQ131" i="46"/>
  <c r="AN41" i="46"/>
  <c r="AR64" i="46"/>
  <c r="AQ34" i="46"/>
  <c r="AR71" i="46"/>
  <c r="AR34" i="46"/>
  <c r="AN64" i="46"/>
  <c r="AT61" i="46"/>
  <c r="AS46" i="46"/>
  <c r="AS83" i="46"/>
  <c r="AS38" i="46"/>
  <c r="AS76" i="46"/>
  <c r="AS91" i="46"/>
  <c r="AS113" i="46"/>
  <c r="AS121" i="46"/>
  <c r="AS136" i="46"/>
  <c r="AS31" i="46"/>
  <c r="AS61" i="46"/>
  <c r="AS68" i="46"/>
  <c r="AS106" i="46"/>
  <c r="AO136" i="46"/>
  <c r="AO31" i="46"/>
  <c r="AO46" i="46"/>
  <c r="AO47" i="46" s="1"/>
  <c r="AO76" i="46"/>
  <c r="AO83" i="46"/>
  <c r="AO106" i="46"/>
  <c r="AO121" i="46"/>
  <c r="AO128" i="46"/>
  <c r="AK31" i="46"/>
  <c r="AK61" i="46"/>
  <c r="AK46" i="46"/>
  <c r="AK24" i="46"/>
  <c r="AJ64" i="46"/>
  <c r="AL64" i="46"/>
  <c r="AJ41" i="46"/>
  <c r="AJ34" i="46"/>
  <c r="AJ32" i="46" s="1"/>
  <c r="AL71" i="46"/>
  <c r="AL79" i="46"/>
  <c r="AL109" i="46"/>
  <c r="AL94" i="46"/>
  <c r="AO124" i="46"/>
  <c r="AO94" i="46"/>
  <c r="AO41" i="46"/>
  <c r="AO131" i="46"/>
  <c r="AO139" i="46"/>
  <c r="AO71" i="46"/>
  <c r="AO116" i="46"/>
  <c r="AO109" i="46"/>
  <c r="AO101" i="46"/>
  <c r="AO64" i="46"/>
  <c r="AO79" i="46"/>
  <c r="AO56" i="46"/>
  <c r="AO86" i="46"/>
  <c r="AO34" i="46"/>
  <c r="AO49" i="46"/>
  <c r="AM127" i="46"/>
  <c r="AM135" i="46" s="1"/>
  <c r="AM120" i="46"/>
  <c r="AM112" i="46"/>
  <c r="AM105" i="46"/>
  <c r="AM97" i="46"/>
  <c r="AM90" i="46"/>
  <c r="AM82" i="46"/>
  <c r="AM60" i="46"/>
  <c r="AM52" i="46"/>
  <c r="AM67" i="46"/>
  <c r="AM45" i="46"/>
  <c r="AM75" i="46"/>
  <c r="AM37" i="46"/>
  <c r="AT116" i="46"/>
  <c r="AT86" i="46"/>
  <c r="AT49" i="46"/>
  <c r="AT34" i="46"/>
  <c r="AT94" i="46"/>
  <c r="AT71" i="46"/>
  <c r="AT64" i="46"/>
  <c r="AT131" i="46"/>
  <c r="AT124" i="46"/>
  <c r="AT56" i="46"/>
  <c r="AT139" i="46"/>
  <c r="AT109" i="46"/>
  <c r="AT101" i="46"/>
  <c r="AL112" i="46"/>
  <c r="AL75" i="46"/>
  <c r="AL67" i="46"/>
  <c r="AL120" i="46"/>
  <c r="AL82" i="46"/>
  <c r="AL37" i="46"/>
  <c r="AL105" i="46"/>
  <c r="AL97" i="46"/>
  <c r="AL60" i="46"/>
  <c r="AL45" i="46"/>
  <c r="AL90" i="46"/>
  <c r="AL127" i="46"/>
  <c r="AL135" i="46" s="1"/>
  <c r="AP127" i="46"/>
  <c r="AP135" i="46" s="1"/>
  <c r="AP120" i="46"/>
  <c r="AP112" i="46"/>
  <c r="AP105" i="46"/>
  <c r="AP97" i="46"/>
  <c r="AP90" i="46"/>
  <c r="AP82" i="46"/>
  <c r="AP75" i="46"/>
  <c r="AP67" i="46"/>
  <c r="AP52" i="46"/>
  <c r="AP37" i="46"/>
  <c r="AP60" i="46"/>
  <c r="AP45" i="46"/>
  <c r="AI121" i="46"/>
  <c r="AI91" i="46"/>
  <c r="AI68" i="46"/>
  <c r="AI46" i="46"/>
  <c r="AI128" i="46"/>
  <c r="AI136" i="46"/>
  <c r="AI113" i="46"/>
  <c r="AI106" i="46"/>
  <c r="AI98" i="46"/>
  <c r="AI76" i="46"/>
  <c r="AI38" i="46"/>
  <c r="AI31" i="46"/>
  <c r="AM23" i="46"/>
  <c r="AM24" i="46" s="1"/>
  <c r="AQ23" i="46"/>
  <c r="AP24" i="46" s="1"/>
  <c r="AR105" i="46"/>
  <c r="AR90" i="46"/>
  <c r="AR75" i="46"/>
  <c r="AR67" i="46"/>
  <c r="AR45" i="46"/>
  <c r="AR127" i="46"/>
  <c r="AR135" i="46" s="1"/>
  <c r="AR82" i="46"/>
  <c r="AR60" i="46"/>
  <c r="AR120" i="46"/>
  <c r="AR112" i="46"/>
  <c r="AK139" i="46"/>
  <c r="AK109" i="46"/>
  <c r="AK41" i="46"/>
  <c r="AK94" i="46"/>
  <c r="AK79" i="46"/>
  <c r="AK64" i="46"/>
  <c r="AK131" i="46"/>
  <c r="AK86" i="46"/>
  <c r="AK56" i="46"/>
  <c r="AK124" i="46"/>
  <c r="AK116" i="46"/>
  <c r="AK49" i="46"/>
  <c r="AK34" i="46"/>
  <c r="AS139" i="46"/>
  <c r="AS131" i="46"/>
  <c r="AS124" i="46"/>
  <c r="AS116" i="46"/>
  <c r="AS109" i="46"/>
  <c r="AS101" i="46"/>
  <c r="AS94" i="46"/>
  <c r="AS86" i="46"/>
  <c r="AS79" i="46"/>
  <c r="AS41" i="46"/>
  <c r="AS49" i="46"/>
  <c r="AS34" i="46"/>
  <c r="AS71" i="46"/>
  <c r="AS64" i="46"/>
  <c r="AL52" i="46"/>
  <c r="AI61" i="46"/>
  <c r="AK101" i="46"/>
  <c r="AI127" i="46"/>
  <c r="AI135" i="46" s="1"/>
  <c r="AI120" i="46"/>
  <c r="AI112" i="46"/>
  <c r="AI105" i="46"/>
  <c r="AI97" i="46"/>
  <c r="AI90" i="46"/>
  <c r="AI82" i="46"/>
  <c r="AI60" i="46"/>
  <c r="AI52" i="46"/>
  <c r="AI75" i="46"/>
  <c r="AI37" i="46"/>
  <c r="AQ127" i="46"/>
  <c r="AQ135" i="46" s="1"/>
  <c r="AQ120" i="46"/>
  <c r="AQ112" i="46"/>
  <c r="AQ105" i="46"/>
  <c r="AQ97" i="46"/>
  <c r="AQ90" i="46"/>
  <c r="AQ82" i="46"/>
  <c r="AQ75" i="46"/>
  <c r="AQ60" i="46"/>
  <c r="AQ52" i="46"/>
  <c r="AQ37" i="46"/>
  <c r="AQ67" i="46"/>
  <c r="AQ45" i="46"/>
  <c r="AJ136" i="46"/>
  <c r="AJ128" i="46"/>
  <c r="AJ121" i="46"/>
  <c r="AJ113" i="46"/>
  <c r="AJ106" i="46"/>
  <c r="AJ98" i="46"/>
  <c r="AJ91" i="46"/>
  <c r="AJ83" i="46"/>
  <c r="AJ76" i="46"/>
  <c r="AJ61" i="46"/>
  <c r="AJ62" i="46" s="1"/>
  <c r="AJ46" i="46"/>
  <c r="AJ38" i="46"/>
  <c r="AJ31" i="46"/>
  <c r="AJ68" i="46"/>
  <c r="AJ69" i="46" s="1"/>
  <c r="AJ53" i="46"/>
  <c r="AN136" i="46"/>
  <c r="AN128" i="46"/>
  <c r="AN121" i="46"/>
  <c r="AN113" i="46"/>
  <c r="AN106" i="46"/>
  <c r="AN98" i="46"/>
  <c r="AN91" i="46"/>
  <c r="AN83" i="46"/>
  <c r="AN76" i="46"/>
  <c r="AN61" i="46"/>
  <c r="AN46" i="46"/>
  <c r="AN47" i="46" s="1"/>
  <c r="AN38" i="46"/>
  <c r="AN39" i="46" s="1"/>
  <c r="AN31" i="46"/>
  <c r="AT41" i="46"/>
  <c r="AR52" i="46"/>
  <c r="AN68" i="46"/>
  <c r="AI83" i="46"/>
  <c r="AR97" i="46"/>
  <c r="AM139" i="46"/>
  <c r="AM131" i="46"/>
  <c r="AM124" i="46"/>
  <c r="AM116" i="46"/>
  <c r="AM109" i="46"/>
  <c r="AM101" i="46"/>
  <c r="AM94" i="46"/>
  <c r="AM86" i="46"/>
  <c r="AM79" i="46"/>
  <c r="AM71" i="46"/>
  <c r="AM64" i="46"/>
  <c r="AM41" i="46"/>
  <c r="AM49" i="46"/>
  <c r="AM34" i="46"/>
  <c r="AR37" i="46"/>
  <c r="AI53" i="46"/>
  <c r="AS56" i="46"/>
  <c r="AK71" i="46"/>
  <c r="AT79" i="46"/>
  <c r="AI131" i="46"/>
  <c r="AI101" i="46"/>
  <c r="AI71" i="46"/>
  <c r="AI64" i="46"/>
  <c r="AI139" i="46"/>
  <c r="AI49" i="46"/>
  <c r="AI34" i="46"/>
  <c r="AI94" i="46"/>
  <c r="AI79" i="46"/>
  <c r="AI86" i="46"/>
  <c r="AI56" i="46"/>
  <c r="AI124" i="46"/>
  <c r="AI116" i="46"/>
  <c r="AI109" i="46"/>
  <c r="AI107" i="46" s="1"/>
  <c r="AI45" i="46"/>
  <c r="AN53" i="46"/>
  <c r="AK127" i="46"/>
  <c r="AK135" i="46" s="1"/>
  <c r="AK120" i="46"/>
  <c r="AK112" i="46"/>
  <c r="AK105" i="46"/>
  <c r="AK97" i="46"/>
  <c r="AK90" i="46"/>
  <c r="AK82" i="46"/>
  <c r="AK45" i="46"/>
  <c r="AK37" i="46"/>
  <c r="AO127" i="46"/>
  <c r="AO135" i="46" s="1"/>
  <c r="AO97" i="46"/>
  <c r="AO45" i="46"/>
  <c r="AO37" i="46"/>
  <c r="AS112" i="46"/>
  <c r="AS45" i="46"/>
  <c r="AS37" i="46"/>
  <c r="AL128" i="46"/>
  <c r="AL98" i="46"/>
  <c r="AL38" i="46"/>
  <c r="AL31" i="46"/>
  <c r="AK32" i="46" s="1"/>
  <c r="AL136" i="46"/>
  <c r="AP136" i="46"/>
  <c r="AO137" i="46" s="1"/>
  <c r="AP128" i="46"/>
  <c r="AP121" i="46"/>
  <c r="AP113" i="46"/>
  <c r="AO114" i="46" s="1"/>
  <c r="AP106" i="46"/>
  <c r="AP98" i="46"/>
  <c r="AP91" i="46"/>
  <c r="AP83" i="46"/>
  <c r="AP76" i="46"/>
  <c r="AP38" i="46"/>
  <c r="AP31" i="46"/>
  <c r="AT136" i="46"/>
  <c r="AT106" i="46"/>
  <c r="AT38" i="46"/>
  <c r="AT31" i="46"/>
  <c r="AS32" i="46" s="1"/>
  <c r="AP131" i="46"/>
  <c r="AP101" i="46"/>
  <c r="AP49" i="46"/>
  <c r="AP34" i="46"/>
  <c r="AP139" i="46"/>
  <c r="AN120" i="46"/>
  <c r="AN90" i="46"/>
  <c r="AN37" i="46"/>
  <c r="AP41" i="46"/>
  <c r="AL46" i="46"/>
  <c r="AN52" i="46"/>
  <c r="AS52" i="46"/>
  <c r="AP53" i="46"/>
  <c r="AK60" i="46"/>
  <c r="AP61" i="46"/>
  <c r="AO67" i="46"/>
  <c r="AT68" i="46"/>
  <c r="AN75" i="46"/>
  <c r="AO82" i="46"/>
  <c r="AL83" i="46"/>
  <c r="AP86" i="46"/>
  <c r="AL91" i="46"/>
  <c r="AT91" i="46"/>
  <c r="AP94" i="46"/>
  <c r="AS97" i="46"/>
  <c r="AS107" i="46"/>
  <c r="AS105" i="46"/>
  <c r="AN127" i="46"/>
  <c r="AN135" i="46" s="1"/>
  <c r="AE142" i="46"/>
  <c r="AN24" i="46"/>
  <c r="AJ24" i="46"/>
  <c r="AS24" i="46"/>
  <c r="AL116" i="46"/>
  <c r="AL49" i="46"/>
  <c r="AL34" i="46"/>
  <c r="AQ139" i="46"/>
  <c r="AQ109" i="46"/>
  <c r="AQ71" i="46"/>
  <c r="AQ64" i="46"/>
  <c r="AJ37" i="46"/>
  <c r="AL41" i="46"/>
  <c r="AQ41" i="46"/>
  <c r="AJ52" i="46"/>
  <c r="AO52" i="46"/>
  <c r="AL53" i="46"/>
  <c r="AP56" i="46"/>
  <c r="AL61" i="46"/>
  <c r="AK67" i="46"/>
  <c r="AP68" i="46"/>
  <c r="AJ75" i="46"/>
  <c r="AO75" i="46"/>
  <c r="AL76" i="46"/>
  <c r="AP79" i="46"/>
  <c r="AJ82" i="46"/>
  <c r="AT83" i="46"/>
  <c r="AO84" i="46"/>
  <c r="AQ86" i="46"/>
  <c r="AO90" i="46"/>
  <c r="AQ94" i="46"/>
  <c r="AT98" i="46"/>
  <c r="AJ112" i="46"/>
  <c r="AJ120" i="46"/>
  <c r="AS120" i="46"/>
  <c r="AL124" i="46"/>
  <c r="AT128" i="46"/>
  <c r="AL139" i="46"/>
  <c r="AR23" i="46"/>
  <c r="AI24" i="46"/>
  <c r="AO24" i="46"/>
  <c r="AJ139" i="46"/>
  <c r="AJ131" i="46"/>
  <c r="AJ124" i="46"/>
  <c r="AJ116" i="46"/>
  <c r="AJ109" i="46"/>
  <c r="AJ101" i="46"/>
  <c r="AJ94" i="46"/>
  <c r="AJ86" i="46"/>
  <c r="AJ79" i="46"/>
  <c r="AJ56" i="46"/>
  <c r="AN139" i="46"/>
  <c r="AN131" i="46"/>
  <c r="AN124" i="46"/>
  <c r="AN116" i="46"/>
  <c r="AN109" i="46"/>
  <c r="AN101" i="46"/>
  <c r="AN94" i="46"/>
  <c r="AN86" i="46"/>
  <c r="AN79" i="46"/>
  <c r="AN56" i="46"/>
  <c r="AR139" i="46"/>
  <c r="AR131" i="46"/>
  <c r="AR124" i="46"/>
  <c r="AR116" i="46"/>
  <c r="AR109" i="46"/>
  <c r="AR101" i="46"/>
  <c r="AR94" i="46"/>
  <c r="AR86" i="46"/>
  <c r="AR79" i="46"/>
  <c r="AR56" i="46"/>
  <c r="AN34" i="46"/>
  <c r="AR41" i="46"/>
  <c r="AT46" i="46"/>
  <c r="AN49" i="46"/>
  <c r="AK52" i="46"/>
  <c r="AL56" i="46"/>
  <c r="AQ56" i="46"/>
  <c r="AN60" i="46"/>
  <c r="AS60" i="46"/>
  <c r="AK62" i="46"/>
  <c r="AP64" i="46"/>
  <c r="AL68" i="46"/>
  <c r="AJ71" i="46"/>
  <c r="AK75" i="46"/>
  <c r="AT76" i="46"/>
  <c r="AQ79" i="46"/>
  <c r="AS82" i="46"/>
  <c r="AL86" i="46"/>
  <c r="AN97" i="46"/>
  <c r="AQ101" i="46"/>
  <c r="AN105" i="46"/>
  <c r="AL106" i="46"/>
  <c r="AP109" i="46"/>
  <c r="AN112" i="46"/>
  <c r="AL113" i="46"/>
  <c r="AT113" i="46"/>
  <c r="AP116" i="46"/>
  <c r="AL121" i="46"/>
  <c r="AT121" i="46"/>
  <c r="AP124" i="46"/>
  <c r="AJ127" i="46"/>
  <c r="AJ135" i="46" s="1"/>
  <c r="AS127" i="46"/>
  <c r="AS135" i="46" s="1"/>
  <c r="AL131" i="46"/>
  <c r="AK136" i="46"/>
  <c r="AK128" i="46"/>
  <c r="AK121" i="46"/>
  <c r="AK113" i="46"/>
  <c r="AK106" i="46"/>
  <c r="AK98" i="46"/>
  <c r="AK91" i="46"/>
  <c r="AK53" i="46"/>
  <c r="AO53" i="46"/>
  <c r="AO54" i="46" s="1"/>
  <c r="AS53" i="46"/>
  <c r="AK76" i="46"/>
  <c r="AK77" i="46" s="1"/>
  <c r="AK83" i="46"/>
  <c r="AN99" i="46"/>
  <c r="AS98" i="46"/>
  <c r="AN129" i="46"/>
  <c r="L51" i="46" l="1"/>
  <c r="AN92" i="46"/>
  <c r="AO122" i="46"/>
  <c r="AN54" i="46"/>
  <c r="AJ39" i="46"/>
  <c r="AO77" i="46"/>
  <c r="AK47" i="46"/>
  <c r="AO69" i="46"/>
  <c r="AO107" i="46"/>
  <c r="AO62" i="46"/>
  <c r="AN122" i="46"/>
  <c r="AN69" i="46"/>
  <c r="AN32" i="46"/>
  <c r="AN77" i="46"/>
  <c r="AN107" i="46"/>
  <c r="AO32" i="46"/>
  <c r="AK54" i="46"/>
  <c r="AK114" i="46"/>
  <c r="AS129" i="46"/>
  <c r="AL24" i="46"/>
  <c r="AI77" i="46"/>
  <c r="AN84" i="46"/>
  <c r="AN114" i="46"/>
  <c r="AJ54" i="46"/>
  <c r="AO92" i="46"/>
  <c r="AJ47" i="46"/>
  <c r="AS39" i="46"/>
  <c r="AO39" i="46"/>
  <c r="AN62" i="46"/>
  <c r="AK39" i="46"/>
  <c r="AS47" i="46"/>
  <c r="AK69" i="46"/>
  <c r="AS122" i="46"/>
  <c r="AS62" i="46"/>
  <c r="AS92" i="46"/>
  <c r="AS54" i="46"/>
  <c r="AK92" i="46"/>
  <c r="AS114" i="46"/>
  <c r="AS84" i="46"/>
  <c r="AS77" i="46"/>
  <c r="AN137" i="46"/>
  <c r="AS69" i="46"/>
  <c r="AS99" i="46"/>
  <c r="AS137" i="46"/>
  <c r="AJ107" i="46"/>
  <c r="AI122" i="46"/>
  <c r="AI39" i="46"/>
  <c r="AI114" i="46"/>
  <c r="AI129" i="46"/>
  <c r="AI62" i="46"/>
  <c r="AI69" i="46"/>
  <c r="AI54" i="46"/>
  <c r="AI137" i="46"/>
  <c r="AI32" i="46"/>
  <c r="AI47" i="46"/>
  <c r="AJ84" i="46"/>
  <c r="AR136" i="46"/>
  <c r="AR137" i="46" s="1"/>
  <c r="AR128" i="46"/>
  <c r="AR129" i="46" s="1"/>
  <c r="AR121" i="46"/>
  <c r="AR122" i="46" s="1"/>
  <c r="AR113" i="46"/>
  <c r="AR114" i="46" s="1"/>
  <c r="AR106" i="46"/>
  <c r="AR107" i="46" s="1"/>
  <c r="AR98" i="46"/>
  <c r="AR99" i="46" s="1"/>
  <c r="AR91" i="46"/>
  <c r="AR92" i="46" s="1"/>
  <c r="AR83" i="46"/>
  <c r="AR84" i="46" s="1"/>
  <c r="AR76" i="46"/>
  <c r="AR77" i="46" s="1"/>
  <c r="AR61" i="46"/>
  <c r="AR62" i="46" s="1"/>
  <c r="AR68" i="46"/>
  <c r="AR69" i="46" s="1"/>
  <c r="AR53" i="46"/>
  <c r="AR54" i="46" s="1"/>
  <c r="AR46" i="46"/>
  <c r="AR47" i="46" s="1"/>
  <c r="AR38" i="46"/>
  <c r="AR39" i="46" s="1"/>
  <c r="AR31" i="46"/>
  <c r="AR32" i="46" s="1"/>
  <c r="AR24" i="46"/>
  <c r="AK122" i="46"/>
  <c r="AJ114" i="46"/>
  <c r="AQ121" i="46"/>
  <c r="AQ122" i="46" s="1"/>
  <c r="AQ91" i="46"/>
  <c r="AP92" i="46" s="1"/>
  <c r="AQ68" i="46"/>
  <c r="AQ46" i="46"/>
  <c r="AQ128" i="46"/>
  <c r="AQ38" i="46"/>
  <c r="AQ31" i="46"/>
  <c r="AQ61" i="46"/>
  <c r="AQ62" i="46" s="1"/>
  <c r="AQ53" i="46"/>
  <c r="AQ113" i="46"/>
  <c r="AQ114" i="46" s="1"/>
  <c r="AQ106" i="46"/>
  <c r="AQ98" i="46"/>
  <c r="AQ99" i="46" s="1"/>
  <c r="AQ76" i="46"/>
  <c r="AQ24" i="46"/>
  <c r="AQ136" i="46"/>
  <c r="AQ83" i="46"/>
  <c r="AQ84" i="46" s="1"/>
  <c r="AI84" i="46"/>
  <c r="AJ92" i="46"/>
  <c r="AJ122" i="46"/>
  <c r="AK84" i="46"/>
  <c r="AK99" i="46"/>
  <c r="AK129" i="46"/>
  <c r="AI92" i="46"/>
  <c r="AP129" i="46"/>
  <c r="AO129" i="46"/>
  <c r="AJ99" i="46"/>
  <c r="AJ129" i="46"/>
  <c r="AM136" i="46"/>
  <c r="AM106" i="46"/>
  <c r="AM107" i="46" s="1"/>
  <c r="AM68" i="46"/>
  <c r="AM69" i="46" s="1"/>
  <c r="AM46" i="46"/>
  <c r="AM47" i="46" s="1"/>
  <c r="AM98" i="46"/>
  <c r="AM76" i="46"/>
  <c r="AM77" i="46" s="1"/>
  <c r="AM61" i="46"/>
  <c r="AM62" i="46" s="1"/>
  <c r="AM53" i="46"/>
  <c r="AM54" i="46" s="1"/>
  <c r="AM91" i="46"/>
  <c r="AM92" i="46" s="1"/>
  <c r="AM83" i="46"/>
  <c r="AM128" i="46"/>
  <c r="AM129" i="46" s="1"/>
  <c r="AM121" i="46"/>
  <c r="AM122" i="46" s="1"/>
  <c r="AM113" i="46"/>
  <c r="AM114" i="46" s="1"/>
  <c r="AM31" i="46"/>
  <c r="AM32" i="46" s="1"/>
  <c r="AM38" i="46"/>
  <c r="AM39" i="46" s="1"/>
  <c r="AI99" i="46"/>
  <c r="AK107" i="46"/>
  <c r="AK137" i="46"/>
  <c r="AP137" i="46"/>
  <c r="AJ77" i="46"/>
  <c r="AJ137" i="46"/>
  <c r="I39" i="46"/>
  <c r="N51" i="46" l="1"/>
  <c r="M51" i="46"/>
  <c r="AL69" i="46"/>
  <c r="AL32" i="46"/>
  <c r="AP114" i="46"/>
  <c r="AQ77" i="46"/>
  <c r="AQ54" i="46"/>
  <c r="AQ129" i="46"/>
  <c r="AQ32" i="46"/>
  <c r="AE32" i="46" s="1"/>
  <c r="AQ69" i="46"/>
  <c r="AP99" i="46"/>
  <c r="AL54" i="46"/>
  <c r="AP77" i="46"/>
  <c r="AP69" i="46"/>
  <c r="AE69" i="46" s="1"/>
  <c r="AE24" i="46"/>
  <c r="AQ39" i="46"/>
  <c r="AQ92" i="46"/>
  <c r="AP122" i="46"/>
  <c r="AP39" i="46"/>
  <c r="AP84" i="46"/>
  <c r="AL62" i="46"/>
  <c r="AE62" i="46" s="1"/>
  <c r="AP54" i="46"/>
  <c r="AQ47" i="46"/>
  <c r="AP47" i="46"/>
  <c r="AL39" i="46"/>
  <c r="AE39" i="46" s="1"/>
  <c r="J74" i="46" s="1"/>
  <c r="AL47" i="46"/>
  <c r="AE47" i="46" s="1"/>
  <c r="AP32" i="46"/>
  <c r="AP62" i="46"/>
  <c r="AL92" i="46"/>
  <c r="AE92" i="46" s="1"/>
  <c r="AL122" i="46"/>
  <c r="AE122" i="46" s="1"/>
  <c r="I74" i="46" s="1"/>
  <c r="K74" i="46"/>
  <c r="AM84" i="46"/>
  <c r="AL84" i="46"/>
  <c r="AL99" i="46"/>
  <c r="AM99" i="46"/>
  <c r="AM137" i="46"/>
  <c r="AL137" i="46"/>
  <c r="AL77" i="46"/>
  <c r="AE77" i="46" s="1"/>
  <c r="AL107" i="46"/>
  <c r="AQ137" i="46"/>
  <c r="AQ107" i="46"/>
  <c r="AP107" i="46"/>
  <c r="AL129" i="46"/>
  <c r="AL114" i="46"/>
  <c r="AE114" i="46" l="1"/>
  <c r="AE129" i="46"/>
  <c r="AE54" i="46"/>
  <c r="N74" i="46" s="1"/>
  <c r="G74" i="46"/>
  <c r="AE107" i="46"/>
  <c r="X74" i="46"/>
  <c r="AE99" i="46"/>
  <c r="L74" i="46" s="1"/>
  <c r="AE137" i="46"/>
  <c r="Z74" i="46"/>
  <c r="O74" i="46"/>
  <c r="AE84" i="46"/>
  <c r="Y74" i="46" s="1"/>
  <c r="M74" i="46"/>
  <c r="V74" i="46"/>
  <c r="W74" i="46"/>
  <c r="H74" i="46"/>
  <c r="U74" i="46" l="1"/>
  <c r="AA74" i="46"/>
  <c r="D94" i="4" l="1"/>
  <c r="P27" i="34" l="1"/>
  <c r="P28" i="34"/>
  <c r="P29" i="34"/>
  <c r="P30" i="34"/>
  <c r="P31" i="34"/>
  <c r="P32" i="34"/>
  <c r="P33" i="34"/>
  <c r="P34" i="34"/>
  <c r="P35" i="34"/>
  <c r="P36" i="34"/>
  <c r="P37" i="34"/>
  <c r="P38" i="34"/>
  <c r="P39" i="34"/>
  <c r="P40" i="34"/>
  <c r="P41" i="34"/>
  <c r="P42" i="34"/>
  <c r="P26" i="34"/>
  <c r="AJ42" i="34"/>
  <c r="AJ41" i="34"/>
  <c r="AE43" i="27"/>
  <c r="AF43" i="27"/>
  <c r="AG43" i="27"/>
  <c r="AH43" i="27"/>
  <c r="AD43" i="27"/>
  <c r="AF43" i="34"/>
  <c r="AG43" i="34"/>
  <c r="AH43" i="34"/>
  <c r="AI43" i="34"/>
  <c r="AE43" i="34"/>
  <c r="AF28" i="34"/>
  <c r="AF29" i="34"/>
  <c r="AF30" i="34"/>
  <c r="AF31" i="34"/>
  <c r="AF32" i="34"/>
  <c r="AF33" i="34"/>
  <c r="AF34" i="34"/>
  <c r="AF35" i="34"/>
  <c r="AF36" i="34"/>
  <c r="AF37" i="34"/>
  <c r="AF38" i="34"/>
  <c r="AF39" i="34"/>
  <c r="AF40" i="34"/>
  <c r="AF27" i="34"/>
  <c r="AF26" i="34"/>
  <c r="AE28" i="34"/>
  <c r="AE29" i="34"/>
  <c r="AE30" i="34"/>
  <c r="AE31" i="34"/>
  <c r="AE32" i="34"/>
  <c r="AE33" i="34"/>
  <c r="AE34" i="34"/>
  <c r="AE35" i="34"/>
  <c r="AE36" i="34"/>
  <c r="AE37" i="34"/>
  <c r="AE38" i="34"/>
  <c r="AE39" i="34"/>
  <c r="AE40" i="34"/>
  <c r="AE27" i="34"/>
  <c r="AE26" i="34"/>
  <c r="P42" i="27"/>
  <c r="P41" i="27"/>
  <c r="P40" i="27"/>
  <c r="P39" i="27"/>
  <c r="P38" i="27"/>
  <c r="P37" i="27"/>
  <c r="P36" i="27"/>
  <c r="P35" i="27"/>
  <c r="P34" i="27"/>
  <c r="P33" i="27"/>
  <c r="P32" i="27"/>
  <c r="P31" i="27"/>
  <c r="P30" i="27"/>
  <c r="P29" i="27"/>
  <c r="P28" i="27"/>
  <c r="P27" i="27"/>
  <c r="P26" i="27"/>
  <c r="AE27" i="27" l="1"/>
  <c r="AE28" i="27"/>
  <c r="AE29" i="27"/>
  <c r="AE30" i="27"/>
  <c r="AE31" i="27"/>
  <c r="AE32" i="27"/>
  <c r="AE33" i="27"/>
  <c r="AE34" i="27"/>
  <c r="AE35" i="27"/>
  <c r="AE36" i="27"/>
  <c r="AE37" i="27"/>
  <c r="AE38" i="27"/>
  <c r="AE39" i="27"/>
  <c r="AE40" i="27"/>
  <c r="AE41" i="27"/>
  <c r="AE42" i="27"/>
  <c r="AE26" i="27"/>
  <c r="AD27" i="27"/>
  <c r="AD28" i="27"/>
  <c r="AD29" i="27"/>
  <c r="AD30" i="27"/>
  <c r="AD31" i="27"/>
  <c r="AD32" i="27"/>
  <c r="AD33" i="27"/>
  <c r="AD34" i="27"/>
  <c r="AD35" i="27"/>
  <c r="AD36" i="27"/>
  <c r="AD37" i="27"/>
  <c r="AD38" i="27"/>
  <c r="AD39" i="27"/>
  <c r="AD40" i="27"/>
  <c r="AD41" i="27"/>
  <c r="AD42" i="27"/>
  <c r="AD26" i="27"/>
  <c r="AG28" i="25" l="1"/>
  <c r="AH28" i="25"/>
  <c r="AI28" i="25"/>
  <c r="AJ28" i="25"/>
  <c r="W88" i="17"/>
  <c r="X88" i="17"/>
  <c r="Q88" i="17"/>
  <c r="R88" i="17"/>
  <c r="S88" i="17"/>
  <c r="T88" i="17"/>
  <c r="U88" i="17"/>
  <c r="V88" i="17"/>
  <c r="P88" i="17"/>
  <c r="AK28" i="25" l="1"/>
  <c r="Q44" i="25"/>
  <c r="Q43" i="25"/>
  <c r="Q42" i="25"/>
  <c r="Q41" i="25"/>
  <c r="Q40" i="25"/>
  <c r="Q39" i="25"/>
  <c r="Q38" i="25"/>
  <c r="Q37" i="25"/>
  <c r="Q36" i="25"/>
  <c r="Q35" i="25"/>
  <c r="Q34" i="25"/>
  <c r="Q33" i="25"/>
  <c r="Q32" i="25"/>
  <c r="Q31" i="25"/>
  <c r="Q30" i="25"/>
  <c r="Q29" i="25"/>
  <c r="Q28" i="25"/>
  <c r="AF29" i="25"/>
  <c r="AG29" i="25"/>
  <c r="AF30" i="25"/>
  <c r="AG30" i="25"/>
  <c r="AF31" i="25"/>
  <c r="AG31" i="25"/>
  <c r="AF32" i="25"/>
  <c r="AG32" i="25"/>
  <c r="AF33" i="25"/>
  <c r="AG33" i="25"/>
  <c r="AF34" i="25"/>
  <c r="AG34" i="25"/>
  <c r="AF35" i="25"/>
  <c r="AG35" i="25"/>
  <c r="AF36" i="25"/>
  <c r="AG36" i="25"/>
  <c r="AF37" i="25"/>
  <c r="AG37" i="25"/>
  <c r="AF38" i="25"/>
  <c r="AG38" i="25"/>
  <c r="AF39" i="25"/>
  <c r="AG39" i="25"/>
  <c r="AF40" i="25"/>
  <c r="AG40" i="25"/>
  <c r="AF41" i="25"/>
  <c r="AG41" i="25"/>
  <c r="AF42" i="25"/>
  <c r="AG42" i="25"/>
  <c r="AF43" i="25"/>
  <c r="AG43" i="25"/>
  <c r="AF44" i="25"/>
  <c r="AG44" i="25"/>
  <c r="T7" i="25"/>
  <c r="U7" i="25"/>
  <c r="T8" i="25"/>
  <c r="U8" i="25"/>
  <c r="T9" i="25"/>
  <c r="U9" i="25"/>
  <c r="T10" i="25"/>
  <c r="U10" i="25"/>
  <c r="T11" i="25"/>
  <c r="U11" i="25"/>
  <c r="T12" i="25"/>
  <c r="U12" i="25"/>
  <c r="T13" i="25"/>
  <c r="U13" i="25"/>
  <c r="T14" i="25"/>
  <c r="U14" i="25"/>
  <c r="T15" i="25"/>
  <c r="U15" i="25"/>
  <c r="T16" i="25"/>
  <c r="U16" i="25"/>
  <c r="T17" i="25"/>
  <c r="U17" i="25"/>
  <c r="T18" i="25"/>
  <c r="U18" i="25"/>
  <c r="T19" i="25"/>
  <c r="U19" i="25"/>
  <c r="T20" i="25"/>
  <c r="U20" i="25"/>
  <c r="T21" i="25"/>
  <c r="U21" i="25"/>
  <c r="T22" i="25"/>
  <c r="U22" i="25"/>
  <c r="T23" i="25"/>
  <c r="U23" i="25"/>
  <c r="S8" i="25"/>
  <c r="S9" i="25"/>
  <c r="S10" i="25"/>
  <c r="S11" i="25"/>
  <c r="S12" i="25"/>
  <c r="S13" i="25"/>
  <c r="S14" i="25"/>
  <c r="S15" i="25"/>
  <c r="S16" i="25"/>
  <c r="S17" i="25"/>
  <c r="S18" i="25"/>
  <c r="S19" i="25"/>
  <c r="S20" i="25"/>
  <c r="S21" i="25"/>
  <c r="S22" i="25"/>
  <c r="S23" i="25"/>
  <c r="S7" i="25"/>
  <c r="G253" i="22" l="1"/>
  <c r="G237" i="22"/>
  <c r="G221" i="22"/>
  <c r="G205" i="22"/>
  <c r="G190" i="22"/>
  <c r="G191" i="22"/>
  <c r="G192" i="22"/>
  <c r="G193" i="22"/>
  <c r="G194" i="22"/>
  <c r="G195" i="22"/>
  <c r="G196" i="22"/>
  <c r="G197" i="22"/>
  <c r="G198" i="22"/>
  <c r="G199" i="22"/>
  <c r="G200" i="22"/>
  <c r="G201" i="22"/>
  <c r="G202" i="22"/>
  <c r="G203" i="22"/>
  <c r="G204" i="22"/>
  <c r="G206" i="22"/>
  <c r="G207" i="22"/>
  <c r="G208" i="22"/>
  <c r="G209" i="22"/>
  <c r="G210" i="22"/>
  <c r="G211" i="22"/>
  <c r="G212" i="22"/>
  <c r="G213" i="22"/>
  <c r="G214" i="22"/>
  <c r="G215" i="22"/>
  <c r="G216" i="22"/>
  <c r="G217" i="22"/>
  <c r="G218" i="22"/>
  <c r="G219" i="22"/>
  <c r="G220" i="22"/>
  <c r="G222" i="22"/>
  <c r="G223" i="22"/>
  <c r="G224" i="22"/>
  <c r="G225" i="22"/>
  <c r="G226" i="22"/>
  <c r="G227" i="22"/>
  <c r="G228" i="22"/>
  <c r="G229" i="22"/>
  <c r="G230" i="22"/>
  <c r="G231" i="22"/>
  <c r="G232" i="22"/>
  <c r="G233" i="22"/>
  <c r="G234" i="22"/>
  <c r="G235" i="22"/>
  <c r="G236" i="22"/>
  <c r="G238" i="22"/>
  <c r="G239" i="22"/>
  <c r="G240" i="22"/>
  <c r="G241" i="22"/>
  <c r="G242" i="22"/>
  <c r="G243" i="22"/>
  <c r="G244" i="22"/>
  <c r="G245" i="22"/>
  <c r="G246" i="22"/>
  <c r="G247" i="22"/>
  <c r="G248" i="22"/>
  <c r="G249" i="22"/>
  <c r="G250" i="22"/>
  <c r="G251" i="22"/>
  <c r="G252" i="22"/>
  <c r="G185" i="22" l="1"/>
  <c r="G137" i="22"/>
  <c r="G153" i="22"/>
  <c r="G169" i="22"/>
  <c r="AB45" i="25" l="1"/>
  <c r="AC45" i="25"/>
  <c r="AA45" i="25"/>
  <c r="K258" i="17" l="1"/>
  <c r="L258" i="17"/>
  <c r="I4" i="42" l="1"/>
  <c r="I5" i="33"/>
  <c r="I5" i="13"/>
  <c r="T84" i="45"/>
  <c r="S82" i="45"/>
  <c r="S87" i="45" s="1"/>
  <c r="S86" i="45" s="1"/>
  <c r="G209" i="45" s="1"/>
  <c r="R82" i="45"/>
  <c r="R87" i="45" s="1"/>
  <c r="R86" i="45" s="1"/>
  <c r="G208" i="45" s="1"/>
  <c r="Q82" i="45"/>
  <c r="Q87" i="45" s="1"/>
  <c r="Q86" i="45" s="1"/>
  <c r="G207" i="45" s="1"/>
  <c r="P82" i="45"/>
  <c r="P87" i="45" s="1"/>
  <c r="P86" i="45" s="1"/>
  <c r="G206" i="45" s="1"/>
  <c r="O82" i="45"/>
  <c r="O87" i="45" s="1"/>
  <c r="O86" i="45" s="1"/>
  <c r="G205" i="45" s="1"/>
  <c r="N82" i="45"/>
  <c r="N87" i="45" s="1"/>
  <c r="N86" i="45" s="1"/>
  <c r="G204" i="45" s="1"/>
  <c r="M82" i="45"/>
  <c r="M87" i="45" s="1"/>
  <c r="M86" i="45" s="1"/>
  <c r="G203" i="45" s="1"/>
  <c r="L82" i="45"/>
  <c r="L87" i="45" s="1"/>
  <c r="L86" i="45" s="1"/>
  <c r="G202" i="45" s="1"/>
  <c r="K82" i="45"/>
  <c r="K87" i="45" s="1"/>
  <c r="K86" i="45" s="1"/>
  <c r="G201" i="45" s="1"/>
  <c r="J82" i="45"/>
  <c r="J87" i="45" s="1"/>
  <c r="J86" i="45" s="1"/>
  <c r="G200" i="45" s="1"/>
  <c r="I82" i="45"/>
  <c r="I87" i="45" s="1"/>
  <c r="I86" i="45" s="1"/>
  <c r="G199" i="45" s="1"/>
  <c r="H82" i="45"/>
  <c r="H87" i="45" s="1"/>
  <c r="H86" i="45" s="1"/>
  <c r="G198" i="45" s="1"/>
  <c r="G82" i="45"/>
  <c r="G87" i="45" s="1"/>
  <c r="G86" i="45" s="1"/>
  <c r="G197" i="45" s="1"/>
  <c r="F82" i="45"/>
  <c r="F87" i="45" s="1"/>
  <c r="F86" i="45" s="1"/>
  <c r="G196" i="45" s="1"/>
  <c r="E82" i="45"/>
  <c r="E87" i="45" s="1"/>
  <c r="E86" i="45" s="1"/>
  <c r="G195" i="45" s="1"/>
  <c r="D82" i="45"/>
  <c r="D87" i="45" s="1"/>
  <c r="D86" i="45" s="1"/>
  <c r="G194" i="45" s="1"/>
  <c r="S64" i="45"/>
  <c r="R64" i="45"/>
  <c r="Q64" i="45"/>
  <c r="P64" i="45"/>
  <c r="O64" i="45"/>
  <c r="N64" i="45"/>
  <c r="M64" i="45"/>
  <c r="L64" i="45"/>
  <c r="K64" i="45"/>
  <c r="J64" i="45"/>
  <c r="I64" i="45"/>
  <c r="H64" i="45"/>
  <c r="G64" i="45"/>
  <c r="F64" i="45"/>
  <c r="E64" i="45"/>
  <c r="D64" i="45"/>
  <c r="T63" i="45"/>
  <c r="T62" i="45"/>
  <c r="T61" i="45"/>
  <c r="T60" i="45"/>
  <c r="T64" i="45" s="1"/>
  <c r="T59" i="45"/>
  <c r="T58" i="45"/>
  <c r="T66" i="45" s="1"/>
  <c r="S54" i="45"/>
  <c r="R54" i="45"/>
  <c r="Q54" i="45"/>
  <c r="P54" i="45"/>
  <c r="O54" i="45"/>
  <c r="N54" i="45"/>
  <c r="M54" i="45"/>
  <c r="L54" i="45"/>
  <c r="K54" i="45"/>
  <c r="J54" i="45"/>
  <c r="I54" i="45"/>
  <c r="H54" i="45"/>
  <c r="G54" i="45"/>
  <c r="F54" i="45"/>
  <c r="E54" i="45"/>
  <c r="D54" i="45"/>
  <c r="S52" i="45"/>
  <c r="O52" i="45"/>
  <c r="L52" i="45"/>
  <c r="K52" i="45"/>
  <c r="G52" i="45"/>
  <c r="D52" i="45"/>
  <c r="S49" i="45"/>
  <c r="R49" i="45"/>
  <c r="R52" i="45" s="1"/>
  <c r="Q49" i="45"/>
  <c r="P49" i="45"/>
  <c r="P52" i="45" s="1"/>
  <c r="O49" i="45"/>
  <c r="N49" i="45"/>
  <c r="N52" i="45" s="1"/>
  <c r="M49" i="45"/>
  <c r="L49" i="45"/>
  <c r="K49" i="45"/>
  <c r="J49" i="45"/>
  <c r="J52" i="45" s="1"/>
  <c r="I49" i="45"/>
  <c r="H49" i="45"/>
  <c r="H52" i="45" s="1"/>
  <c r="G49" i="45"/>
  <c r="F49" i="45"/>
  <c r="F52" i="45" s="1"/>
  <c r="E49" i="45"/>
  <c r="D49" i="45"/>
  <c r="T45" i="45"/>
  <c r="T44" i="45"/>
  <c r="S84" i="44"/>
  <c r="R84" i="44"/>
  <c r="Q84" i="44"/>
  <c r="P84" i="44"/>
  <c r="O84" i="44"/>
  <c r="N84" i="44"/>
  <c r="M84" i="44"/>
  <c r="L84" i="44"/>
  <c r="K84" i="44"/>
  <c r="J84" i="44"/>
  <c r="I84" i="44"/>
  <c r="H84" i="44"/>
  <c r="G84" i="44"/>
  <c r="F84" i="44"/>
  <c r="E84" i="44"/>
  <c r="D84" i="44"/>
  <c r="T84" i="44" s="1"/>
  <c r="S82" i="44"/>
  <c r="S87" i="44" s="1"/>
  <c r="S86" i="44" s="1"/>
  <c r="G209" i="44" s="1"/>
  <c r="R82" i="44"/>
  <c r="R87" i="44" s="1"/>
  <c r="R86" i="44" s="1"/>
  <c r="G208" i="44" s="1"/>
  <c r="Q82" i="44"/>
  <c r="Q87" i="44" s="1"/>
  <c r="Q86" i="44" s="1"/>
  <c r="G207" i="44" s="1"/>
  <c r="P82" i="44"/>
  <c r="P87" i="44" s="1"/>
  <c r="P86" i="44" s="1"/>
  <c r="G206" i="44" s="1"/>
  <c r="O82" i="44"/>
  <c r="O87" i="44" s="1"/>
  <c r="O86" i="44" s="1"/>
  <c r="G205" i="44" s="1"/>
  <c r="N82" i="44"/>
  <c r="N87" i="44" s="1"/>
  <c r="N86" i="44" s="1"/>
  <c r="G204" i="44" s="1"/>
  <c r="M82" i="44"/>
  <c r="M87" i="44" s="1"/>
  <c r="M86" i="44" s="1"/>
  <c r="G203" i="44" s="1"/>
  <c r="L82" i="44"/>
  <c r="L87" i="44" s="1"/>
  <c r="L86" i="44" s="1"/>
  <c r="G202" i="44" s="1"/>
  <c r="K82" i="44"/>
  <c r="K87" i="44" s="1"/>
  <c r="K86" i="44" s="1"/>
  <c r="G201" i="44" s="1"/>
  <c r="J82" i="44"/>
  <c r="J87" i="44" s="1"/>
  <c r="J86" i="44" s="1"/>
  <c r="G200" i="44" s="1"/>
  <c r="I82" i="44"/>
  <c r="I87" i="44" s="1"/>
  <c r="I86" i="44" s="1"/>
  <c r="G199" i="44" s="1"/>
  <c r="H82" i="44"/>
  <c r="H87" i="44" s="1"/>
  <c r="H86" i="44" s="1"/>
  <c r="G198" i="44" s="1"/>
  <c r="G82" i="44"/>
  <c r="G87" i="44" s="1"/>
  <c r="G86" i="44" s="1"/>
  <c r="G197" i="44" s="1"/>
  <c r="F82" i="44"/>
  <c r="F87" i="44" s="1"/>
  <c r="F86" i="44" s="1"/>
  <c r="G196" i="44" s="1"/>
  <c r="E82" i="44"/>
  <c r="E87" i="44" s="1"/>
  <c r="E86" i="44" s="1"/>
  <c r="G195" i="44" s="1"/>
  <c r="D82" i="44"/>
  <c r="D87" i="44" s="1"/>
  <c r="D86" i="44" s="1"/>
  <c r="G194" i="44" s="1"/>
  <c r="S76" i="44"/>
  <c r="R76" i="44"/>
  <c r="Q76" i="44"/>
  <c r="P76" i="44"/>
  <c r="O76" i="44"/>
  <c r="N76" i="44"/>
  <c r="M76" i="44"/>
  <c r="L76" i="44"/>
  <c r="K76" i="44"/>
  <c r="J76" i="44"/>
  <c r="I76" i="44"/>
  <c r="H76" i="44"/>
  <c r="G76" i="44"/>
  <c r="F76" i="44"/>
  <c r="E76" i="44"/>
  <c r="D76" i="44"/>
  <c r="T76" i="44" s="1"/>
  <c r="T74" i="44"/>
  <c r="T73" i="44"/>
  <c r="T72" i="44"/>
  <c r="T71" i="44"/>
  <c r="T70" i="44"/>
  <c r="T66" i="44"/>
  <c r="T64" i="44"/>
  <c r="T63" i="44"/>
  <c r="P54" i="44"/>
  <c r="H54" i="44"/>
  <c r="Q52" i="44"/>
  <c r="M52" i="44"/>
  <c r="I52" i="44"/>
  <c r="E52" i="44"/>
  <c r="S49" i="44"/>
  <c r="S52" i="44" s="1"/>
  <c r="R49" i="44"/>
  <c r="Q49" i="44"/>
  <c r="P49" i="44"/>
  <c r="P52" i="44" s="1"/>
  <c r="O49" i="44"/>
  <c r="O52" i="44" s="1"/>
  <c r="N49" i="44"/>
  <c r="M49" i="44"/>
  <c r="L49" i="44"/>
  <c r="L52" i="44" s="1"/>
  <c r="K49" i="44"/>
  <c r="K52" i="44" s="1"/>
  <c r="J49" i="44"/>
  <c r="I49" i="44"/>
  <c r="H49" i="44"/>
  <c r="H52" i="44" s="1"/>
  <c r="G49" i="44"/>
  <c r="G52" i="44" s="1"/>
  <c r="F49" i="44"/>
  <c r="E49" i="44"/>
  <c r="D49" i="44"/>
  <c r="D52" i="44" s="1"/>
  <c r="T45" i="44"/>
  <c r="T44" i="44"/>
  <c r="T43" i="44"/>
  <c r="L54" i="44" s="1"/>
  <c r="T84" i="43"/>
  <c r="S82" i="43"/>
  <c r="S87" i="43" s="1"/>
  <c r="S86" i="43" s="1"/>
  <c r="G209" i="43" s="1"/>
  <c r="R82" i="43"/>
  <c r="R87" i="43" s="1"/>
  <c r="R86" i="43" s="1"/>
  <c r="G208" i="43" s="1"/>
  <c r="Q82" i="43"/>
  <c r="Q87" i="43" s="1"/>
  <c r="Q86" i="43" s="1"/>
  <c r="G207" i="43" s="1"/>
  <c r="P82" i="43"/>
  <c r="P87" i="43" s="1"/>
  <c r="P86" i="43" s="1"/>
  <c r="G206" i="43" s="1"/>
  <c r="O82" i="43"/>
  <c r="O87" i="43" s="1"/>
  <c r="O86" i="43" s="1"/>
  <c r="G205" i="43" s="1"/>
  <c r="N82" i="43"/>
  <c r="N87" i="43" s="1"/>
  <c r="N86" i="43" s="1"/>
  <c r="G204" i="43" s="1"/>
  <c r="M82" i="43"/>
  <c r="M87" i="43" s="1"/>
  <c r="M86" i="43" s="1"/>
  <c r="G203" i="43" s="1"/>
  <c r="L82" i="43"/>
  <c r="L87" i="43" s="1"/>
  <c r="L86" i="43" s="1"/>
  <c r="G202" i="43" s="1"/>
  <c r="K82" i="43"/>
  <c r="K87" i="43" s="1"/>
  <c r="K86" i="43" s="1"/>
  <c r="G201" i="43" s="1"/>
  <c r="J82" i="43"/>
  <c r="J87" i="43" s="1"/>
  <c r="J86" i="43" s="1"/>
  <c r="G200" i="43" s="1"/>
  <c r="I82" i="43"/>
  <c r="I87" i="43" s="1"/>
  <c r="I86" i="43" s="1"/>
  <c r="G199" i="43" s="1"/>
  <c r="H82" i="43"/>
  <c r="H87" i="43" s="1"/>
  <c r="H86" i="43" s="1"/>
  <c r="G198" i="43" s="1"/>
  <c r="G82" i="43"/>
  <c r="G87" i="43" s="1"/>
  <c r="G86" i="43" s="1"/>
  <c r="G197" i="43" s="1"/>
  <c r="F82" i="43"/>
  <c r="F87" i="43" s="1"/>
  <c r="F86" i="43" s="1"/>
  <c r="G196" i="43" s="1"/>
  <c r="E82" i="43"/>
  <c r="E87" i="43" s="1"/>
  <c r="E86" i="43" s="1"/>
  <c r="G195" i="43" s="1"/>
  <c r="D82" i="43"/>
  <c r="D87" i="43" s="1"/>
  <c r="D86" i="43" s="1"/>
  <c r="G194" i="43" s="1"/>
  <c r="S76" i="43"/>
  <c r="R76" i="43"/>
  <c r="Q76" i="43"/>
  <c r="P76" i="43"/>
  <c r="O76" i="43"/>
  <c r="N76" i="43"/>
  <c r="M76" i="43"/>
  <c r="L76" i="43"/>
  <c r="K76" i="43"/>
  <c r="J76" i="43"/>
  <c r="I76" i="43"/>
  <c r="H76" i="43"/>
  <c r="G76" i="43"/>
  <c r="F76" i="43"/>
  <c r="E76" i="43"/>
  <c r="D76" i="43"/>
  <c r="T76" i="43" s="1"/>
  <c r="T74" i="43"/>
  <c r="T73" i="43"/>
  <c r="T72" i="43"/>
  <c r="T71" i="43"/>
  <c r="T70" i="43"/>
  <c r="S64" i="43"/>
  <c r="R64" i="43"/>
  <c r="Q64" i="43"/>
  <c r="P64" i="43"/>
  <c r="O64" i="43"/>
  <c r="N64" i="43"/>
  <c r="M64" i="43"/>
  <c r="L64" i="43"/>
  <c r="K64" i="43"/>
  <c r="J64" i="43"/>
  <c r="I64" i="43"/>
  <c r="H64" i="43"/>
  <c r="G64" i="43"/>
  <c r="F64" i="43"/>
  <c r="E64" i="43"/>
  <c r="D64" i="43"/>
  <c r="T63" i="43"/>
  <c r="T62" i="43"/>
  <c r="T61" i="43"/>
  <c r="T60" i="43"/>
  <c r="T59" i="43"/>
  <c r="T58" i="43"/>
  <c r="S54" i="43"/>
  <c r="R54" i="43"/>
  <c r="Q54" i="43"/>
  <c r="O54" i="43"/>
  <c r="N54" i="43"/>
  <c r="M54" i="43"/>
  <c r="K54" i="43"/>
  <c r="J54" i="43"/>
  <c r="I54" i="43"/>
  <c r="G54" i="43"/>
  <c r="F54" i="43"/>
  <c r="E54" i="43"/>
  <c r="S52" i="43"/>
  <c r="R52" i="43"/>
  <c r="P52" i="43"/>
  <c r="O52" i="43"/>
  <c r="N52" i="43"/>
  <c r="L52" i="43"/>
  <c r="K52" i="43"/>
  <c r="J52" i="43"/>
  <c r="G52" i="43"/>
  <c r="F52" i="43"/>
  <c r="D52" i="43"/>
  <c r="S49" i="43"/>
  <c r="R49" i="43"/>
  <c r="Q49" i="43"/>
  <c r="P49" i="43"/>
  <c r="O49" i="43"/>
  <c r="N49" i="43"/>
  <c r="M49" i="43"/>
  <c r="L49" i="43"/>
  <c r="K49" i="43"/>
  <c r="J49" i="43"/>
  <c r="I49" i="43"/>
  <c r="H49" i="43"/>
  <c r="G49" i="43"/>
  <c r="F49" i="43"/>
  <c r="E49" i="43"/>
  <c r="E52" i="43" s="1"/>
  <c r="D49" i="43"/>
  <c r="T45" i="43"/>
  <c r="T44" i="43"/>
  <c r="T49" i="43" s="1"/>
  <c r="T43" i="43"/>
  <c r="P54" i="43" s="1"/>
  <c r="H196" i="43" l="1"/>
  <c r="H200" i="43"/>
  <c r="H204" i="43"/>
  <c r="H208" i="43"/>
  <c r="G210" i="44"/>
  <c r="H210" i="44" s="1"/>
  <c r="H194" i="44"/>
  <c r="H198" i="44"/>
  <c r="H202" i="44"/>
  <c r="H206" i="44"/>
  <c r="H196" i="45"/>
  <c r="H200" i="45"/>
  <c r="H204" i="45"/>
  <c r="H208" i="45"/>
  <c r="H197" i="43"/>
  <c r="H201" i="43"/>
  <c r="H205" i="43"/>
  <c r="H209" i="43"/>
  <c r="H195" i="44"/>
  <c r="H199" i="44"/>
  <c r="H203" i="44"/>
  <c r="H207" i="44"/>
  <c r="H197" i="45"/>
  <c r="H201" i="45"/>
  <c r="H205" i="45"/>
  <c r="H209" i="45"/>
  <c r="G210" i="43"/>
  <c r="H210" i="43" s="1"/>
  <c r="H194" i="43"/>
  <c r="H198" i="43"/>
  <c r="H202" i="43"/>
  <c r="H206" i="43"/>
  <c r="H196" i="44"/>
  <c r="H200" i="44"/>
  <c r="H204" i="44"/>
  <c r="H208" i="44"/>
  <c r="G210" i="45"/>
  <c r="H210" i="45" s="1"/>
  <c r="H194" i="45"/>
  <c r="H198" i="45"/>
  <c r="H202" i="45"/>
  <c r="H206" i="45"/>
  <c r="H195" i="43"/>
  <c r="H199" i="43"/>
  <c r="H203" i="43"/>
  <c r="H207" i="43"/>
  <c r="H197" i="44"/>
  <c r="H201" i="44"/>
  <c r="H205" i="44"/>
  <c r="H209" i="44"/>
  <c r="H195" i="45"/>
  <c r="H199" i="45"/>
  <c r="H203" i="45"/>
  <c r="H207" i="45"/>
  <c r="T82" i="45"/>
  <c r="T82" i="43"/>
  <c r="T82" i="44"/>
  <c r="U45" i="43"/>
  <c r="U43" i="43"/>
  <c r="L55" i="43"/>
  <c r="T52" i="43"/>
  <c r="G55" i="43"/>
  <c r="S55" i="43"/>
  <c r="U44" i="43"/>
  <c r="K55" i="43"/>
  <c r="E55" i="43"/>
  <c r="T49" i="45"/>
  <c r="U44" i="45"/>
  <c r="T64" i="43"/>
  <c r="T66" i="43" s="1"/>
  <c r="D55" i="43"/>
  <c r="H55" i="43"/>
  <c r="P55" i="43"/>
  <c r="H52" i="43"/>
  <c r="U45" i="44"/>
  <c r="O55" i="43"/>
  <c r="I55" i="43"/>
  <c r="I52" i="43"/>
  <c r="M55" i="43"/>
  <c r="M52" i="43"/>
  <c r="Q55" i="43"/>
  <c r="Q52" i="43"/>
  <c r="F55" i="44"/>
  <c r="F52" i="44"/>
  <c r="J52" i="44"/>
  <c r="N55" i="44"/>
  <c r="N52" i="44"/>
  <c r="R52" i="44"/>
  <c r="E52" i="45"/>
  <c r="I52" i="45"/>
  <c r="I55" i="45"/>
  <c r="M52" i="45"/>
  <c r="Q52" i="45"/>
  <c r="Q55" i="45"/>
  <c r="I54" i="44"/>
  <c r="Q54" i="44"/>
  <c r="T54" i="45"/>
  <c r="F55" i="43"/>
  <c r="J55" i="43"/>
  <c r="N55" i="43"/>
  <c r="R55" i="43"/>
  <c r="D54" i="43"/>
  <c r="H54" i="43"/>
  <c r="L54" i="43"/>
  <c r="U43" i="44"/>
  <c r="D54" i="44"/>
  <c r="U45" i="45"/>
  <c r="G55" i="45"/>
  <c r="S55" i="45"/>
  <c r="S54" i="44"/>
  <c r="O54" i="44"/>
  <c r="K54" i="44"/>
  <c r="G54" i="44"/>
  <c r="T52" i="44"/>
  <c r="R54" i="44"/>
  <c r="N54" i="44"/>
  <c r="J54" i="44"/>
  <c r="F54" i="44"/>
  <c r="T49" i="44"/>
  <c r="J55" i="44" s="1"/>
  <c r="E55" i="44"/>
  <c r="I55" i="44"/>
  <c r="M55" i="44"/>
  <c r="E54" i="44"/>
  <c r="M54" i="44"/>
  <c r="D55" i="45"/>
  <c r="L55" i="45"/>
  <c r="P55" i="45"/>
  <c r="D92" i="45" l="1"/>
  <c r="T87" i="45"/>
  <c r="T86" i="45" s="1"/>
  <c r="D92" i="44"/>
  <c r="T87" i="44"/>
  <c r="T86" i="44" s="1"/>
  <c r="D91" i="44" s="1"/>
  <c r="D92" i="43"/>
  <c r="T87" i="43"/>
  <c r="T86" i="43" s="1"/>
  <c r="T54" i="44"/>
  <c r="U43" i="45"/>
  <c r="N55" i="45"/>
  <c r="F55" i="45"/>
  <c r="R55" i="45"/>
  <c r="J55" i="45"/>
  <c r="T52" i="45"/>
  <c r="H55" i="45"/>
  <c r="Q55" i="44"/>
  <c r="U44" i="44"/>
  <c r="O55" i="45"/>
  <c r="S55" i="44"/>
  <c r="M55" i="45"/>
  <c r="E55" i="45"/>
  <c r="R55" i="44"/>
  <c r="T54" i="43"/>
  <c r="L55" i="44"/>
  <c r="D55" i="44"/>
  <c r="P55" i="44"/>
  <c r="H55" i="44"/>
  <c r="G55" i="44"/>
  <c r="O55" i="44"/>
  <c r="K55" i="45"/>
  <c r="K55" i="44"/>
  <c r="K92" i="45" l="1"/>
  <c r="D94" i="45"/>
  <c r="D96" i="45" s="1"/>
  <c r="K92" i="44"/>
  <c r="E181" i="44" l="1"/>
  <c r="I181" i="44"/>
  <c r="M181" i="44"/>
  <c r="Q181" i="44"/>
  <c r="F181" i="44"/>
  <c r="K181" i="44"/>
  <c r="P181" i="44"/>
  <c r="D94" i="44"/>
  <c r="D96" i="44" s="1"/>
  <c r="G181" i="44"/>
  <c r="L181" i="44"/>
  <c r="R181" i="44"/>
  <c r="H181" i="44"/>
  <c r="N181" i="44"/>
  <c r="S181" i="44"/>
  <c r="J181" i="44"/>
  <c r="O181" i="44"/>
  <c r="D181" i="44"/>
  <c r="D91" i="45"/>
  <c r="K94" i="44"/>
  <c r="H181" i="45" l="1"/>
  <c r="L181" i="45"/>
  <c r="P181" i="45"/>
  <c r="D181" i="45"/>
  <c r="E181" i="45"/>
  <c r="I181" i="45"/>
  <c r="M181" i="45"/>
  <c r="Q181" i="45"/>
  <c r="F181" i="45"/>
  <c r="J181" i="45"/>
  <c r="N181" i="45"/>
  <c r="R181" i="45"/>
  <c r="G181" i="45"/>
  <c r="K181" i="45"/>
  <c r="O181" i="45"/>
  <c r="S181" i="45"/>
  <c r="F186" i="44"/>
  <c r="F183" i="44"/>
  <c r="O186" i="44"/>
  <c r="O183" i="44"/>
  <c r="H186" i="44"/>
  <c r="H183" i="44"/>
  <c r="Q186" i="44"/>
  <c r="Q183" i="44"/>
  <c r="D186" i="44"/>
  <c r="D183" i="44"/>
  <c r="T181" i="44"/>
  <c r="N186" i="44"/>
  <c r="N183" i="44"/>
  <c r="G186" i="44"/>
  <c r="G183" i="44"/>
  <c r="E186" i="44"/>
  <c r="E183" i="44"/>
  <c r="J186" i="44"/>
  <c r="J183" i="44"/>
  <c r="R186" i="44"/>
  <c r="R183" i="44"/>
  <c r="P186" i="44"/>
  <c r="P183" i="44"/>
  <c r="M186" i="44"/>
  <c r="M183" i="44"/>
  <c r="K94" i="45"/>
  <c r="S186" i="44"/>
  <c r="S183" i="44"/>
  <c r="L186" i="44"/>
  <c r="L183" i="44"/>
  <c r="K186" i="44"/>
  <c r="K183" i="44"/>
  <c r="I186" i="44"/>
  <c r="I183" i="44"/>
  <c r="P93" i="35"/>
  <c r="P94" i="35"/>
  <c r="P95" i="35"/>
  <c r="P96" i="35"/>
  <c r="P97" i="35"/>
  <c r="P98" i="35"/>
  <c r="P99" i="35"/>
  <c r="P100" i="35"/>
  <c r="P101" i="35"/>
  <c r="P102" i="35"/>
  <c r="P103" i="35"/>
  <c r="P104" i="35"/>
  <c r="P105" i="35"/>
  <c r="P106" i="35"/>
  <c r="P107" i="35"/>
  <c r="P92" i="35"/>
  <c r="N93" i="35"/>
  <c r="N94" i="35"/>
  <c r="N95" i="35"/>
  <c r="N96" i="35"/>
  <c r="N97" i="35"/>
  <c r="N98" i="35"/>
  <c r="N99" i="35"/>
  <c r="N100" i="35"/>
  <c r="N101" i="35"/>
  <c r="N102" i="35"/>
  <c r="N103" i="35"/>
  <c r="N104" i="35"/>
  <c r="N105" i="35"/>
  <c r="N106" i="35"/>
  <c r="N107" i="35"/>
  <c r="N92" i="35"/>
  <c r="E149" i="35"/>
  <c r="P149" i="35"/>
  <c r="AO60" i="35"/>
  <c r="E186" i="45" l="1"/>
  <c r="E183" i="45"/>
  <c r="R186" i="45"/>
  <c r="R183" i="45"/>
  <c r="M185" i="44"/>
  <c r="E203" i="44"/>
  <c r="R185" i="44"/>
  <c r="E208" i="44"/>
  <c r="E185" i="44"/>
  <c r="E195" i="44"/>
  <c r="N185" i="44"/>
  <c r="E204" i="44"/>
  <c r="K185" i="44"/>
  <c r="E201" i="44"/>
  <c r="S185" i="44"/>
  <c r="E209" i="44"/>
  <c r="H186" i="45"/>
  <c r="H183" i="45"/>
  <c r="L186" i="45"/>
  <c r="L183" i="45"/>
  <c r="O186" i="45"/>
  <c r="O183" i="45"/>
  <c r="N186" i="45"/>
  <c r="N183" i="45"/>
  <c r="Q185" i="44"/>
  <c r="E207" i="44"/>
  <c r="O185" i="44"/>
  <c r="E205" i="44"/>
  <c r="P186" i="45"/>
  <c r="P183" i="45"/>
  <c r="S186" i="45"/>
  <c r="S183" i="45"/>
  <c r="D183" i="45"/>
  <c r="D186" i="45"/>
  <c r="T181" i="45"/>
  <c r="V181" i="45" s="1"/>
  <c r="Q186" i="45"/>
  <c r="Q183" i="45"/>
  <c r="K186" i="45"/>
  <c r="K183" i="45"/>
  <c r="J186" i="45"/>
  <c r="J183" i="45"/>
  <c r="P185" i="44"/>
  <c r="E206" i="44"/>
  <c r="J185" i="44"/>
  <c r="E200" i="44"/>
  <c r="G185" i="44"/>
  <c r="E197" i="44"/>
  <c r="I185" i="44"/>
  <c r="E199" i="44"/>
  <c r="L185" i="44"/>
  <c r="E202" i="44"/>
  <c r="M186" i="45"/>
  <c r="M183" i="45"/>
  <c r="I186" i="45"/>
  <c r="I183" i="45"/>
  <c r="G186" i="45"/>
  <c r="G183" i="45"/>
  <c r="F186" i="45"/>
  <c r="F183" i="45"/>
  <c r="D185" i="44"/>
  <c r="E194" i="44"/>
  <c r="T183" i="44"/>
  <c r="H185" i="44"/>
  <c r="E198" i="44"/>
  <c r="F185" i="44"/>
  <c r="E196" i="44"/>
  <c r="C91" i="31"/>
  <c r="C91" i="40"/>
  <c r="B91" i="16"/>
  <c r="AM37" i="35"/>
  <c r="E210" i="44" l="1"/>
  <c r="G185" i="45"/>
  <c r="E197" i="45"/>
  <c r="J185" i="45"/>
  <c r="E200" i="45"/>
  <c r="D185" i="45"/>
  <c r="T183" i="45"/>
  <c r="E194" i="45"/>
  <c r="S185" i="45"/>
  <c r="E209" i="45"/>
  <c r="N185" i="45"/>
  <c r="E204" i="45"/>
  <c r="L185" i="45"/>
  <c r="E202" i="45"/>
  <c r="R185" i="45"/>
  <c r="E208" i="45"/>
  <c r="M185" i="45"/>
  <c r="E203" i="45"/>
  <c r="Q185" i="45"/>
  <c r="E207" i="45"/>
  <c r="F185" i="45"/>
  <c r="E196" i="45"/>
  <c r="I185" i="45"/>
  <c r="E199" i="45"/>
  <c r="K185" i="45"/>
  <c r="E201" i="45"/>
  <c r="P185" i="45"/>
  <c r="E206" i="45"/>
  <c r="O185" i="45"/>
  <c r="E205" i="45"/>
  <c r="H185" i="45"/>
  <c r="E198" i="45"/>
  <c r="E185" i="45"/>
  <c r="E195" i="45"/>
  <c r="AM36" i="35"/>
  <c r="AO37" i="35" s="1"/>
  <c r="R97" i="17"/>
  <c r="O30" i="35"/>
  <c r="K30" i="35"/>
  <c r="F40" i="35" s="1"/>
  <c r="K125" i="35" l="1"/>
  <c r="K121" i="35"/>
  <c r="K117" i="35"/>
  <c r="K113" i="35"/>
  <c r="K126" i="35"/>
  <c r="K118" i="35"/>
  <c r="K128" i="35"/>
  <c r="K124" i="35"/>
  <c r="K120" i="35"/>
  <c r="K116" i="35"/>
  <c r="K127" i="35"/>
  <c r="K123" i="35"/>
  <c r="K119" i="35"/>
  <c r="K115" i="35"/>
  <c r="K122" i="35"/>
  <c r="K114" i="35"/>
  <c r="G40" i="35"/>
  <c r="E210" i="45"/>
  <c r="E187" i="35"/>
  <c r="E186" i="35"/>
  <c r="E185" i="35"/>
  <c r="E184" i="35"/>
  <c r="E183" i="35"/>
  <c r="E182" i="35"/>
  <c r="E181" i="35"/>
  <c r="E180" i="35"/>
  <c r="E179" i="35"/>
  <c r="E178" i="35"/>
  <c r="E177" i="35"/>
  <c r="E176" i="35"/>
  <c r="E175" i="35"/>
  <c r="E174" i="35"/>
  <c r="E173" i="35"/>
  <c r="E172" i="35"/>
  <c r="P164" i="35"/>
  <c r="P163" i="35"/>
  <c r="P162" i="35"/>
  <c r="P161" i="35"/>
  <c r="P160" i="35"/>
  <c r="P159" i="35"/>
  <c r="P158" i="35"/>
  <c r="P157" i="35"/>
  <c r="P156" i="35"/>
  <c r="P155" i="35"/>
  <c r="P154" i="35"/>
  <c r="P153" i="35"/>
  <c r="P152" i="35"/>
  <c r="P151" i="35"/>
  <c r="P150" i="35"/>
  <c r="E150" i="35"/>
  <c r="E151" i="35"/>
  <c r="E152" i="35"/>
  <c r="E153" i="35"/>
  <c r="E154" i="35"/>
  <c r="E155" i="35"/>
  <c r="E156" i="35"/>
  <c r="E157" i="35"/>
  <c r="E158" i="35"/>
  <c r="E159" i="35"/>
  <c r="E160" i="35"/>
  <c r="E161" i="35"/>
  <c r="E162" i="35"/>
  <c r="E163" i="35"/>
  <c r="E164" i="35"/>
  <c r="W166" i="35"/>
  <c r="P166" i="35" s="1"/>
  <c r="L166" i="35"/>
  <c r="L189" i="35"/>
  <c r="E189" i="35" s="1"/>
  <c r="AF214" i="35"/>
  <c r="E166" i="35" l="1"/>
  <c r="Z197" i="35" l="1"/>
  <c r="AI197" i="35"/>
  <c r="W236" i="35"/>
  <c r="AF236" i="35"/>
  <c r="M236" i="35"/>
  <c r="E236" i="35"/>
  <c r="L214" i="35"/>
  <c r="U67" i="4" l="1"/>
  <c r="D65" i="4"/>
  <c r="E65" i="4"/>
  <c r="F65" i="4"/>
  <c r="G65" i="4"/>
  <c r="H65" i="4"/>
  <c r="I65" i="4"/>
  <c r="J65" i="4"/>
  <c r="K65" i="4"/>
  <c r="L65" i="4"/>
  <c r="M65" i="4"/>
  <c r="N65" i="4"/>
  <c r="O65" i="4"/>
  <c r="P65" i="4"/>
  <c r="Q65" i="4"/>
  <c r="R65" i="4"/>
  <c r="S65" i="4"/>
  <c r="T63" i="4"/>
  <c r="T65" i="39"/>
  <c r="E65" i="39"/>
  <c r="F65" i="39"/>
  <c r="G65" i="39"/>
  <c r="H65" i="39"/>
  <c r="I65" i="39"/>
  <c r="J65" i="39"/>
  <c r="K65" i="39"/>
  <c r="L65" i="39"/>
  <c r="M65" i="39"/>
  <c r="N65" i="39"/>
  <c r="O65" i="39"/>
  <c r="P65" i="39"/>
  <c r="Q65" i="39"/>
  <c r="R65" i="39"/>
  <c r="S65" i="39"/>
  <c r="T63" i="39"/>
  <c r="D65" i="39"/>
  <c r="T65" i="30"/>
  <c r="E65" i="30"/>
  <c r="F65" i="30"/>
  <c r="G65" i="30"/>
  <c r="H65" i="30"/>
  <c r="I65" i="30"/>
  <c r="J65" i="30"/>
  <c r="K65" i="30"/>
  <c r="L65" i="30"/>
  <c r="M65" i="30"/>
  <c r="N65" i="30"/>
  <c r="O65" i="30"/>
  <c r="P65" i="30"/>
  <c r="Q65" i="30"/>
  <c r="R65" i="30"/>
  <c r="S65" i="30"/>
  <c r="D65" i="30"/>
  <c r="T64" i="4" l="1"/>
  <c r="S83" i="4"/>
  <c r="S88" i="4" s="1"/>
  <c r="R83" i="4"/>
  <c r="R88" i="4" s="1"/>
  <c r="Q83" i="4"/>
  <c r="Q88" i="4" s="1"/>
  <c r="P83" i="4"/>
  <c r="P88" i="4" s="1"/>
  <c r="O83" i="4"/>
  <c r="O88" i="4" s="1"/>
  <c r="N83" i="4"/>
  <c r="N88" i="4" s="1"/>
  <c r="M83" i="4"/>
  <c r="M88" i="4" s="1"/>
  <c r="L83" i="4"/>
  <c r="L88" i="4" s="1"/>
  <c r="K83" i="4"/>
  <c r="K88" i="4" s="1"/>
  <c r="J83" i="4"/>
  <c r="J88" i="4" s="1"/>
  <c r="I83" i="4"/>
  <c r="I88" i="4" s="1"/>
  <c r="H83" i="4"/>
  <c r="H88" i="4" s="1"/>
  <c r="G83" i="4"/>
  <c r="G88" i="4" s="1"/>
  <c r="F83" i="4"/>
  <c r="F88" i="4" s="1"/>
  <c r="E83" i="4"/>
  <c r="E88" i="4" s="1"/>
  <c r="D83" i="4"/>
  <c r="D88" i="4" s="1"/>
  <c r="D87" i="4" s="1"/>
  <c r="E37" i="35"/>
  <c r="H83" i="30" s="1"/>
  <c r="H88" i="30" s="1"/>
  <c r="G87" i="4" l="1"/>
  <c r="G198" i="4" s="1"/>
  <c r="H198" i="4" s="1"/>
  <c r="E87" i="4"/>
  <c r="G196" i="4" s="1"/>
  <c r="H196" i="4" s="1"/>
  <c r="I87" i="4"/>
  <c r="G200" i="4" s="1"/>
  <c r="H200" i="4" s="1"/>
  <c r="M87" i="4"/>
  <c r="G204" i="4" s="1"/>
  <c r="H204" i="4" s="1"/>
  <c r="Q87" i="4"/>
  <c r="G208" i="4" s="1"/>
  <c r="H208" i="4" s="1"/>
  <c r="F87" i="4"/>
  <c r="G197" i="4" s="1"/>
  <c r="H197" i="4" s="1"/>
  <c r="J87" i="4"/>
  <c r="G201" i="4" s="1"/>
  <c r="H201" i="4" s="1"/>
  <c r="N87" i="4"/>
  <c r="G205" i="4" s="1"/>
  <c r="H205" i="4" s="1"/>
  <c r="R87" i="4"/>
  <c r="G209" i="4" s="1"/>
  <c r="H209" i="4" s="1"/>
  <c r="H87" i="30"/>
  <c r="G199" i="30" s="1"/>
  <c r="H199" i="30" s="1"/>
  <c r="K87" i="4"/>
  <c r="G202" i="4" s="1"/>
  <c r="H202" i="4" s="1"/>
  <c r="O87" i="4"/>
  <c r="G206" i="4" s="1"/>
  <c r="H206" i="4" s="1"/>
  <c r="S87" i="4"/>
  <c r="G210" i="4" s="1"/>
  <c r="H210" i="4" s="1"/>
  <c r="H87" i="4"/>
  <c r="L87" i="4"/>
  <c r="G203" i="4" s="1"/>
  <c r="H203" i="4" s="1"/>
  <c r="P87" i="4"/>
  <c r="G207" i="4" s="1"/>
  <c r="H207" i="4" s="1"/>
  <c r="G195" i="4"/>
  <c r="S83" i="30"/>
  <c r="S88" i="30" s="1"/>
  <c r="O83" i="30"/>
  <c r="O88" i="30" s="1"/>
  <c r="K83" i="30"/>
  <c r="K88" i="30" s="1"/>
  <c r="G83" i="30"/>
  <c r="G88" i="30" s="1"/>
  <c r="R83" i="30"/>
  <c r="R88" i="30" s="1"/>
  <c r="N83" i="30"/>
  <c r="N88" i="30" s="1"/>
  <c r="J83" i="30"/>
  <c r="J88" i="30" s="1"/>
  <c r="F83" i="30"/>
  <c r="F88" i="30" s="1"/>
  <c r="F37" i="35"/>
  <c r="Q83" i="30"/>
  <c r="Q88" i="30" s="1"/>
  <c r="M83" i="30"/>
  <c r="M88" i="30" s="1"/>
  <c r="I83" i="30"/>
  <c r="I88" i="30" s="1"/>
  <c r="E83" i="30"/>
  <c r="E88" i="30" s="1"/>
  <c r="D83" i="30"/>
  <c r="D88" i="30" s="1"/>
  <c r="D87" i="30" s="1"/>
  <c r="P83" i="30"/>
  <c r="P88" i="30" s="1"/>
  <c r="L83" i="30"/>
  <c r="L88" i="30" s="1"/>
  <c r="T64" i="39"/>
  <c r="T63" i="30"/>
  <c r="V87" i="4" l="1"/>
  <c r="N87" i="30"/>
  <c r="G205" i="30" s="1"/>
  <c r="H205" i="30" s="1"/>
  <c r="O87" i="30"/>
  <c r="G206" i="30" s="1"/>
  <c r="H206" i="30" s="1"/>
  <c r="E87" i="30"/>
  <c r="G196" i="30" s="1"/>
  <c r="H196" i="30" s="1"/>
  <c r="R87" i="30"/>
  <c r="G209" i="30" s="1"/>
  <c r="H209" i="30" s="1"/>
  <c r="S87" i="30"/>
  <c r="G210" i="30" s="1"/>
  <c r="H210" i="30" s="1"/>
  <c r="G199" i="4"/>
  <c r="H199" i="4" s="1"/>
  <c r="Q87" i="30"/>
  <c r="G208" i="30" s="1"/>
  <c r="H208" i="30" s="1"/>
  <c r="L87" i="30"/>
  <c r="G203" i="30" s="1"/>
  <c r="H203" i="30" s="1"/>
  <c r="I87" i="30"/>
  <c r="G200" i="30" s="1"/>
  <c r="H200" i="30" s="1"/>
  <c r="F87" i="30"/>
  <c r="G197" i="30" s="1"/>
  <c r="H197" i="30" s="1"/>
  <c r="G87" i="30"/>
  <c r="G198" i="30" s="1"/>
  <c r="H198" i="30" s="1"/>
  <c r="P87" i="30"/>
  <c r="G207" i="30" s="1"/>
  <c r="H207" i="30" s="1"/>
  <c r="M87" i="30"/>
  <c r="G204" i="30" s="1"/>
  <c r="H204" i="30" s="1"/>
  <c r="J87" i="30"/>
  <c r="G201" i="30" s="1"/>
  <c r="H201" i="30" s="1"/>
  <c r="K87" i="30"/>
  <c r="G202" i="30" s="1"/>
  <c r="H202" i="30" s="1"/>
  <c r="G195" i="30"/>
  <c r="H195" i="4"/>
  <c r="G211" i="4"/>
  <c r="H83" i="39"/>
  <c r="H88" i="39" s="1"/>
  <c r="L83" i="39"/>
  <c r="L88" i="39" s="1"/>
  <c r="P83" i="39"/>
  <c r="P88" i="39" s="1"/>
  <c r="D83" i="39"/>
  <c r="D88" i="39" s="1"/>
  <c r="D87" i="39" s="1"/>
  <c r="E83" i="39"/>
  <c r="E88" i="39" s="1"/>
  <c r="I83" i="39"/>
  <c r="I88" i="39" s="1"/>
  <c r="M83" i="39"/>
  <c r="M88" i="39" s="1"/>
  <c r="Q83" i="39"/>
  <c r="Q88" i="39" s="1"/>
  <c r="F83" i="39"/>
  <c r="F88" i="39" s="1"/>
  <c r="J83" i="39"/>
  <c r="J88" i="39" s="1"/>
  <c r="N83" i="39"/>
  <c r="N88" i="39" s="1"/>
  <c r="R83" i="39"/>
  <c r="R88" i="39" s="1"/>
  <c r="G83" i="39"/>
  <c r="G88" i="39" s="1"/>
  <c r="K83" i="39"/>
  <c r="K88" i="39" s="1"/>
  <c r="O83" i="39"/>
  <c r="O88" i="39" s="1"/>
  <c r="S83" i="39"/>
  <c r="S88" i="39" s="1"/>
  <c r="F87" i="39" l="1"/>
  <c r="G197" i="39" s="1"/>
  <c r="H197" i="39" s="1"/>
  <c r="O87" i="39"/>
  <c r="G206" i="39" s="1"/>
  <c r="H206" i="39" s="1"/>
  <c r="N87" i="39"/>
  <c r="G205" i="39" s="1"/>
  <c r="H205" i="39" s="1"/>
  <c r="M87" i="39"/>
  <c r="G204" i="39" s="1"/>
  <c r="H204" i="39" s="1"/>
  <c r="P87" i="39"/>
  <c r="G207" i="39" s="1"/>
  <c r="H207" i="39" s="1"/>
  <c r="K87" i="39"/>
  <c r="G202" i="39" s="1"/>
  <c r="H202" i="39" s="1"/>
  <c r="J87" i="39"/>
  <c r="G201" i="39" s="1"/>
  <c r="H201" i="39" s="1"/>
  <c r="I87" i="39"/>
  <c r="G200" i="39" s="1"/>
  <c r="H200" i="39" s="1"/>
  <c r="L87" i="39"/>
  <c r="G203" i="39" s="1"/>
  <c r="H203" i="39" s="1"/>
  <c r="V87" i="30"/>
  <c r="G87" i="39"/>
  <c r="G198" i="39" s="1"/>
  <c r="H198" i="39" s="1"/>
  <c r="E87" i="39"/>
  <c r="H87" i="39"/>
  <c r="G199" i="39" s="1"/>
  <c r="H199" i="39" s="1"/>
  <c r="S87" i="39"/>
  <c r="G210" i="39" s="1"/>
  <c r="H210" i="39" s="1"/>
  <c r="R87" i="39"/>
  <c r="G209" i="39" s="1"/>
  <c r="H209" i="39" s="1"/>
  <c r="Q87" i="39"/>
  <c r="G208" i="39" s="1"/>
  <c r="H208" i="39" s="1"/>
  <c r="G195" i="39"/>
  <c r="H211" i="4"/>
  <c r="G211" i="30"/>
  <c r="H195" i="30"/>
  <c r="K108" i="35"/>
  <c r="K129" i="35" s="1"/>
  <c r="F113" i="35"/>
  <c r="F114" i="35"/>
  <c r="F115" i="35"/>
  <c r="F116" i="35"/>
  <c r="F117" i="35"/>
  <c r="F118" i="35"/>
  <c r="F119" i="35"/>
  <c r="F120" i="35"/>
  <c r="F121" i="35"/>
  <c r="F122" i="35"/>
  <c r="F123" i="35"/>
  <c r="F124" i="35"/>
  <c r="F125" i="35"/>
  <c r="F126" i="35"/>
  <c r="F127" i="35"/>
  <c r="F128" i="35"/>
  <c r="E114" i="35"/>
  <c r="E115" i="35"/>
  <c r="N115" i="35" s="1"/>
  <c r="E116" i="35"/>
  <c r="N116" i="35" s="1"/>
  <c r="E117" i="35"/>
  <c r="E118" i="35"/>
  <c r="E119" i="35"/>
  <c r="N119" i="35" s="1"/>
  <c r="E120" i="35"/>
  <c r="N120" i="35" s="1"/>
  <c r="E121" i="35"/>
  <c r="E122" i="35"/>
  <c r="E123" i="35"/>
  <c r="N123" i="35" s="1"/>
  <c r="E124" i="35"/>
  <c r="N124" i="35" s="1"/>
  <c r="E125" i="35"/>
  <c r="E126" i="35"/>
  <c r="E127" i="35"/>
  <c r="N127" i="35" s="1"/>
  <c r="E128" i="35"/>
  <c r="N128" i="35" s="1"/>
  <c r="E113" i="35"/>
  <c r="F108" i="35"/>
  <c r="F129" i="35" s="1"/>
  <c r="E108" i="35"/>
  <c r="E69" i="33"/>
  <c r="E129" i="35" l="1"/>
  <c r="N108" i="35"/>
  <c r="N126" i="35"/>
  <c r="N118" i="35"/>
  <c r="N114" i="35"/>
  <c r="N113" i="35"/>
  <c r="N125" i="35"/>
  <c r="N121" i="35"/>
  <c r="N117" i="35"/>
  <c r="N122" i="35"/>
  <c r="W87" i="39"/>
  <c r="G196" i="39"/>
  <c r="H196" i="39" s="1"/>
  <c r="P108" i="35"/>
  <c r="P118" i="35"/>
  <c r="P122" i="35"/>
  <c r="P126" i="35"/>
  <c r="P113" i="35"/>
  <c r="P115" i="35"/>
  <c r="P119" i="35"/>
  <c r="P123" i="35"/>
  <c r="P127" i="35"/>
  <c r="P114" i="35"/>
  <c r="P116" i="35"/>
  <c r="P120" i="35"/>
  <c r="P124" i="35"/>
  <c r="P128" i="35"/>
  <c r="P117" i="35"/>
  <c r="P121" i="35"/>
  <c r="P125" i="35"/>
  <c r="H211" i="30"/>
  <c r="H195" i="39"/>
  <c r="L21" i="35"/>
  <c r="P21" i="35" s="1"/>
  <c r="B21" i="37" s="1"/>
  <c r="N59" i="35"/>
  <c r="Q59" i="35" s="1"/>
  <c r="F118" i="41" s="1"/>
  <c r="G136" i="41" s="1"/>
  <c r="G118" i="23"/>
  <c r="G117" i="23"/>
  <c r="N91" i="16" s="1"/>
  <c r="D94" i="16" s="1"/>
  <c r="N58" i="35"/>
  <c r="G117" i="32" s="1"/>
  <c r="G211" i="39" l="1"/>
  <c r="G99" i="16"/>
  <c r="E99" i="16"/>
  <c r="F99" i="16"/>
  <c r="C99" i="16"/>
  <c r="H211" i="39"/>
  <c r="B21" i="28"/>
  <c r="B21" i="6"/>
  <c r="G118" i="32"/>
  <c r="G136" i="32" s="1"/>
  <c r="E122" i="32"/>
  <c r="E126" i="32"/>
  <c r="E130" i="32"/>
  <c r="E134" i="32"/>
  <c r="E123" i="32"/>
  <c r="E127" i="32"/>
  <c r="E131" i="32"/>
  <c r="E135" i="32"/>
  <c r="N91" i="31"/>
  <c r="D94" i="31" s="1"/>
  <c r="E124" i="32"/>
  <c r="E128" i="32"/>
  <c r="E132" i="32"/>
  <c r="E136" i="32"/>
  <c r="E125" i="32"/>
  <c r="E129" i="32"/>
  <c r="E133" i="32"/>
  <c r="E121" i="32"/>
  <c r="Q58" i="35"/>
  <c r="F117" i="41" s="1"/>
  <c r="G99" i="31" l="1"/>
  <c r="C99" i="31"/>
  <c r="E99" i="31"/>
  <c r="F99" i="31"/>
  <c r="E136" i="41"/>
  <c r="E132" i="41"/>
  <c r="E128" i="41"/>
  <c r="E124" i="41"/>
  <c r="E135" i="41"/>
  <c r="E131" i="41"/>
  <c r="E127" i="41"/>
  <c r="E123" i="41"/>
  <c r="E134" i="41"/>
  <c r="E130" i="41"/>
  <c r="E126" i="41"/>
  <c r="E122" i="41"/>
  <c r="N91" i="40"/>
  <c r="D94" i="40" s="1"/>
  <c r="E133" i="41"/>
  <c r="E129" i="41"/>
  <c r="E125" i="41"/>
  <c r="E121" i="41"/>
  <c r="E99" i="40" l="1"/>
  <c r="F99" i="40"/>
  <c r="C99" i="40"/>
  <c r="G99" i="40"/>
  <c r="E57" i="1"/>
  <c r="L10" i="1"/>
  <c r="L11" i="1"/>
  <c r="L9" i="1"/>
  <c r="L7" i="1"/>
  <c r="G56" i="27" l="1"/>
  <c r="G58" i="25"/>
  <c r="G56" i="34"/>
  <c r="M33" i="35"/>
  <c r="L9" i="29" s="1"/>
  <c r="M34" i="35"/>
  <c r="L10" i="29" s="1"/>
  <c r="M35" i="35"/>
  <c r="L11" i="29" s="1"/>
  <c r="M32" i="35"/>
  <c r="L7" i="29" s="1"/>
  <c r="Q34" i="35" l="1"/>
  <c r="L10" i="38" s="1"/>
  <c r="Q33" i="35"/>
  <c r="L9" i="38" s="1"/>
  <c r="Q35" i="35"/>
  <c r="L11" i="38" s="1"/>
  <c r="Q32" i="35"/>
  <c r="L7" i="38" s="1"/>
  <c r="P212" i="35"/>
  <c r="P211" i="35"/>
  <c r="P210" i="35"/>
  <c r="P209" i="35"/>
  <c r="P208" i="35"/>
  <c r="P207" i="35"/>
  <c r="P206" i="35"/>
  <c r="P205" i="35"/>
  <c r="P204" i="35"/>
  <c r="P203" i="35"/>
  <c r="P202" i="35"/>
  <c r="P201" i="35"/>
  <c r="P200" i="35"/>
  <c r="P199" i="35"/>
  <c r="P198" i="35"/>
  <c r="P197" i="35"/>
  <c r="M214" i="35"/>
  <c r="P214" i="35" l="1"/>
  <c r="AI234" i="35" l="1"/>
  <c r="AI233" i="35"/>
  <c r="AI232" i="35"/>
  <c r="AI231" i="35"/>
  <c r="AI230" i="35"/>
  <c r="AI229" i="35"/>
  <c r="AI228" i="35"/>
  <c r="AI227" i="35"/>
  <c r="AI226" i="35"/>
  <c r="AI225" i="35"/>
  <c r="AI224" i="35"/>
  <c r="AI223" i="35"/>
  <c r="AI222" i="35"/>
  <c r="AI221" i="35"/>
  <c r="AI220" i="35"/>
  <c r="AI219" i="35"/>
  <c r="Z234" i="35"/>
  <c r="Z233" i="35"/>
  <c r="Z232" i="35"/>
  <c r="Z231" i="35"/>
  <c r="Z230" i="35"/>
  <c r="Z229" i="35"/>
  <c r="Z228" i="35"/>
  <c r="Z227" i="35"/>
  <c r="Z226" i="35"/>
  <c r="Z225" i="35"/>
  <c r="Z224" i="35"/>
  <c r="Z223" i="35"/>
  <c r="Z222" i="35"/>
  <c r="Z221" i="35"/>
  <c r="Z220" i="35"/>
  <c r="Z219" i="35"/>
  <c r="P234" i="35"/>
  <c r="P233" i="35"/>
  <c r="P232" i="35"/>
  <c r="P231" i="35"/>
  <c r="P230" i="35"/>
  <c r="P229" i="35"/>
  <c r="P228" i="35"/>
  <c r="P227" i="35"/>
  <c r="P226" i="35"/>
  <c r="P225" i="35"/>
  <c r="P224" i="35"/>
  <c r="P223" i="35"/>
  <c r="P222" i="35"/>
  <c r="P221" i="35"/>
  <c r="P220" i="35"/>
  <c r="P219" i="35"/>
  <c r="H234" i="35"/>
  <c r="H233" i="35"/>
  <c r="H232" i="35"/>
  <c r="H231" i="35"/>
  <c r="H230" i="35"/>
  <c r="H229" i="35"/>
  <c r="H228" i="35"/>
  <c r="H227" i="35"/>
  <c r="H226" i="35"/>
  <c r="H225" i="35"/>
  <c r="H224" i="35"/>
  <c r="H223" i="35"/>
  <c r="H222" i="35"/>
  <c r="H221" i="35"/>
  <c r="H220" i="35"/>
  <c r="H219" i="35"/>
  <c r="AI212" i="35"/>
  <c r="AI211" i="35"/>
  <c r="AI210" i="35"/>
  <c r="AI209" i="35"/>
  <c r="AI208" i="35"/>
  <c r="AI207" i="35"/>
  <c r="AI206" i="35"/>
  <c r="AI205" i="35"/>
  <c r="AI204" i="35"/>
  <c r="AI203" i="35"/>
  <c r="AI202" i="35"/>
  <c r="AI201" i="35"/>
  <c r="AI200" i="35"/>
  <c r="AI199" i="35"/>
  <c r="AI198" i="35"/>
  <c r="Z198" i="35"/>
  <c r="Z199" i="35"/>
  <c r="Z200" i="35"/>
  <c r="Z201" i="35"/>
  <c r="Z202" i="35"/>
  <c r="Z203" i="35"/>
  <c r="Z204" i="35"/>
  <c r="Z205" i="35"/>
  <c r="Z206" i="35"/>
  <c r="Z207" i="35"/>
  <c r="Z208" i="35"/>
  <c r="Z209" i="35"/>
  <c r="Z210" i="35"/>
  <c r="Z211" i="35"/>
  <c r="Z212" i="35"/>
  <c r="Z214" i="35"/>
  <c r="AD236" i="35" l="1"/>
  <c r="AI236" i="35" s="1"/>
  <c r="V236" i="35"/>
  <c r="Z236" i="35" s="1"/>
  <c r="L236" i="35"/>
  <c r="P236" i="35" s="1"/>
  <c r="D236" i="35"/>
  <c r="H236" i="35" s="1"/>
  <c r="AD214" i="35" l="1"/>
  <c r="AI214" i="35" s="1"/>
  <c r="H198" i="35" l="1"/>
  <c r="H199" i="35"/>
  <c r="H200" i="35"/>
  <c r="H201" i="35"/>
  <c r="H202" i="35"/>
  <c r="H203" i="35"/>
  <c r="H204" i="35"/>
  <c r="H205" i="35"/>
  <c r="H206" i="35"/>
  <c r="H207" i="35"/>
  <c r="H208" i="35"/>
  <c r="H209" i="35"/>
  <c r="H210" i="35"/>
  <c r="H211" i="35"/>
  <c r="H212" i="35"/>
  <c r="H214" i="35"/>
  <c r="J47" i="42" l="1"/>
  <c r="J31" i="42"/>
  <c r="J32" i="42"/>
  <c r="J33" i="42"/>
  <c r="J34" i="42"/>
  <c r="J35" i="42"/>
  <c r="J36" i="42"/>
  <c r="J37" i="42"/>
  <c r="J38" i="42"/>
  <c r="J39" i="42"/>
  <c r="J40" i="42"/>
  <c r="J41" i="42"/>
  <c r="J42" i="42"/>
  <c r="J43" i="42"/>
  <c r="J44" i="42"/>
  <c r="J45" i="42"/>
  <c r="J30" i="42"/>
  <c r="J30" i="33"/>
  <c r="J47" i="33"/>
  <c r="J31" i="33"/>
  <c r="J32" i="33"/>
  <c r="J33" i="33"/>
  <c r="J34" i="33"/>
  <c r="J35" i="33"/>
  <c r="J36" i="33"/>
  <c r="J37" i="33"/>
  <c r="J38" i="33"/>
  <c r="J39" i="33"/>
  <c r="J40" i="33"/>
  <c r="J41" i="33"/>
  <c r="J42" i="33"/>
  <c r="J43" i="33"/>
  <c r="J44" i="33"/>
  <c r="J45" i="33"/>
  <c r="J47" i="13"/>
  <c r="J31" i="13"/>
  <c r="J32" i="13"/>
  <c r="J33" i="13"/>
  <c r="J34" i="13"/>
  <c r="J35" i="13"/>
  <c r="J36" i="13"/>
  <c r="J37" i="13"/>
  <c r="J38" i="13"/>
  <c r="J39" i="13"/>
  <c r="J40" i="13"/>
  <c r="J41" i="13"/>
  <c r="J42" i="13"/>
  <c r="J43" i="13"/>
  <c r="J44" i="13"/>
  <c r="J45" i="13"/>
  <c r="J30" i="13"/>
  <c r="G54" i="25" l="1"/>
  <c r="G52" i="27"/>
  <c r="G52" i="34"/>
  <c r="H23" i="27"/>
  <c r="P201" i="17"/>
  <c r="S201" i="17"/>
  <c r="T201" i="17"/>
  <c r="P183" i="17"/>
  <c r="Q183" i="17"/>
  <c r="Q201" i="17" s="1"/>
  <c r="R183" i="17"/>
  <c r="R201" i="17" s="1"/>
  <c r="S183" i="17"/>
  <c r="T183" i="17"/>
  <c r="U183" i="17"/>
  <c r="U201" i="17" s="1"/>
  <c r="V183" i="17"/>
  <c r="V201" i="17" s="1"/>
  <c r="V187" i="17"/>
  <c r="V188" i="17"/>
  <c r="V191" i="17"/>
  <c r="V192" i="17"/>
  <c r="V195" i="17"/>
  <c r="V196" i="17"/>
  <c r="V199" i="17"/>
  <c r="V200" i="17"/>
  <c r="P168" i="17"/>
  <c r="P186" i="17" s="1"/>
  <c r="Q168" i="17"/>
  <c r="Q186" i="17" s="1"/>
  <c r="R168" i="17"/>
  <c r="R186" i="17" s="1"/>
  <c r="S168" i="17"/>
  <c r="S186" i="17" s="1"/>
  <c r="T168" i="17"/>
  <c r="T186" i="17" s="1"/>
  <c r="U168" i="17"/>
  <c r="U186" i="17" s="1"/>
  <c r="V168" i="17"/>
  <c r="V186" i="17" s="1"/>
  <c r="P169" i="17"/>
  <c r="P187" i="17" s="1"/>
  <c r="Q169" i="17"/>
  <c r="Q187" i="17" s="1"/>
  <c r="R169" i="17"/>
  <c r="R187" i="17" s="1"/>
  <c r="S169" i="17"/>
  <c r="S187" i="17" s="1"/>
  <c r="T169" i="17"/>
  <c r="T187" i="17" s="1"/>
  <c r="U169" i="17"/>
  <c r="U187" i="17" s="1"/>
  <c r="V169" i="17"/>
  <c r="P170" i="17"/>
  <c r="P188" i="17" s="1"/>
  <c r="Q170" i="17"/>
  <c r="Q188" i="17" s="1"/>
  <c r="R170" i="17"/>
  <c r="R188" i="17" s="1"/>
  <c r="S170" i="17"/>
  <c r="S188" i="17" s="1"/>
  <c r="T170" i="17"/>
  <c r="T188" i="17" s="1"/>
  <c r="U170" i="17"/>
  <c r="U188" i="17" s="1"/>
  <c r="V170" i="17"/>
  <c r="P171" i="17"/>
  <c r="P189" i="17" s="1"/>
  <c r="Q171" i="17"/>
  <c r="Q189" i="17" s="1"/>
  <c r="R171" i="17"/>
  <c r="R189" i="17" s="1"/>
  <c r="S171" i="17"/>
  <c r="S189" i="17" s="1"/>
  <c r="T171" i="17"/>
  <c r="T189" i="17" s="1"/>
  <c r="U171" i="17"/>
  <c r="U189" i="17" s="1"/>
  <c r="V171" i="17"/>
  <c r="V189" i="17" s="1"/>
  <c r="P172" i="17"/>
  <c r="P190" i="17" s="1"/>
  <c r="Q172" i="17"/>
  <c r="Q190" i="17" s="1"/>
  <c r="R172" i="17"/>
  <c r="R190" i="17" s="1"/>
  <c r="S172" i="17"/>
  <c r="S190" i="17" s="1"/>
  <c r="T172" i="17"/>
  <c r="T190" i="17" s="1"/>
  <c r="U172" i="17"/>
  <c r="U190" i="17" s="1"/>
  <c r="V172" i="17"/>
  <c r="V190" i="17" s="1"/>
  <c r="P173" i="17"/>
  <c r="P191" i="17" s="1"/>
  <c r="Q173" i="17"/>
  <c r="Q191" i="17" s="1"/>
  <c r="R173" i="17"/>
  <c r="R191" i="17" s="1"/>
  <c r="S173" i="17"/>
  <c r="S191" i="17" s="1"/>
  <c r="T173" i="17"/>
  <c r="T191" i="17" s="1"/>
  <c r="U173" i="17"/>
  <c r="U191" i="17" s="1"/>
  <c r="V173" i="17"/>
  <c r="P174" i="17"/>
  <c r="P192" i="17" s="1"/>
  <c r="Q174" i="17"/>
  <c r="Q192" i="17" s="1"/>
  <c r="R174" i="17"/>
  <c r="R192" i="17" s="1"/>
  <c r="S174" i="17"/>
  <c r="S192" i="17" s="1"/>
  <c r="T174" i="17"/>
  <c r="T192" i="17" s="1"/>
  <c r="U174" i="17"/>
  <c r="U192" i="17" s="1"/>
  <c r="V174" i="17"/>
  <c r="P175" i="17"/>
  <c r="P193" i="17" s="1"/>
  <c r="Q175" i="17"/>
  <c r="Q193" i="17" s="1"/>
  <c r="R175" i="17"/>
  <c r="R193" i="17" s="1"/>
  <c r="S175" i="17"/>
  <c r="S193" i="17" s="1"/>
  <c r="T175" i="17"/>
  <c r="T193" i="17" s="1"/>
  <c r="U175" i="17"/>
  <c r="U193" i="17" s="1"/>
  <c r="V175" i="17"/>
  <c r="V193" i="17" s="1"/>
  <c r="P176" i="17"/>
  <c r="P194" i="17" s="1"/>
  <c r="Q176" i="17"/>
  <c r="Q194" i="17" s="1"/>
  <c r="R176" i="17"/>
  <c r="R194" i="17" s="1"/>
  <c r="S176" i="17"/>
  <c r="S194" i="17" s="1"/>
  <c r="T176" i="17"/>
  <c r="T194" i="17" s="1"/>
  <c r="U176" i="17"/>
  <c r="U194" i="17" s="1"/>
  <c r="V176" i="17"/>
  <c r="V194" i="17" s="1"/>
  <c r="P177" i="17"/>
  <c r="P195" i="17" s="1"/>
  <c r="Q177" i="17"/>
  <c r="Q195" i="17" s="1"/>
  <c r="R177" i="17"/>
  <c r="R195" i="17" s="1"/>
  <c r="S177" i="17"/>
  <c r="S195" i="17" s="1"/>
  <c r="T177" i="17"/>
  <c r="T195" i="17" s="1"/>
  <c r="U177" i="17"/>
  <c r="U195" i="17" s="1"/>
  <c r="V177" i="17"/>
  <c r="P178" i="17"/>
  <c r="P196" i="17" s="1"/>
  <c r="Q178" i="17"/>
  <c r="Q196" i="17" s="1"/>
  <c r="R178" i="17"/>
  <c r="R196" i="17" s="1"/>
  <c r="S178" i="17"/>
  <c r="S196" i="17" s="1"/>
  <c r="T178" i="17"/>
  <c r="T196" i="17" s="1"/>
  <c r="U178" i="17"/>
  <c r="U196" i="17" s="1"/>
  <c r="V178" i="17"/>
  <c r="P179" i="17"/>
  <c r="P197" i="17" s="1"/>
  <c r="Q179" i="17"/>
  <c r="Q197" i="17" s="1"/>
  <c r="R179" i="17"/>
  <c r="R197" i="17" s="1"/>
  <c r="S179" i="17"/>
  <c r="S197" i="17" s="1"/>
  <c r="T179" i="17"/>
  <c r="T197" i="17" s="1"/>
  <c r="U179" i="17"/>
  <c r="U197" i="17" s="1"/>
  <c r="V179" i="17"/>
  <c r="V197" i="17" s="1"/>
  <c r="P180" i="17"/>
  <c r="P198" i="17" s="1"/>
  <c r="Q180" i="17"/>
  <c r="Q198" i="17" s="1"/>
  <c r="R180" i="17"/>
  <c r="R198" i="17" s="1"/>
  <c r="S180" i="17"/>
  <c r="S198" i="17" s="1"/>
  <c r="T180" i="17"/>
  <c r="T198" i="17" s="1"/>
  <c r="U180" i="17"/>
  <c r="U198" i="17" s="1"/>
  <c r="V180" i="17"/>
  <c r="V198" i="17" s="1"/>
  <c r="P181" i="17"/>
  <c r="P199" i="17" s="1"/>
  <c r="Q181" i="17"/>
  <c r="Q199" i="17" s="1"/>
  <c r="R181" i="17"/>
  <c r="R199" i="17" s="1"/>
  <c r="S181" i="17"/>
  <c r="S199" i="17" s="1"/>
  <c r="T181" i="17"/>
  <c r="T199" i="17" s="1"/>
  <c r="U181" i="17"/>
  <c r="U199" i="17" s="1"/>
  <c r="V181" i="17"/>
  <c r="P182" i="17"/>
  <c r="P200" i="17" s="1"/>
  <c r="Q182" i="17"/>
  <c r="Q200" i="17" s="1"/>
  <c r="R182" i="17"/>
  <c r="R200" i="17" s="1"/>
  <c r="S182" i="17"/>
  <c r="S200" i="17" s="1"/>
  <c r="T182" i="17"/>
  <c r="T200" i="17" s="1"/>
  <c r="U182" i="17"/>
  <c r="U200" i="17" s="1"/>
  <c r="V182" i="17"/>
  <c r="Q167" i="17"/>
  <c r="Q185" i="17" s="1"/>
  <c r="R167" i="17"/>
  <c r="R185" i="17" s="1"/>
  <c r="S167" i="17"/>
  <c r="S185" i="17" s="1"/>
  <c r="T167" i="17"/>
  <c r="T185" i="17" s="1"/>
  <c r="U167" i="17"/>
  <c r="U185" i="17" s="1"/>
  <c r="V167" i="17"/>
  <c r="V185" i="17" s="1"/>
  <c r="P167" i="17"/>
  <c r="P185" i="17" s="1"/>
  <c r="K94" i="17" l="1"/>
  <c r="K93" i="17"/>
  <c r="L93" i="17" s="1"/>
  <c r="AG26" i="34" l="1"/>
  <c r="H89" i="17"/>
  <c r="I89" i="17"/>
  <c r="J89" i="17"/>
  <c r="K89" i="17"/>
  <c r="L89" i="17"/>
  <c r="M89" i="17"/>
  <c r="G89" i="17"/>
  <c r="Q66" i="17" l="1"/>
  <c r="R66" i="17"/>
  <c r="S66" i="17"/>
  <c r="T66" i="17"/>
  <c r="U66" i="17"/>
  <c r="P66" i="17"/>
  <c r="AF26" i="27"/>
  <c r="AN80" i="35" l="1"/>
  <c r="AO80" i="35" l="1"/>
  <c r="O129" i="35"/>
  <c r="N129" i="35"/>
  <c r="P129" i="35"/>
  <c r="D85" i="39"/>
  <c r="E85" i="39"/>
  <c r="F85" i="39"/>
  <c r="G85" i="39"/>
  <c r="I85" i="39"/>
  <c r="J85" i="39"/>
  <c r="K85" i="39"/>
  <c r="L85" i="39"/>
  <c r="M85" i="39"/>
  <c r="N85" i="39"/>
  <c r="O85" i="39"/>
  <c r="P85" i="39"/>
  <c r="Q85" i="39"/>
  <c r="R85" i="39"/>
  <c r="S85" i="39"/>
  <c r="K87" i="35" l="1"/>
  <c r="P87" i="35" s="1"/>
  <c r="E56" i="1" l="1"/>
  <c r="F56" i="1"/>
  <c r="G56" i="1"/>
  <c r="H56" i="1"/>
  <c r="I56" i="1"/>
  <c r="J56" i="1"/>
  <c r="K56" i="1"/>
  <c r="L56" i="1"/>
  <c r="M56" i="1"/>
  <c r="N56" i="1"/>
  <c r="O56" i="1"/>
  <c r="P56" i="1"/>
  <c r="Q56" i="1"/>
  <c r="R56" i="1"/>
  <c r="S56" i="1"/>
  <c r="F57" i="1"/>
  <c r="G57" i="1"/>
  <c r="H57" i="1"/>
  <c r="I57" i="1"/>
  <c r="J57" i="1"/>
  <c r="K57" i="1"/>
  <c r="L57" i="1"/>
  <c r="M57" i="1"/>
  <c r="N57" i="1"/>
  <c r="O57" i="1"/>
  <c r="P57" i="1"/>
  <c r="Q57" i="1"/>
  <c r="R57" i="1"/>
  <c r="S57" i="1"/>
  <c r="E58" i="1"/>
  <c r="F58" i="1"/>
  <c r="G58" i="1"/>
  <c r="H58" i="1"/>
  <c r="I58" i="1"/>
  <c r="J58" i="1"/>
  <c r="K58" i="1"/>
  <c r="L58" i="1"/>
  <c r="M58" i="1"/>
  <c r="N58" i="1"/>
  <c r="O58" i="1"/>
  <c r="P58" i="1"/>
  <c r="Q58" i="1"/>
  <c r="R58" i="1"/>
  <c r="S58" i="1"/>
  <c r="E59" i="1"/>
  <c r="F59" i="1"/>
  <c r="G59" i="1"/>
  <c r="H59" i="1"/>
  <c r="I59" i="1"/>
  <c r="J59" i="1"/>
  <c r="K59" i="1"/>
  <c r="L59" i="1"/>
  <c r="M59" i="1"/>
  <c r="N59" i="1"/>
  <c r="O59" i="1"/>
  <c r="P59" i="1"/>
  <c r="Q59" i="1"/>
  <c r="R59" i="1"/>
  <c r="S59" i="1"/>
  <c r="E60" i="1"/>
  <c r="F60" i="1"/>
  <c r="G60" i="1"/>
  <c r="H60" i="1"/>
  <c r="I60" i="1"/>
  <c r="J60" i="1"/>
  <c r="K60" i="1"/>
  <c r="L60" i="1"/>
  <c r="M60" i="1"/>
  <c r="N60" i="1"/>
  <c r="O60" i="1"/>
  <c r="P60" i="1"/>
  <c r="Q60" i="1"/>
  <c r="R60" i="1"/>
  <c r="S60" i="1"/>
  <c r="D57" i="1"/>
  <c r="D58" i="1"/>
  <c r="D59" i="1"/>
  <c r="D60" i="1"/>
  <c r="D56" i="1"/>
  <c r="M118" i="32"/>
  <c r="K19" i="31"/>
  <c r="K18" i="31"/>
  <c r="K18" i="40"/>
  <c r="K19" i="40"/>
  <c r="K118" i="23"/>
  <c r="G136" i="23" s="1"/>
  <c r="C118" i="23"/>
  <c r="E122" i="23" s="1"/>
  <c r="E121" i="23" l="1"/>
  <c r="E133" i="23"/>
  <c r="E129" i="23"/>
  <c r="E125" i="23"/>
  <c r="E136" i="23"/>
  <c r="E132" i="23"/>
  <c r="E128" i="23"/>
  <c r="E124" i="23"/>
  <c r="E135" i="23"/>
  <c r="E131" i="23"/>
  <c r="E127" i="23"/>
  <c r="E123" i="23"/>
  <c r="E134" i="23"/>
  <c r="E130" i="23"/>
  <c r="E126" i="23"/>
  <c r="K18" i="16"/>
  <c r="J19" i="16"/>
  <c r="K19" i="16"/>
  <c r="K20" i="16" s="1"/>
  <c r="I19" i="16"/>
  <c r="J18" i="16"/>
  <c r="I18" i="16"/>
  <c r="J24" i="6"/>
  <c r="K24" i="6"/>
  <c r="L24" i="6"/>
  <c r="M24" i="6"/>
  <c r="N24" i="6"/>
  <c r="O24" i="6"/>
  <c r="P24" i="6"/>
  <c r="Q24" i="6"/>
  <c r="R24" i="6"/>
  <c r="S24" i="6"/>
  <c r="T24" i="6"/>
  <c r="I24" i="6"/>
  <c r="J23" i="6"/>
  <c r="K23" i="6"/>
  <c r="L23" i="6"/>
  <c r="M23" i="6"/>
  <c r="N23" i="6"/>
  <c r="O23" i="6"/>
  <c r="P23" i="6"/>
  <c r="Q23" i="6"/>
  <c r="R23" i="6"/>
  <c r="S23" i="6"/>
  <c r="I23" i="6"/>
  <c r="J27" i="6"/>
  <c r="K27" i="6"/>
  <c r="L27" i="6"/>
  <c r="M27" i="6"/>
  <c r="N27" i="6"/>
  <c r="O27" i="6"/>
  <c r="P27" i="6"/>
  <c r="Q27" i="6"/>
  <c r="R27" i="6"/>
  <c r="S27" i="6"/>
  <c r="T27" i="6"/>
  <c r="I27" i="6"/>
  <c r="C118" i="32"/>
  <c r="J19" i="31"/>
  <c r="I19" i="31"/>
  <c r="J18" i="31"/>
  <c r="I18" i="31"/>
  <c r="J24" i="28"/>
  <c r="K24" i="28"/>
  <c r="L24" i="28"/>
  <c r="M24" i="28"/>
  <c r="N24" i="28"/>
  <c r="O24" i="28"/>
  <c r="P24" i="28"/>
  <c r="Q24" i="28"/>
  <c r="R24" i="28"/>
  <c r="S24" i="28"/>
  <c r="T24" i="28"/>
  <c r="I24" i="28"/>
  <c r="J23" i="28"/>
  <c r="K23" i="28"/>
  <c r="L23" i="28"/>
  <c r="M23" i="28"/>
  <c r="N23" i="28"/>
  <c r="O23" i="28"/>
  <c r="P23" i="28"/>
  <c r="Q23" i="28"/>
  <c r="R23" i="28"/>
  <c r="S23" i="28"/>
  <c r="I23" i="28"/>
  <c r="J27" i="28"/>
  <c r="K27" i="28"/>
  <c r="L27" i="28"/>
  <c r="M27" i="28"/>
  <c r="N27" i="28"/>
  <c r="O27" i="28"/>
  <c r="P27" i="28"/>
  <c r="Q27" i="28"/>
  <c r="R27" i="28"/>
  <c r="S27" i="28"/>
  <c r="T27" i="28"/>
  <c r="I27" i="28"/>
  <c r="M118" i="41"/>
  <c r="C118" i="41"/>
  <c r="J19" i="40"/>
  <c r="I19" i="40"/>
  <c r="J18" i="40"/>
  <c r="I18" i="40"/>
  <c r="E56" i="38"/>
  <c r="F56" i="38"/>
  <c r="G56" i="38"/>
  <c r="H56" i="38"/>
  <c r="I56" i="38"/>
  <c r="J56" i="38"/>
  <c r="K56" i="38"/>
  <c r="L56" i="38"/>
  <c r="M56" i="38"/>
  <c r="N56" i="38"/>
  <c r="O56" i="38"/>
  <c r="P56" i="38"/>
  <c r="Q56" i="38"/>
  <c r="R56" i="38"/>
  <c r="S56" i="38"/>
  <c r="E57" i="38"/>
  <c r="F57" i="38"/>
  <c r="G57" i="38"/>
  <c r="H57" i="38"/>
  <c r="I57" i="38"/>
  <c r="J57" i="38"/>
  <c r="K57" i="38"/>
  <c r="L57" i="38"/>
  <c r="M57" i="38"/>
  <c r="N57" i="38"/>
  <c r="O57" i="38"/>
  <c r="P57" i="38"/>
  <c r="Q57" i="38"/>
  <c r="R57" i="38"/>
  <c r="S57" i="38"/>
  <c r="E58" i="38"/>
  <c r="F58" i="38"/>
  <c r="G58" i="38"/>
  <c r="H58" i="38"/>
  <c r="I58" i="38"/>
  <c r="J58" i="38"/>
  <c r="K58" i="38"/>
  <c r="L58" i="38"/>
  <c r="M58" i="38"/>
  <c r="N58" i="38"/>
  <c r="O58" i="38"/>
  <c r="P58" i="38"/>
  <c r="Q58" i="38"/>
  <c r="R58" i="38"/>
  <c r="S58" i="38"/>
  <c r="E59" i="38"/>
  <c r="F59" i="38"/>
  <c r="G59" i="38"/>
  <c r="H59" i="38"/>
  <c r="I59" i="38"/>
  <c r="J59" i="38"/>
  <c r="K59" i="38"/>
  <c r="L59" i="38"/>
  <c r="M59" i="38"/>
  <c r="N59" i="38"/>
  <c r="O59" i="38"/>
  <c r="P59" i="38"/>
  <c r="Q59" i="38"/>
  <c r="R59" i="38"/>
  <c r="S59" i="38"/>
  <c r="E60" i="38"/>
  <c r="F60" i="38"/>
  <c r="G60" i="38"/>
  <c r="H60" i="38"/>
  <c r="I60" i="38"/>
  <c r="J60" i="38"/>
  <c r="K60" i="38"/>
  <c r="L60" i="38"/>
  <c r="M60" i="38"/>
  <c r="N60" i="38"/>
  <c r="O60" i="38"/>
  <c r="P60" i="38"/>
  <c r="Q60" i="38"/>
  <c r="R60" i="38"/>
  <c r="S60" i="38"/>
  <c r="D57" i="38"/>
  <c r="D58" i="38"/>
  <c r="D59" i="38"/>
  <c r="D60" i="38"/>
  <c r="D56" i="38"/>
  <c r="J24" i="37"/>
  <c r="K24" i="37"/>
  <c r="L24" i="37"/>
  <c r="M24" i="37"/>
  <c r="N24" i="37"/>
  <c r="O24" i="37"/>
  <c r="P24" i="37"/>
  <c r="Q24" i="37"/>
  <c r="R24" i="37"/>
  <c r="S24" i="37"/>
  <c r="T24" i="37"/>
  <c r="I24" i="37"/>
  <c r="J23" i="37"/>
  <c r="K23" i="37"/>
  <c r="L23" i="37"/>
  <c r="M23" i="37"/>
  <c r="N23" i="37"/>
  <c r="O23" i="37"/>
  <c r="P23" i="37"/>
  <c r="Q23" i="37"/>
  <c r="R23" i="37"/>
  <c r="S23" i="37"/>
  <c r="I23" i="37"/>
  <c r="J27" i="37"/>
  <c r="K27" i="37"/>
  <c r="L27" i="37"/>
  <c r="M27" i="37"/>
  <c r="N27" i="37"/>
  <c r="O27" i="37"/>
  <c r="P27" i="37"/>
  <c r="Q27" i="37"/>
  <c r="R27" i="37"/>
  <c r="S27" i="37"/>
  <c r="T27" i="37"/>
  <c r="I27" i="37"/>
  <c r="O69" i="42" l="1"/>
  <c r="K69" i="42"/>
  <c r="G69" i="42"/>
  <c r="E69" i="42"/>
  <c r="O67" i="42"/>
  <c r="O66" i="42"/>
  <c r="O65" i="42"/>
  <c r="O64" i="42"/>
  <c r="O63" i="42"/>
  <c r="O62" i="42"/>
  <c r="O61" i="42"/>
  <c r="O60" i="42"/>
  <c r="O59" i="42"/>
  <c r="O58" i="42"/>
  <c r="O57" i="42"/>
  <c r="O56" i="42"/>
  <c r="O55" i="42"/>
  <c r="O54" i="42"/>
  <c r="O53" i="42"/>
  <c r="O52" i="42"/>
  <c r="R47" i="42"/>
  <c r="G47" i="42"/>
  <c r="F47" i="42"/>
  <c r="E47" i="42"/>
  <c r="D47" i="42"/>
  <c r="H45" i="42"/>
  <c r="H44" i="42"/>
  <c r="H43" i="42"/>
  <c r="H42" i="42"/>
  <c r="H41" i="42"/>
  <c r="H40" i="42"/>
  <c r="H39" i="42"/>
  <c r="H38" i="42"/>
  <c r="H37" i="42"/>
  <c r="H36" i="42"/>
  <c r="H35" i="42"/>
  <c r="H34" i="42"/>
  <c r="H33" i="42"/>
  <c r="H32" i="42"/>
  <c r="H31" i="42"/>
  <c r="H30" i="42"/>
  <c r="H47" i="42" s="1"/>
  <c r="M25" i="42"/>
  <c r="C94" i="40"/>
  <c r="F125" i="41"/>
  <c r="F129" i="41"/>
  <c r="F133" i="41"/>
  <c r="F134" i="41"/>
  <c r="F136" i="41"/>
  <c r="N24" i="42" s="1"/>
  <c r="AA79" i="35" s="1"/>
  <c r="F135" i="41"/>
  <c r="F132" i="41"/>
  <c r="F131" i="41"/>
  <c r="F130" i="41"/>
  <c r="F128" i="41"/>
  <c r="F127" i="41"/>
  <c r="F126" i="41"/>
  <c r="F124" i="41"/>
  <c r="F123" i="41"/>
  <c r="F122" i="41"/>
  <c r="F121" i="41"/>
  <c r="U113" i="41"/>
  <c r="V113" i="41" s="1"/>
  <c r="W113" i="41" s="1"/>
  <c r="X113" i="41" s="1"/>
  <c r="Y113" i="41" s="1"/>
  <c r="Z113" i="41" s="1"/>
  <c r="AA113" i="41" s="1"/>
  <c r="AB113" i="41" s="1"/>
  <c r="T113" i="41"/>
  <c r="T112" i="41"/>
  <c r="U112" i="41" s="1"/>
  <c r="V112" i="41" s="1"/>
  <c r="W112" i="41" s="1"/>
  <c r="X112" i="41" s="1"/>
  <c r="Y112" i="41" s="1"/>
  <c r="Z112" i="41" s="1"/>
  <c r="AA112" i="41" s="1"/>
  <c r="AB112" i="41" s="1"/>
  <c r="U111" i="41"/>
  <c r="V111" i="41" s="1"/>
  <c r="W111" i="41" s="1"/>
  <c r="X111" i="41" s="1"/>
  <c r="Y111" i="41" s="1"/>
  <c r="Z111" i="41" s="1"/>
  <c r="AA111" i="41" s="1"/>
  <c r="AB111" i="41" s="1"/>
  <c r="T111" i="41"/>
  <c r="T110" i="41"/>
  <c r="U110" i="41" s="1"/>
  <c r="V110" i="41" s="1"/>
  <c r="W110" i="41" s="1"/>
  <c r="X110" i="41" s="1"/>
  <c r="Y110" i="41" s="1"/>
  <c r="Z110" i="41" s="1"/>
  <c r="AA110" i="41" s="1"/>
  <c r="AB110" i="41" s="1"/>
  <c r="V109" i="41"/>
  <c r="W109" i="41" s="1"/>
  <c r="X109" i="41" s="1"/>
  <c r="Y109" i="41" s="1"/>
  <c r="Z109" i="41" s="1"/>
  <c r="AA109" i="41" s="1"/>
  <c r="AB109" i="41" s="1"/>
  <c r="U109" i="41"/>
  <c r="T109" i="41"/>
  <c r="U108" i="41"/>
  <c r="V108" i="41" s="1"/>
  <c r="W108" i="41" s="1"/>
  <c r="X108" i="41" s="1"/>
  <c r="Y108" i="41" s="1"/>
  <c r="Z108" i="41" s="1"/>
  <c r="AA108" i="41" s="1"/>
  <c r="AB108" i="41" s="1"/>
  <c r="T108" i="41"/>
  <c r="T107" i="41"/>
  <c r="U107" i="41" s="1"/>
  <c r="V107" i="41" s="1"/>
  <c r="W107" i="41" s="1"/>
  <c r="X107" i="41" s="1"/>
  <c r="Y107" i="41" s="1"/>
  <c r="Z107" i="41" s="1"/>
  <c r="AA107" i="41" s="1"/>
  <c r="AB107" i="41" s="1"/>
  <c r="V106" i="41"/>
  <c r="W106" i="41" s="1"/>
  <c r="X106" i="41" s="1"/>
  <c r="Y106" i="41" s="1"/>
  <c r="Z106" i="41" s="1"/>
  <c r="AA106" i="41" s="1"/>
  <c r="AB106" i="41" s="1"/>
  <c r="T106" i="41"/>
  <c r="U106" i="41" s="1"/>
  <c r="U105" i="41"/>
  <c r="V105" i="41" s="1"/>
  <c r="W105" i="41" s="1"/>
  <c r="X105" i="41" s="1"/>
  <c r="Y105" i="41" s="1"/>
  <c r="Z105" i="41" s="1"/>
  <c r="AA105" i="41" s="1"/>
  <c r="AB105" i="41" s="1"/>
  <c r="T105" i="41"/>
  <c r="T104" i="41"/>
  <c r="U104" i="41" s="1"/>
  <c r="V104" i="41" s="1"/>
  <c r="W104" i="41" s="1"/>
  <c r="X104" i="41" s="1"/>
  <c r="Y104" i="41" s="1"/>
  <c r="Z104" i="41" s="1"/>
  <c r="AA104" i="41" s="1"/>
  <c r="AB104" i="41" s="1"/>
  <c r="U103" i="41"/>
  <c r="V103" i="41" s="1"/>
  <c r="W103" i="41" s="1"/>
  <c r="X103" i="41" s="1"/>
  <c r="Y103" i="41" s="1"/>
  <c r="Z103" i="41" s="1"/>
  <c r="AA103" i="41" s="1"/>
  <c r="AB103" i="41" s="1"/>
  <c r="T103" i="41"/>
  <c r="T102" i="41"/>
  <c r="U102" i="41" s="1"/>
  <c r="V102" i="41" s="1"/>
  <c r="W102" i="41" s="1"/>
  <c r="X102" i="41" s="1"/>
  <c r="Y102" i="41" s="1"/>
  <c r="Z102" i="41" s="1"/>
  <c r="AA102" i="41" s="1"/>
  <c r="AB102" i="41" s="1"/>
  <c r="V101" i="41"/>
  <c r="W101" i="41" s="1"/>
  <c r="X101" i="41" s="1"/>
  <c r="Y101" i="41" s="1"/>
  <c r="Z101" i="41" s="1"/>
  <c r="AA101" i="41" s="1"/>
  <c r="AB101" i="41" s="1"/>
  <c r="U101" i="41"/>
  <c r="T101" i="41"/>
  <c r="U100" i="41"/>
  <c r="V100" i="41" s="1"/>
  <c r="W100" i="41" s="1"/>
  <c r="X100" i="41" s="1"/>
  <c r="Y100" i="41" s="1"/>
  <c r="Z100" i="41" s="1"/>
  <c r="AA100" i="41" s="1"/>
  <c r="AB100" i="41" s="1"/>
  <c r="T100" i="41"/>
  <c r="T99" i="41"/>
  <c r="U99" i="41" s="1"/>
  <c r="V99" i="41" s="1"/>
  <c r="W99" i="41" s="1"/>
  <c r="X99" i="41" s="1"/>
  <c r="Y99" i="41" s="1"/>
  <c r="Z99" i="41" s="1"/>
  <c r="AA99" i="41" s="1"/>
  <c r="AB99" i="41" s="1"/>
  <c r="W98" i="41"/>
  <c r="X98" i="41" s="1"/>
  <c r="Y98" i="41" s="1"/>
  <c r="Z98" i="41" s="1"/>
  <c r="AA98" i="41" s="1"/>
  <c r="AB98" i="41" s="1"/>
  <c r="V98" i="41"/>
  <c r="T98" i="41"/>
  <c r="U98" i="41" s="1"/>
  <c r="K95" i="41"/>
  <c r="G93" i="41"/>
  <c r="G112" i="41" s="1"/>
  <c r="K91" i="41"/>
  <c r="K110" i="41" s="1"/>
  <c r="G91" i="41"/>
  <c r="G110" i="41" s="1"/>
  <c r="E90" i="41"/>
  <c r="E109" i="41" s="1"/>
  <c r="K89" i="41"/>
  <c r="K108" i="41" s="1"/>
  <c r="I88" i="41"/>
  <c r="I107" i="41" s="1"/>
  <c r="E88" i="41"/>
  <c r="E107" i="41" s="1"/>
  <c r="G85" i="41"/>
  <c r="K83" i="41"/>
  <c r="K102" i="41" s="1"/>
  <c r="G83" i="41"/>
  <c r="G102" i="41" s="1"/>
  <c r="E82" i="41"/>
  <c r="E101" i="41" s="1"/>
  <c r="K81" i="41"/>
  <c r="K100" i="41" s="1"/>
  <c r="I80" i="41"/>
  <c r="I99" i="41" s="1"/>
  <c r="E80" i="41"/>
  <c r="E99" i="41" s="1"/>
  <c r="M76" i="41"/>
  <c r="M95" i="41" s="1"/>
  <c r="I76" i="41"/>
  <c r="I95" i="41" s="1"/>
  <c r="H76" i="41"/>
  <c r="H95" i="41" s="1"/>
  <c r="E76" i="41"/>
  <c r="E95" i="41" s="1"/>
  <c r="N75" i="41"/>
  <c r="L75" i="41"/>
  <c r="K75" i="41"/>
  <c r="J75" i="41"/>
  <c r="G75" i="41"/>
  <c r="G94" i="41" s="1"/>
  <c r="G113" i="41" s="1"/>
  <c r="M74" i="41"/>
  <c r="L74" i="41"/>
  <c r="I74" i="41"/>
  <c r="H74" i="41"/>
  <c r="H93" i="41" s="1"/>
  <c r="H112" i="41" s="1"/>
  <c r="F74" i="41"/>
  <c r="E74" i="41"/>
  <c r="N73" i="41"/>
  <c r="K73" i="41"/>
  <c r="K92" i="41" s="1"/>
  <c r="K111" i="41" s="1"/>
  <c r="G73" i="41"/>
  <c r="G92" i="41" s="1"/>
  <c r="G111" i="41" s="1"/>
  <c r="F73" i="41"/>
  <c r="M72" i="41"/>
  <c r="L72" i="41"/>
  <c r="L91" i="41" s="1"/>
  <c r="L110" i="41" s="1"/>
  <c r="J72" i="41"/>
  <c r="I72" i="41"/>
  <c r="H72" i="41"/>
  <c r="H91" i="41" s="1"/>
  <c r="H110" i="41" s="1"/>
  <c r="E72" i="41"/>
  <c r="E91" i="41" s="1"/>
  <c r="E110" i="41" s="1"/>
  <c r="K71" i="41"/>
  <c r="K90" i="41" s="1"/>
  <c r="K109" i="41" s="1"/>
  <c r="J71" i="41"/>
  <c r="G71" i="41"/>
  <c r="F71" i="41"/>
  <c r="N70" i="41"/>
  <c r="M70" i="41"/>
  <c r="L70" i="41"/>
  <c r="L89" i="41" s="1"/>
  <c r="L108" i="41" s="1"/>
  <c r="I70" i="41"/>
  <c r="I89" i="41" s="1"/>
  <c r="I108" i="41" s="1"/>
  <c r="E70" i="41"/>
  <c r="E89" i="41" s="1"/>
  <c r="E108" i="41" s="1"/>
  <c r="N69" i="41"/>
  <c r="K69" i="41"/>
  <c r="J69" i="41"/>
  <c r="H69" i="41"/>
  <c r="H88" i="41" s="1"/>
  <c r="H107" i="41" s="1"/>
  <c r="G69" i="41"/>
  <c r="F69" i="41"/>
  <c r="M68" i="41"/>
  <c r="M87" i="41" s="1"/>
  <c r="M106" i="41" s="1"/>
  <c r="I68" i="41"/>
  <c r="I87" i="41" s="1"/>
  <c r="I106" i="41" s="1"/>
  <c r="H68" i="41"/>
  <c r="H87" i="41" s="1"/>
  <c r="H106" i="41" s="1"/>
  <c r="E68" i="41"/>
  <c r="E87" i="41" s="1"/>
  <c r="E106" i="41" s="1"/>
  <c r="N67" i="41"/>
  <c r="L67" i="41"/>
  <c r="K67" i="41"/>
  <c r="J67" i="41"/>
  <c r="G67" i="41"/>
  <c r="G86" i="41" s="1"/>
  <c r="G105" i="41" s="1"/>
  <c r="M66" i="41"/>
  <c r="L66" i="41"/>
  <c r="I66" i="41"/>
  <c r="H66" i="41"/>
  <c r="H85" i="41" s="1"/>
  <c r="H104" i="41" s="1"/>
  <c r="F66" i="41"/>
  <c r="E66" i="41"/>
  <c r="N65" i="41"/>
  <c r="K65" i="41"/>
  <c r="K84" i="41" s="1"/>
  <c r="K103" i="41" s="1"/>
  <c r="G65" i="41"/>
  <c r="G84" i="41" s="1"/>
  <c r="G103" i="41" s="1"/>
  <c r="F65" i="41"/>
  <c r="M64" i="41"/>
  <c r="L64" i="41"/>
  <c r="L83" i="41" s="1"/>
  <c r="L102" i="41" s="1"/>
  <c r="J64" i="41"/>
  <c r="I64" i="41"/>
  <c r="H64" i="41"/>
  <c r="H83" i="41" s="1"/>
  <c r="H102" i="41" s="1"/>
  <c r="E64" i="41"/>
  <c r="E83" i="41" s="1"/>
  <c r="E102" i="41" s="1"/>
  <c r="K63" i="41"/>
  <c r="K82" i="41" s="1"/>
  <c r="K101" i="41" s="1"/>
  <c r="J63" i="41"/>
  <c r="G63" i="41"/>
  <c r="F63" i="41"/>
  <c r="N62" i="41"/>
  <c r="M62" i="41"/>
  <c r="L62" i="41"/>
  <c r="L81" i="41" s="1"/>
  <c r="L100" i="41" s="1"/>
  <c r="I62" i="41"/>
  <c r="I81" i="41" s="1"/>
  <c r="I100" i="41" s="1"/>
  <c r="E62" i="41"/>
  <c r="E81" i="41" s="1"/>
  <c r="E100" i="41" s="1"/>
  <c r="N61" i="41"/>
  <c r="K61" i="41"/>
  <c r="J61" i="41"/>
  <c r="H61" i="41"/>
  <c r="H80" i="41" s="1"/>
  <c r="H99" i="41" s="1"/>
  <c r="G61" i="41"/>
  <c r="F61" i="41"/>
  <c r="M60" i="41"/>
  <c r="M79" i="41" s="1"/>
  <c r="M98" i="41" s="1"/>
  <c r="I60" i="41"/>
  <c r="I79" i="41" s="1"/>
  <c r="I98" i="41" s="1"/>
  <c r="H60" i="41"/>
  <c r="H79" i="41" s="1"/>
  <c r="H98" i="41" s="1"/>
  <c r="E60" i="41"/>
  <c r="E79" i="41" s="1"/>
  <c r="E98" i="41" s="1"/>
  <c r="N57" i="41"/>
  <c r="N76" i="41" s="1"/>
  <c r="N95" i="41" s="1"/>
  <c r="M57" i="41"/>
  <c r="L57" i="41"/>
  <c r="L76" i="41" s="1"/>
  <c r="L95" i="41" s="1"/>
  <c r="K57" i="41"/>
  <c r="K76" i="41" s="1"/>
  <c r="J57" i="41"/>
  <c r="J76" i="41" s="1"/>
  <c r="J95" i="41" s="1"/>
  <c r="I57" i="41"/>
  <c r="H57" i="41"/>
  <c r="G57" i="41"/>
  <c r="G76" i="41" s="1"/>
  <c r="G95" i="41" s="1"/>
  <c r="F57" i="41"/>
  <c r="F76" i="41" s="1"/>
  <c r="F95" i="41" s="1"/>
  <c r="E57" i="41"/>
  <c r="N56" i="41"/>
  <c r="M56" i="41"/>
  <c r="M75" i="41" s="1"/>
  <c r="L56" i="41"/>
  <c r="K56" i="41"/>
  <c r="J56" i="41"/>
  <c r="I56" i="41"/>
  <c r="I75" i="41" s="1"/>
  <c r="H56" i="41"/>
  <c r="H75" i="41" s="1"/>
  <c r="H94" i="41" s="1"/>
  <c r="H113" i="41" s="1"/>
  <c r="G56" i="41"/>
  <c r="F56" i="41"/>
  <c r="F75" i="41" s="1"/>
  <c r="E56" i="41"/>
  <c r="E75" i="41" s="1"/>
  <c r="E94" i="41" s="1"/>
  <c r="E113" i="41" s="1"/>
  <c r="N55" i="41"/>
  <c r="N74" i="41" s="1"/>
  <c r="N93" i="41" s="1"/>
  <c r="N112" i="41" s="1"/>
  <c r="M55" i="41"/>
  <c r="L55" i="41"/>
  <c r="K55" i="41"/>
  <c r="K74" i="41" s="1"/>
  <c r="K93" i="41" s="1"/>
  <c r="K112" i="41" s="1"/>
  <c r="J55" i="41"/>
  <c r="J74" i="41" s="1"/>
  <c r="J93" i="41" s="1"/>
  <c r="J112" i="41" s="1"/>
  <c r="I55" i="41"/>
  <c r="H55" i="41"/>
  <c r="G55" i="41"/>
  <c r="G74" i="41" s="1"/>
  <c r="F55" i="41"/>
  <c r="E55" i="41"/>
  <c r="N54" i="41"/>
  <c r="M54" i="41"/>
  <c r="M73" i="41" s="1"/>
  <c r="L54" i="41"/>
  <c r="L73" i="41" s="1"/>
  <c r="L92" i="41" s="1"/>
  <c r="L111" i="41" s="1"/>
  <c r="K54" i="41"/>
  <c r="J54" i="41"/>
  <c r="J73" i="41" s="1"/>
  <c r="I54" i="41"/>
  <c r="I73" i="41" s="1"/>
  <c r="I92" i="41" s="1"/>
  <c r="I111" i="41" s="1"/>
  <c r="H54" i="41"/>
  <c r="H73" i="41" s="1"/>
  <c r="H92" i="41" s="1"/>
  <c r="H111" i="41" s="1"/>
  <c r="G54" i="41"/>
  <c r="F54" i="41"/>
  <c r="E54" i="41"/>
  <c r="E73" i="41" s="1"/>
  <c r="E92" i="41" s="1"/>
  <c r="E111" i="41" s="1"/>
  <c r="N53" i="41"/>
  <c r="N72" i="41" s="1"/>
  <c r="N91" i="41" s="1"/>
  <c r="N110" i="41" s="1"/>
  <c r="M53" i="41"/>
  <c r="L53" i="41"/>
  <c r="K53" i="41"/>
  <c r="K72" i="41" s="1"/>
  <c r="J53" i="41"/>
  <c r="I53" i="41"/>
  <c r="H53" i="41"/>
  <c r="G53" i="41"/>
  <c r="G72" i="41" s="1"/>
  <c r="F53" i="41"/>
  <c r="F72" i="41" s="1"/>
  <c r="F91" i="41" s="1"/>
  <c r="F110" i="41" s="1"/>
  <c r="E53" i="41"/>
  <c r="N52" i="41"/>
  <c r="N71" i="41" s="1"/>
  <c r="M52" i="41"/>
  <c r="M71" i="41" s="1"/>
  <c r="M90" i="41" s="1"/>
  <c r="M109" i="41" s="1"/>
  <c r="L52" i="41"/>
  <c r="L71" i="41" s="1"/>
  <c r="L90" i="41" s="1"/>
  <c r="L109" i="41" s="1"/>
  <c r="K52" i="41"/>
  <c r="J52" i="41"/>
  <c r="I52" i="41"/>
  <c r="I71" i="41" s="1"/>
  <c r="I90" i="41" s="1"/>
  <c r="I109" i="41" s="1"/>
  <c r="H52" i="41"/>
  <c r="H71" i="41" s="1"/>
  <c r="H90" i="41" s="1"/>
  <c r="H109" i="41" s="1"/>
  <c r="G52" i="41"/>
  <c r="F52" i="41"/>
  <c r="E52" i="41"/>
  <c r="E71" i="41" s="1"/>
  <c r="N51" i="41"/>
  <c r="M51" i="41"/>
  <c r="L51" i="41"/>
  <c r="K51" i="41"/>
  <c r="K70" i="41" s="1"/>
  <c r="J51" i="41"/>
  <c r="J70" i="41" s="1"/>
  <c r="J89" i="41" s="1"/>
  <c r="J108" i="41" s="1"/>
  <c r="I51" i="41"/>
  <c r="H51" i="41"/>
  <c r="H70" i="41" s="1"/>
  <c r="H89" i="41" s="1"/>
  <c r="H108" i="41" s="1"/>
  <c r="G51" i="41"/>
  <c r="G70" i="41" s="1"/>
  <c r="G89" i="41" s="1"/>
  <c r="G108" i="41" s="1"/>
  <c r="F51" i="41"/>
  <c r="F70" i="41" s="1"/>
  <c r="F89" i="41" s="1"/>
  <c r="F108" i="41" s="1"/>
  <c r="E51" i="41"/>
  <c r="N50" i="41"/>
  <c r="M50" i="41"/>
  <c r="M69" i="41" s="1"/>
  <c r="M88" i="41" s="1"/>
  <c r="M107" i="41" s="1"/>
  <c r="L50" i="41"/>
  <c r="L69" i="41" s="1"/>
  <c r="L88" i="41" s="1"/>
  <c r="L107" i="41" s="1"/>
  <c r="K50" i="41"/>
  <c r="J50" i="41"/>
  <c r="I50" i="41"/>
  <c r="I69" i="41" s="1"/>
  <c r="H50" i="41"/>
  <c r="G50" i="41"/>
  <c r="F50" i="41"/>
  <c r="E50" i="41"/>
  <c r="E69" i="41" s="1"/>
  <c r="N49" i="41"/>
  <c r="N68" i="41" s="1"/>
  <c r="N87" i="41" s="1"/>
  <c r="N106" i="41" s="1"/>
  <c r="M49" i="41"/>
  <c r="L49" i="41"/>
  <c r="L68" i="41" s="1"/>
  <c r="L87" i="41" s="1"/>
  <c r="L106" i="41" s="1"/>
  <c r="K49" i="41"/>
  <c r="K68" i="41" s="1"/>
  <c r="K87" i="41" s="1"/>
  <c r="J49" i="41"/>
  <c r="J68" i="41" s="1"/>
  <c r="J87" i="41" s="1"/>
  <c r="J106" i="41" s="1"/>
  <c r="I49" i="41"/>
  <c r="H49" i="41"/>
  <c r="G49" i="41"/>
  <c r="G68" i="41" s="1"/>
  <c r="G87" i="41" s="1"/>
  <c r="G106" i="41" s="1"/>
  <c r="F49" i="41"/>
  <c r="F68" i="41" s="1"/>
  <c r="F87" i="41" s="1"/>
  <c r="F106" i="41" s="1"/>
  <c r="E49" i="41"/>
  <c r="N48" i="41"/>
  <c r="M48" i="41"/>
  <c r="M67" i="41" s="1"/>
  <c r="L48" i="41"/>
  <c r="K48" i="41"/>
  <c r="J48" i="41"/>
  <c r="I48" i="41"/>
  <c r="I67" i="41" s="1"/>
  <c r="H48" i="41"/>
  <c r="H67" i="41" s="1"/>
  <c r="H86" i="41" s="1"/>
  <c r="H105" i="41" s="1"/>
  <c r="G48" i="41"/>
  <c r="F48" i="41"/>
  <c r="F67" i="41" s="1"/>
  <c r="E48" i="41"/>
  <c r="E67" i="41" s="1"/>
  <c r="E86" i="41" s="1"/>
  <c r="E105" i="41" s="1"/>
  <c r="N47" i="41"/>
  <c r="N66" i="41" s="1"/>
  <c r="N85" i="41" s="1"/>
  <c r="N104" i="41" s="1"/>
  <c r="M47" i="41"/>
  <c r="L47" i="41"/>
  <c r="K47" i="41"/>
  <c r="K66" i="41" s="1"/>
  <c r="K85" i="41" s="1"/>
  <c r="J47" i="41"/>
  <c r="J66" i="41" s="1"/>
  <c r="J85" i="41" s="1"/>
  <c r="J104" i="41" s="1"/>
  <c r="I47" i="41"/>
  <c r="H47" i="41"/>
  <c r="G47" i="41"/>
  <c r="G66" i="41" s="1"/>
  <c r="F47" i="41"/>
  <c r="E47" i="41"/>
  <c r="N46" i="41"/>
  <c r="M46" i="41"/>
  <c r="M65" i="41" s="1"/>
  <c r="L46" i="41"/>
  <c r="L65" i="41" s="1"/>
  <c r="L84" i="41" s="1"/>
  <c r="L103" i="41" s="1"/>
  <c r="K46" i="41"/>
  <c r="J46" i="41"/>
  <c r="J65" i="41" s="1"/>
  <c r="I46" i="41"/>
  <c r="I65" i="41" s="1"/>
  <c r="I84" i="41" s="1"/>
  <c r="I103" i="41" s="1"/>
  <c r="H46" i="41"/>
  <c r="H65" i="41" s="1"/>
  <c r="H84" i="41" s="1"/>
  <c r="H103" i="41" s="1"/>
  <c r="G46" i="41"/>
  <c r="F46" i="41"/>
  <c r="E46" i="41"/>
  <c r="E65" i="41" s="1"/>
  <c r="E84" i="41" s="1"/>
  <c r="E103" i="41" s="1"/>
  <c r="N45" i="41"/>
  <c r="N64" i="41" s="1"/>
  <c r="N83" i="41" s="1"/>
  <c r="N102" i="41" s="1"/>
  <c r="M45" i="41"/>
  <c r="L45" i="41"/>
  <c r="K45" i="41"/>
  <c r="K64" i="41" s="1"/>
  <c r="J45" i="41"/>
  <c r="I45" i="41"/>
  <c r="H45" i="41"/>
  <c r="G45" i="41"/>
  <c r="G64" i="41" s="1"/>
  <c r="F45" i="41"/>
  <c r="F64" i="41" s="1"/>
  <c r="F83" i="41" s="1"/>
  <c r="F102" i="41" s="1"/>
  <c r="E45" i="41"/>
  <c r="N44" i="41"/>
  <c r="N63" i="41" s="1"/>
  <c r="M44" i="41"/>
  <c r="M63" i="41" s="1"/>
  <c r="M82" i="41" s="1"/>
  <c r="M101" i="41" s="1"/>
  <c r="L44" i="41"/>
  <c r="L63" i="41" s="1"/>
  <c r="L82" i="41" s="1"/>
  <c r="L101" i="41" s="1"/>
  <c r="K44" i="41"/>
  <c r="J44" i="41"/>
  <c r="I44" i="41"/>
  <c r="I63" i="41" s="1"/>
  <c r="I82" i="41" s="1"/>
  <c r="H44" i="41"/>
  <c r="H63" i="41" s="1"/>
  <c r="H82" i="41" s="1"/>
  <c r="H101" i="41" s="1"/>
  <c r="G44" i="41"/>
  <c r="F44" i="41"/>
  <c r="E44" i="41"/>
  <c r="E63" i="41" s="1"/>
  <c r="N43" i="41"/>
  <c r="M43" i="41"/>
  <c r="L43" i="41"/>
  <c r="K43" i="41"/>
  <c r="K62" i="41" s="1"/>
  <c r="J43" i="41"/>
  <c r="J62" i="41" s="1"/>
  <c r="J81" i="41" s="1"/>
  <c r="J100" i="41" s="1"/>
  <c r="I43" i="41"/>
  <c r="H43" i="41"/>
  <c r="H62" i="41" s="1"/>
  <c r="H81" i="41" s="1"/>
  <c r="H100" i="41" s="1"/>
  <c r="G43" i="41"/>
  <c r="G62" i="41" s="1"/>
  <c r="G81" i="41" s="1"/>
  <c r="G100" i="41" s="1"/>
  <c r="F43" i="41"/>
  <c r="F62" i="41" s="1"/>
  <c r="F81" i="41" s="1"/>
  <c r="F100" i="41" s="1"/>
  <c r="E43" i="41"/>
  <c r="N42" i="41"/>
  <c r="M42" i="41"/>
  <c r="M61" i="41" s="1"/>
  <c r="M80" i="41" s="1"/>
  <c r="M99" i="41" s="1"/>
  <c r="L42" i="41"/>
  <c r="L61" i="41" s="1"/>
  <c r="L80" i="41" s="1"/>
  <c r="L99" i="41" s="1"/>
  <c r="K42" i="41"/>
  <c r="J42" i="41"/>
  <c r="I42" i="41"/>
  <c r="I61" i="41" s="1"/>
  <c r="H42" i="41"/>
  <c r="G42" i="41"/>
  <c r="F42" i="41"/>
  <c r="E42" i="41"/>
  <c r="E61" i="41" s="1"/>
  <c r="N41" i="41"/>
  <c r="N60" i="41" s="1"/>
  <c r="N79" i="41" s="1"/>
  <c r="N98" i="41" s="1"/>
  <c r="M41" i="41"/>
  <c r="L41" i="41"/>
  <c r="L60" i="41" s="1"/>
  <c r="L79" i="41" s="1"/>
  <c r="L98" i="41" s="1"/>
  <c r="K41" i="41"/>
  <c r="K60" i="41" s="1"/>
  <c r="K79" i="41" s="1"/>
  <c r="K98" i="41" s="1"/>
  <c r="J41" i="41"/>
  <c r="J60" i="41" s="1"/>
  <c r="J79" i="41" s="1"/>
  <c r="J98" i="41" s="1"/>
  <c r="I41" i="41"/>
  <c r="H41" i="41"/>
  <c r="G41" i="41"/>
  <c r="G60" i="41" s="1"/>
  <c r="G79" i="41" s="1"/>
  <c r="G98" i="41" s="1"/>
  <c r="F41" i="41"/>
  <c r="F60" i="41" s="1"/>
  <c r="F79" i="41" s="1"/>
  <c r="F98" i="41" s="1"/>
  <c r="E41" i="41"/>
  <c r="N66" i="40"/>
  <c r="N67" i="40"/>
  <c r="N68" i="40"/>
  <c r="N69" i="40"/>
  <c r="N65" i="40"/>
  <c r="D74" i="40"/>
  <c r="E74" i="40"/>
  <c r="F74" i="40"/>
  <c r="G74" i="40"/>
  <c r="H74" i="40"/>
  <c r="C74" i="40"/>
  <c r="Z130" i="40"/>
  <c r="AM123" i="40"/>
  <c r="Z122" i="40"/>
  <c r="AM116" i="40"/>
  <c r="Z115" i="40"/>
  <c r="AO111" i="40"/>
  <c r="Z107" i="40"/>
  <c r="Z100" i="40"/>
  <c r="AL93" i="40"/>
  <c r="Z92" i="40"/>
  <c r="AL81" i="40"/>
  <c r="Z80" i="40"/>
  <c r="AL76" i="40"/>
  <c r="Z72" i="40"/>
  <c r="AL69" i="40"/>
  <c r="AL66" i="40"/>
  <c r="Z65" i="40"/>
  <c r="AM58" i="40"/>
  <c r="AL57" i="40"/>
  <c r="Z57" i="40"/>
  <c r="AM54" i="40"/>
  <c r="J52" i="40"/>
  <c r="H52" i="40"/>
  <c r="AK51" i="40"/>
  <c r="Z50" i="40"/>
  <c r="AO46" i="40"/>
  <c r="AN46" i="40"/>
  <c r="AK46" i="40"/>
  <c r="AJ46" i="40"/>
  <c r="AF46" i="40"/>
  <c r="AN43" i="40"/>
  <c r="Z42" i="40"/>
  <c r="C41" i="40"/>
  <c r="AJ39" i="40"/>
  <c r="AJ36" i="40"/>
  <c r="AL35" i="40"/>
  <c r="Z35" i="40"/>
  <c r="AN31" i="40"/>
  <c r="AJ31" i="40"/>
  <c r="AF31" i="40"/>
  <c r="AO28" i="40"/>
  <c r="Z27" i="40"/>
  <c r="AO24" i="40"/>
  <c r="AN24" i="40"/>
  <c r="AK24" i="40"/>
  <c r="AJ24" i="40"/>
  <c r="AF24" i="40"/>
  <c r="AJ21" i="40"/>
  <c r="AM20" i="40"/>
  <c r="Z20" i="40"/>
  <c r="S20" i="40"/>
  <c r="R20" i="40"/>
  <c r="Q20" i="40"/>
  <c r="P20" i="40"/>
  <c r="O20" i="40"/>
  <c r="K20" i="40"/>
  <c r="J20" i="40"/>
  <c r="AO16" i="40"/>
  <c r="AN16" i="40"/>
  <c r="AM16" i="40"/>
  <c r="AL16" i="40"/>
  <c r="AL104" i="40" s="1"/>
  <c r="AK16" i="40"/>
  <c r="AJ16" i="40"/>
  <c r="AI16" i="40"/>
  <c r="AI31" i="40" s="1"/>
  <c r="AH16" i="40"/>
  <c r="AH46" i="40" s="1"/>
  <c r="AG16" i="40"/>
  <c r="AG24" i="40" s="1"/>
  <c r="AF16" i="40"/>
  <c r="AE16" i="40"/>
  <c r="AD16" i="40"/>
  <c r="AD76" i="40" s="1"/>
  <c r="AO13" i="40"/>
  <c r="AN13" i="40"/>
  <c r="AM13" i="40"/>
  <c r="AM108" i="40" s="1"/>
  <c r="AM109" i="40" s="1"/>
  <c r="AL13" i="40"/>
  <c r="AK13" i="40"/>
  <c r="AK116" i="40" s="1"/>
  <c r="AJ13" i="40"/>
  <c r="AI13" i="40"/>
  <c r="AI66" i="40" s="1"/>
  <c r="AH13" i="40"/>
  <c r="AH66" i="40" s="1"/>
  <c r="AG13" i="40"/>
  <c r="AG108" i="40" s="1"/>
  <c r="AF13" i="40"/>
  <c r="AE13" i="40"/>
  <c r="AE123" i="40" s="1"/>
  <c r="AD13" i="40"/>
  <c r="AD73" i="40" s="1"/>
  <c r="AN12" i="40"/>
  <c r="AN20" i="40" s="1"/>
  <c r="AN50" i="40" s="1"/>
  <c r="AM12" i="40"/>
  <c r="AL12" i="40"/>
  <c r="AL20" i="40" s="1"/>
  <c r="AK12" i="40"/>
  <c r="AK20" i="40" s="1"/>
  <c r="AJ12" i="40"/>
  <c r="AJ20" i="40" s="1"/>
  <c r="AJ27" i="40" s="1"/>
  <c r="AI12" i="40"/>
  <c r="AI20" i="40" s="1"/>
  <c r="AI42" i="40" s="1"/>
  <c r="AH12" i="40"/>
  <c r="AH20" i="40" s="1"/>
  <c r="AH35" i="40" s="1"/>
  <c r="AG12" i="40"/>
  <c r="AG20" i="40" s="1"/>
  <c r="AG65" i="40" s="1"/>
  <c r="AF12" i="40"/>
  <c r="AF20" i="40" s="1"/>
  <c r="AF50" i="40" s="1"/>
  <c r="AE12" i="40"/>
  <c r="AE20" i="40" s="1"/>
  <c r="AD12" i="40"/>
  <c r="AD20" i="40" s="1"/>
  <c r="AD35" i="40" s="1"/>
  <c r="Z12" i="40"/>
  <c r="AL14" i="40" s="1"/>
  <c r="N13" i="42" l="1"/>
  <c r="AA68" i="35" s="1"/>
  <c r="E80" i="40"/>
  <c r="G80" i="40"/>
  <c r="F80" i="40"/>
  <c r="C80" i="40"/>
  <c r="N9" i="42"/>
  <c r="AA64" i="35" s="1"/>
  <c r="N14" i="42"/>
  <c r="AA69" i="35" s="1"/>
  <c r="N19" i="42"/>
  <c r="AA74" i="35" s="1"/>
  <c r="N22" i="42"/>
  <c r="AA77" i="35" s="1"/>
  <c r="F78" i="40"/>
  <c r="E78" i="40"/>
  <c r="G78" i="40"/>
  <c r="C78" i="40"/>
  <c r="N10" i="42"/>
  <c r="AA65" i="35" s="1"/>
  <c r="N15" i="42"/>
  <c r="AA70" i="35" s="1"/>
  <c r="N20" i="42"/>
  <c r="AA75" i="35" s="1"/>
  <c r="N21" i="42"/>
  <c r="AA76" i="35" s="1"/>
  <c r="F81" i="40"/>
  <c r="G81" i="40"/>
  <c r="E81" i="40"/>
  <c r="C81" i="40"/>
  <c r="N12" i="42"/>
  <c r="AA67" i="35" s="1"/>
  <c r="N18" i="42"/>
  <c r="AA73" i="35" s="1"/>
  <c r="I20" i="40"/>
  <c r="I55" i="40"/>
  <c r="I56" i="40" s="1"/>
  <c r="G82" i="40"/>
  <c r="C82" i="40"/>
  <c r="E82" i="40"/>
  <c r="F82" i="40"/>
  <c r="N11" i="42"/>
  <c r="AA66" i="35" s="1"/>
  <c r="N16" i="42"/>
  <c r="AA71" i="35" s="1"/>
  <c r="N23" i="42"/>
  <c r="AA78" i="35" s="1"/>
  <c r="N17" i="42"/>
  <c r="AA72" i="35" s="1"/>
  <c r="D82" i="40"/>
  <c r="H82" i="40"/>
  <c r="D81" i="40"/>
  <c r="H81" i="40"/>
  <c r="D80" i="40"/>
  <c r="H80" i="40"/>
  <c r="D78" i="40"/>
  <c r="H78" i="40"/>
  <c r="D79" i="40"/>
  <c r="H79" i="40"/>
  <c r="AD66" i="40"/>
  <c r="AI101" i="40"/>
  <c r="AI108" i="40"/>
  <c r="AI131" i="40"/>
  <c r="AI132" i="40" s="1"/>
  <c r="AG104" i="40"/>
  <c r="AG28" i="40"/>
  <c r="AH57" i="40"/>
  <c r="AI73" i="40"/>
  <c r="AH104" i="40"/>
  <c r="AH122" i="40"/>
  <c r="AH130" i="40" s="1"/>
  <c r="AG46" i="40"/>
  <c r="AH69" i="40"/>
  <c r="AH67" i="40" s="1"/>
  <c r="AH76" i="40"/>
  <c r="AI61" i="40"/>
  <c r="AI39" i="40"/>
  <c r="AI54" i="40"/>
  <c r="AI96" i="40"/>
  <c r="AI58" i="40"/>
  <c r="AH84" i="40"/>
  <c r="AE73" i="40"/>
  <c r="AD74" i="40" s="1"/>
  <c r="AE58" i="40"/>
  <c r="AE59" i="40" s="1"/>
  <c r="F82" i="41"/>
  <c r="F101" i="41" s="1"/>
  <c r="F114" i="41" s="1"/>
  <c r="N86" i="41"/>
  <c r="N105" i="41" s="1"/>
  <c r="I101" i="41"/>
  <c r="I114" i="41" s="1"/>
  <c r="K106" i="41"/>
  <c r="J86" i="41"/>
  <c r="J105" i="41" s="1"/>
  <c r="F88" i="41"/>
  <c r="F107" i="41" s="1"/>
  <c r="N92" i="41"/>
  <c r="N111" i="41" s="1"/>
  <c r="N82" i="41"/>
  <c r="N101" i="41" s="1"/>
  <c r="J84" i="41"/>
  <c r="J103" i="41" s="1"/>
  <c r="F86" i="41"/>
  <c r="F105" i="41" s="1"/>
  <c r="N90" i="41"/>
  <c r="N109" i="41" s="1"/>
  <c r="J92" i="41"/>
  <c r="J111" i="41" s="1"/>
  <c r="F94" i="41"/>
  <c r="F113" i="41" s="1"/>
  <c r="H114" i="41"/>
  <c r="N80" i="41"/>
  <c r="N99" i="41" s="1"/>
  <c r="N114" i="41" s="1"/>
  <c r="J82" i="41"/>
  <c r="J101" i="41" s="1"/>
  <c r="F84" i="41"/>
  <c r="F103" i="41" s="1"/>
  <c r="L85" i="41"/>
  <c r="L104" i="41" s="1"/>
  <c r="L114" i="41" s="1"/>
  <c r="N88" i="41"/>
  <c r="N107" i="41" s="1"/>
  <c r="J90" i="41"/>
  <c r="J109" i="41" s="1"/>
  <c r="F92" i="41"/>
  <c r="F111" i="41" s="1"/>
  <c r="L93" i="41"/>
  <c r="L112" i="41" s="1"/>
  <c r="J80" i="41"/>
  <c r="J99" i="41" s="1"/>
  <c r="J114" i="41" s="1"/>
  <c r="J88" i="41"/>
  <c r="J107" i="41" s="1"/>
  <c r="F90" i="41"/>
  <c r="F109" i="41" s="1"/>
  <c r="N94" i="41"/>
  <c r="N113" i="41" s="1"/>
  <c r="K114" i="41"/>
  <c r="K104" i="41"/>
  <c r="F80" i="41"/>
  <c r="F99" i="41" s="1"/>
  <c r="N84" i="41"/>
  <c r="N103" i="41" s="1"/>
  <c r="J94" i="41"/>
  <c r="J113" i="41" s="1"/>
  <c r="N81" i="41"/>
  <c r="N100" i="41" s="1"/>
  <c r="J83" i="41"/>
  <c r="J102" i="41" s="1"/>
  <c r="F85" i="41"/>
  <c r="F104" i="41" s="1"/>
  <c r="L86" i="41"/>
  <c r="L105" i="41" s="1"/>
  <c r="N89" i="41"/>
  <c r="N108" i="41" s="1"/>
  <c r="J91" i="41"/>
  <c r="J110" i="41" s="1"/>
  <c r="F93" i="41"/>
  <c r="F112" i="41" s="1"/>
  <c r="L94" i="41"/>
  <c r="L113" i="41" s="1"/>
  <c r="G104" i="41"/>
  <c r="G114" i="41" s="1"/>
  <c r="M86" i="41"/>
  <c r="M105" i="41" s="1"/>
  <c r="M94" i="41"/>
  <c r="M113" i="41" s="1"/>
  <c r="M85" i="41"/>
  <c r="M104" i="41" s="1"/>
  <c r="M93" i="41"/>
  <c r="M112" i="41" s="1"/>
  <c r="M84" i="41"/>
  <c r="M103" i="41" s="1"/>
  <c r="I86" i="41"/>
  <c r="I105" i="41" s="1"/>
  <c r="M92" i="41"/>
  <c r="M111" i="41" s="1"/>
  <c r="I94" i="41"/>
  <c r="I113" i="41" s="1"/>
  <c r="K80" i="41"/>
  <c r="K99" i="41" s="1"/>
  <c r="G82" i="41"/>
  <c r="G101" i="41" s="1"/>
  <c r="M83" i="41"/>
  <c r="M102" i="41" s="1"/>
  <c r="I85" i="41"/>
  <c r="I104" i="41" s="1"/>
  <c r="K88" i="41"/>
  <c r="K107" i="41" s="1"/>
  <c r="G90" i="41"/>
  <c r="G109" i="41" s="1"/>
  <c r="M91" i="41"/>
  <c r="M110" i="41" s="1"/>
  <c r="I93" i="41"/>
  <c r="I112" i="41" s="1"/>
  <c r="G80" i="41"/>
  <c r="G99" i="41" s="1"/>
  <c r="M81" i="41"/>
  <c r="M100" i="41" s="1"/>
  <c r="M114" i="41" s="1"/>
  <c r="I83" i="41"/>
  <c r="I102" i="41" s="1"/>
  <c r="E85" i="41"/>
  <c r="E104" i="41" s="1"/>
  <c r="E114" i="41" s="1"/>
  <c r="K86" i="41"/>
  <c r="K105" i="41" s="1"/>
  <c r="G88" i="41"/>
  <c r="G107" i="41" s="1"/>
  <c r="M89" i="41"/>
  <c r="M108" i="41" s="1"/>
  <c r="I91" i="41"/>
  <c r="I110" i="41" s="1"/>
  <c r="E93" i="41"/>
  <c r="E112" i="41" s="1"/>
  <c r="K94" i="41"/>
  <c r="K113" i="41" s="1"/>
  <c r="F137" i="41"/>
  <c r="G137" i="41" s="1"/>
  <c r="I29" i="40"/>
  <c r="AI14" i="40"/>
  <c r="AM14" i="40"/>
  <c r="AM59" i="40"/>
  <c r="AM117" i="40"/>
  <c r="AI59" i="40"/>
  <c r="AJ37" i="40"/>
  <c r="AL94" i="40"/>
  <c r="AJ22" i="40"/>
  <c r="AN44" i="40"/>
  <c r="AE100" i="40"/>
  <c r="AE115" i="40"/>
  <c r="AE92" i="40"/>
  <c r="AE80" i="40"/>
  <c r="AE107" i="40"/>
  <c r="AE122" i="40"/>
  <c r="AE130" i="40" s="1"/>
  <c r="AE72" i="40"/>
  <c r="AE57" i="40"/>
  <c r="AE65" i="40"/>
  <c r="AE27" i="40"/>
  <c r="AE50" i="40"/>
  <c r="AE35" i="40"/>
  <c r="AE42" i="40"/>
  <c r="AK29" i="40"/>
  <c r="AL67" i="40"/>
  <c r="AN67" i="40"/>
  <c r="AI100" i="40"/>
  <c r="AI80" i="40"/>
  <c r="AI122" i="40"/>
  <c r="AI130" i="40" s="1"/>
  <c r="AI115" i="40"/>
  <c r="AI92" i="40"/>
  <c r="AI107" i="40"/>
  <c r="AI65" i="40"/>
  <c r="AI57" i="40"/>
  <c r="AI50" i="40"/>
  <c r="AI35" i="40"/>
  <c r="AI27" i="40"/>
  <c r="AF101" i="40"/>
  <c r="AF131" i="40"/>
  <c r="AF108" i="40"/>
  <c r="AF109" i="40" s="1"/>
  <c r="AF81" i="40"/>
  <c r="AF82" i="40" s="1"/>
  <c r="AF123" i="40"/>
  <c r="AF66" i="40"/>
  <c r="AF93" i="40"/>
  <c r="AF116" i="40"/>
  <c r="AF73" i="40"/>
  <c r="AF58" i="40"/>
  <c r="AF59" i="40" s="1"/>
  <c r="AF36" i="40"/>
  <c r="AF37" i="40" s="1"/>
  <c r="AF28" i="40"/>
  <c r="AF29" i="40" s="1"/>
  <c r="AF14" i="40"/>
  <c r="AF21" i="40"/>
  <c r="AF22" i="40" s="1"/>
  <c r="AE14" i="40"/>
  <c r="AF51" i="40"/>
  <c r="AF52" i="40" s="1"/>
  <c r="AJ101" i="40"/>
  <c r="AJ116" i="40"/>
  <c r="AJ93" i="40"/>
  <c r="AJ94" i="40" s="1"/>
  <c r="AJ108" i="40"/>
  <c r="AJ81" i="40"/>
  <c r="AJ123" i="40"/>
  <c r="AJ66" i="40"/>
  <c r="AJ67" i="40" s="1"/>
  <c r="AJ131" i="40"/>
  <c r="AJ132" i="40" s="1"/>
  <c r="AJ73" i="40"/>
  <c r="AJ58" i="40"/>
  <c r="AJ14" i="40"/>
  <c r="AJ51" i="40"/>
  <c r="AJ52" i="40" s="1"/>
  <c r="AJ43" i="40"/>
  <c r="AJ44" i="40" s="1"/>
  <c r="AJ28" i="40"/>
  <c r="AN101" i="40"/>
  <c r="AN102" i="40" s="1"/>
  <c r="AN131" i="40"/>
  <c r="AN123" i="40"/>
  <c r="AN124" i="40" s="1"/>
  <c r="AN116" i="40"/>
  <c r="AN117" i="40" s="1"/>
  <c r="AN93" i="40"/>
  <c r="AN94" i="40" s="1"/>
  <c r="AN108" i="40"/>
  <c r="AN109" i="40" s="1"/>
  <c r="AN66" i="40"/>
  <c r="AN81" i="40"/>
  <c r="AN58" i="40"/>
  <c r="AN21" i="40"/>
  <c r="AN22" i="40" s="1"/>
  <c r="AN51" i="40"/>
  <c r="AN28" i="40"/>
  <c r="AN14" i="40"/>
  <c r="AN36" i="40"/>
  <c r="AN37" i="40" s="1"/>
  <c r="AF43" i="40"/>
  <c r="AF44" i="40" s="1"/>
  <c r="AI72" i="40"/>
  <c r="AN73" i="40"/>
  <c r="AN74" i="40" s="1"/>
  <c r="AF122" i="40"/>
  <c r="AF130" i="40" s="1"/>
  <c r="AF107" i="40"/>
  <c r="AF72" i="40"/>
  <c r="AF100" i="40"/>
  <c r="AF65" i="40"/>
  <c r="AF92" i="40"/>
  <c r="AF115" i="40"/>
  <c r="AF80" i="40"/>
  <c r="AF57" i="40"/>
  <c r="AF35" i="40"/>
  <c r="AF42" i="40"/>
  <c r="AF27" i="40"/>
  <c r="AJ122" i="40"/>
  <c r="AJ130" i="40" s="1"/>
  <c r="AJ115" i="40"/>
  <c r="AJ92" i="40"/>
  <c r="AJ107" i="40"/>
  <c r="AJ72" i="40"/>
  <c r="AJ65" i="40"/>
  <c r="AJ57" i="40"/>
  <c r="AJ35" i="40"/>
  <c r="AJ50" i="40"/>
  <c r="AJ42" i="40"/>
  <c r="AJ100" i="40"/>
  <c r="AN122" i="40"/>
  <c r="AN130" i="40" s="1"/>
  <c r="AN100" i="40"/>
  <c r="AN115" i="40"/>
  <c r="AN92" i="40"/>
  <c r="AN72" i="40"/>
  <c r="AN107" i="40"/>
  <c r="AN65" i="40"/>
  <c r="AN80" i="40"/>
  <c r="AN57" i="40"/>
  <c r="AN35" i="40"/>
  <c r="AN42" i="40"/>
  <c r="AN27" i="40"/>
  <c r="AM100" i="40"/>
  <c r="AM80" i="40"/>
  <c r="AM72" i="40"/>
  <c r="AM115" i="40"/>
  <c r="AM57" i="40"/>
  <c r="AM107" i="40"/>
  <c r="AM65" i="40"/>
  <c r="AM122" i="40"/>
  <c r="AM130" i="40" s="1"/>
  <c r="AM92" i="40"/>
  <c r="AM50" i="40"/>
  <c r="AM35" i="40"/>
  <c r="AM42" i="40"/>
  <c r="AM27" i="40"/>
  <c r="AJ80" i="40"/>
  <c r="AG131" i="40"/>
  <c r="AG123" i="40"/>
  <c r="AG101" i="40"/>
  <c r="AG73" i="40"/>
  <c r="AG116" i="40"/>
  <c r="AG93" i="40"/>
  <c r="AG81" i="40"/>
  <c r="AG58" i="40"/>
  <c r="AO131" i="40"/>
  <c r="AO123" i="40"/>
  <c r="AO116" i="40"/>
  <c r="AO93" i="40"/>
  <c r="AO108" i="40"/>
  <c r="AO81" i="40"/>
  <c r="AO73" i="40"/>
  <c r="AO101" i="40"/>
  <c r="AO58" i="40"/>
  <c r="AO51" i="40"/>
  <c r="AK36" i="40"/>
  <c r="AK37" i="40" s="1"/>
  <c r="AO43" i="40"/>
  <c r="AO66" i="40"/>
  <c r="AM124" i="40"/>
  <c r="AG122" i="40"/>
  <c r="AG130" i="40" s="1"/>
  <c r="AG115" i="40"/>
  <c r="AG107" i="40"/>
  <c r="AG100" i="40"/>
  <c r="AG80" i="40"/>
  <c r="AG57" i="40"/>
  <c r="AG35" i="40"/>
  <c r="AG92" i="40"/>
  <c r="AG72" i="40"/>
  <c r="AG50" i="40"/>
  <c r="AG42" i="40"/>
  <c r="AG27" i="40"/>
  <c r="AE84" i="40"/>
  <c r="AE104" i="40"/>
  <c r="AE134" i="40"/>
  <c r="AE96" i="40"/>
  <c r="AE76" i="40"/>
  <c r="AE69" i="40"/>
  <c r="AE119" i="40"/>
  <c r="AI84" i="40"/>
  <c r="AI126" i="40"/>
  <c r="AI111" i="40"/>
  <c r="AI119" i="40"/>
  <c r="AI104" i="40"/>
  <c r="AI102" i="40" s="1"/>
  <c r="AI46" i="40"/>
  <c r="AI24" i="40"/>
  <c r="AI134" i="40"/>
  <c r="AI76" i="40"/>
  <c r="AI69" i="40"/>
  <c r="AI67" i="40" s="1"/>
  <c r="AM84" i="40"/>
  <c r="AM134" i="40"/>
  <c r="AM111" i="40"/>
  <c r="AM104" i="40"/>
  <c r="AM46" i="40"/>
  <c r="AM24" i="40"/>
  <c r="AM76" i="40"/>
  <c r="AM126" i="40"/>
  <c r="AM96" i="40"/>
  <c r="AM69" i="40"/>
  <c r="AK28" i="40"/>
  <c r="AE39" i="40"/>
  <c r="AM39" i="40"/>
  <c r="AD92" i="40"/>
  <c r="AD122" i="40"/>
  <c r="AD130" i="40" s="1"/>
  <c r="AD115" i="40"/>
  <c r="AD80" i="40"/>
  <c r="AD107" i="40"/>
  <c r="AD50" i="40"/>
  <c r="AD42" i="40"/>
  <c r="AD27" i="40"/>
  <c r="AD100" i="40"/>
  <c r="AD65" i="40"/>
  <c r="AH92" i="40"/>
  <c r="AH100" i="40"/>
  <c r="AH80" i="40"/>
  <c r="AH115" i="40"/>
  <c r="AH72" i="40"/>
  <c r="AH50" i="40"/>
  <c r="AH42" i="40"/>
  <c r="AH27" i="40"/>
  <c r="AH65" i="40"/>
  <c r="AL92" i="40"/>
  <c r="AL122" i="40"/>
  <c r="AL130" i="40" s="1"/>
  <c r="AL107" i="40"/>
  <c r="AL100" i="40"/>
  <c r="AL80" i="40"/>
  <c r="AL50" i="40"/>
  <c r="AL42" i="40"/>
  <c r="AL27" i="40"/>
  <c r="AL72" i="40"/>
  <c r="AL65" i="40"/>
  <c r="AF104" i="40"/>
  <c r="AF134" i="40"/>
  <c r="AF96" i="40"/>
  <c r="AF126" i="40"/>
  <c r="AF84" i="40"/>
  <c r="AF119" i="40"/>
  <c r="AF111" i="40"/>
  <c r="AF61" i="40"/>
  <c r="AF54" i="40"/>
  <c r="AJ104" i="40"/>
  <c r="AJ119" i="40"/>
  <c r="AJ96" i="40"/>
  <c r="AJ134" i="40"/>
  <c r="AJ76" i="40"/>
  <c r="AJ69" i="40"/>
  <c r="AJ61" i="40"/>
  <c r="AJ54" i="40"/>
  <c r="AJ111" i="40"/>
  <c r="AJ126" i="40"/>
  <c r="AJ84" i="40"/>
  <c r="AN104" i="40"/>
  <c r="AN134" i="40"/>
  <c r="AN111" i="40"/>
  <c r="AN126" i="40"/>
  <c r="AN96" i="40"/>
  <c r="AN84" i="40"/>
  <c r="AN76" i="40"/>
  <c r="AN69" i="40"/>
  <c r="AN119" i="40"/>
  <c r="AN61" i="40"/>
  <c r="AN54" i="40"/>
  <c r="AL22" i="40"/>
  <c r="AG21" i="40"/>
  <c r="AO21" i="40"/>
  <c r="AE31" i="40"/>
  <c r="AM31" i="40"/>
  <c r="AG36" i="40"/>
  <c r="AO36" i="40"/>
  <c r="AF39" i="40"/>
  <c r="AN39" i="40"/>
  <c r="AK43" i="40"/>
  <c r="AK44" i="40" s="1"/>
  <c r="AD57" i="40"/>
  <c r="AK66" i="40"/>
  <c r="AK67" i="40" s="1"/>
  <c r="AF69" i="40"/>
  <c r="AD72" i="40"/>
  <c r="AF76" i="40"/>
  <c r="AH107" i="40"/>
  <c r="AE111" i="40"/>
  <c r="AK131" i="40"/>
  <c r="AK123" i="40"/>
  <c r="AK108" i="40"/>
  <c r="AK109" i="40" s="1"/>
  <c r="AK81" i="40"/>
  <c r="AK73" i="40"/>
  <c r="AK93" i="40"/>
  <c r="AK94" i="40" s="1"/>
  <c r="AK101" i="40"/>
  <c r="AJ102" i="40" s="1"/>
  <c r="AK58" i="40"/>
  <c r="AK21" i="40"/>
  <c r="AG43" i="40"/>
  <c r="AG66" i="40"/>
  <c r="AK122" i="40"/>
  <c r="AK130" i="40" s="1"/>
  <c r="AK115" i="40"/>
  <c r="AK107" i="40"/>
  <c r="AK92" i="40"/>
  <c r="AK57" i="40"/>
  <c r="AK35" i="40"/>
  <c r="AK100" i="40"/>
  <c r="AK72" i="40"/>
  <c r="AK50" i="40"/>
  <c r="AK42" i="40"/>
  <c r="AK27" i="40"/>
  <c r="AK80" i="40"/>
  <c r="AK52" i="40"/>
  <c r="AG51" i="40"/>
  <c r="AK59" i="40"/>
  <c r="AM61" i="40"/>
  <c r="AK65" i="40"/>
  <c r="AL115" i="40"/>
  <c r="AM119" i="40"/>
  <c r="AE126" i="40"/>
  <c r="D99" i="40"/>
  <c r="H99" i="40"/>
  <c r="AD131" i="40"/>
  <c r="AD123" i="40"/>
  <c r="AD116" i="40"/>
  <c r="AD108" i="40"/>
  <c r="AD93" i="40"/>
  <c r="AD81" i="40"/>
  <c r="AH131" i="40"/>
  <c r="AH123" i="40"/>
  <c r="AH116" i="40"/>
  <c r="AH108" i="40"/>
  <c r="AH101" i="40"/>
  <c r="AH93" i="40"/>
  <c r="AL131" i="40"/>
  <c r="AL123" i="40"/>
  <c r="AL116" i="40"/>
  <c r="AL117" i="40" s="1"/>
  <c r="AL108" i="40"/>
  <c r="AL109" i="40" s="1"/>
  <c r="AL101" i="40"/>
  <c r="AL102" i="40" s="1"/>
  <c r="AG14" i="40"/>
  <c r="AK14" i="40"/>
  <c r="AG134" i="40"/>
  <c r="AG126" i="40"/>
  <c r="AG119" i="40"/>
  <c r="AG84" i="40"/>
  <c r="AG111" i="40"/>
  <c r="AG76" i="40"/>
  <c r="AG69" i="40"/>
  <c r="AK134" i="40"/>
  <c r="AK132" i="40" s="1"/>
  <c r="AK126" i="40"/>
  <c r="AK119" i="40"/>
  <c r="AK104" i="40"/>
  <c r="AK96" i="40"/>
  <c r="AK84" i="40"/>
  <c r="AK76" i="40"/>
  <c r="AK69" i="40"/>
  <c r="AO134" i="40"/>
  <c r="AO126" i="40"/>
  <c r="AO119" i="40"/>
  <c r="AO104" i="40"/>
  <c r="AO96" i="40"/>
  <c r="AO76" i="40"/>
  <c r="AO69" i="40"/>
  <c r="AD21" i="40"/>
  <c r="AH21" i="40"/>
  <c r="AH22" i="40" s="1"/>
  <c r="AL21" i="40"/>
  <c r="AK22" i="40"/>
  <c r="AH24" i="40"/>
  <c r="AL24" i="40"/>
  <c r="AD28" i="40"/>
  <c r="AH28" i="40"/>
  <c r="AH29" i="40" s="1"/>
  <c r="AL28" i="40"/>
  <c r="AL29" i="40" s="1"/>
  <c r="AJ29" i="40"/>
  <c r="AN29" i="40"/>
  <c r="AG31" i="40"/>
  <c r="AK31" i="40"/>
  <c r="AO31" i="40"/>
  <c r="AD36" i="40"/>
  <c r="AH36" i="40"/>
  <c r="AL36" i="40"/>
  <c r="AL37" i="40" s="1"/>
  <c r="AG39" i="40"/>
  <c r="AK39" i="40"/>
  <c r="AO39" i="40"/>
  <c r="AD43" i="40"/>
  <c r="AH43" i="40"/>
  <c r="AL43" i="40"/>
  <c r="AL44" i="40" s="1"/>
  <c r="AL46" i="40"/>
  <c r="AD51" i="40"/>
  <c r="AH51" i="40"/>
  <c r="AL51" i="40"/>
  <c r="AL52" i="40" s="1"/>
  <c r="AN52" i="40"/>
  <c r="AG54" i="40"/>
  <c r="AK54" i="40"/>
  <c r="AO54" i="40"/>
  <c r="AJ59" i="40"/>
  <c r="AN59" i="40"/>
  <c r="AG61" i="40"/>
  <c r="AK61" i="40"/>
  <c r="AO61" i="40"/>
  <c r="AE66" i="40"/>
  <c r="AM66" i="40"/>
  <c r="AM67" i="40" s="1"/>
  <c r="AD69" i="40"/>
  <c r="AL73" i="40"/>
  <c r="AL74" i="40" s="1"/>
  <c r="AD101" i="40"/>
  <c r="AN82" i="40"/>
  <c r="AJ82" i="40"/>
  <c r="AL82" i="40"/>
  <c r="AK117" i="40"/>
  <c r="AE93" i="40"/>
  <c r="AE81" i="40"/>
  <c r="AE116" i="40"/>
  <c r="AE131" i="40"/>
  <c r="AE108" i="40"/>
  <c r="AI93" i="40"/>
  <c r="AI81" i="40"/>
  <c r="AI82" i="40" s="1"/>
  <c r="AI123" i="40"/>
  <c r="AI116" i="40"/>
  <c r="AM93" i="40"/>
  <c r="AM94" i="40" s="1"/>
  <c r="AM81" i="40"/>
  <c r="AM82" i="40" s="1"/>
  <c r="AM101" i="40"/>
  <c r="AM102" i="40" s="1"/>
  <c r="AM131" i="40"/>
  <c r="AD14" i="40"/>
  <c r="AH14" i="40"/>
  <c r="AD134" i="40"/>
  <c r="AD126" i="40"/>
  <c r="AD119" i="40"/>
  <c r="AD111" i="40"/>
  <c r="AD96" i="40"/>
  <c r="AD104" i="40"/>
  <c r="AH134" i="40"/>
  <c r="AH126" i="40"/>
  <c r="AH119" i="40"/>
  <c r="AH111" i="40"/>
  <c r="AH96" i="40"/>
  <c r="AL134" i="40"/>
  <c r="AL126" i="40"/>
  <c r="AL119" i="40"/>
  <c r="AL111" i="40"/>
  <c r="AL96" i="40"/>
  <c r="AL84" i="40"/>
  <c r="AE21" i="40"/>
  <c r="AI21" i="40"/>
  <c r="AM21" i="40"/>
  <c r="AM22" i="40" s="1"/>
  <c r="AE28" i="40"/>
  <c r="AE29" i="40" s="1"/>
  <c r="AI28" i="40"/>
  <c r="AI29" i="40" s="1"/>
  <c r="AM28" i="40"/>
  <c r="AM29" i="40" s="1"/>
  <c r="AG29" i="40"/>
  <c r="AD31" i="40"/>
  <c r="AH31" i="40"/>
  <c r="AL31" i="40"/>
  <c r="AE36" i="40"/>
  <c r="AE37" i="40" s="1"/>
  <c r="AI36" i="40"/>
  <c r="AM36" i="40"/>
  <c r="AM37" i="40" s="1"/>
  <c r="AD39" i="40"/>
  <c r="AH39" i="40"/>
  <c r="AL39" i="40"/>
  <c r="AE43" i="40"/>
  <c r="AE44" i="40" s="1"/>
  <c r="AI43" i="40"/>
  <c r="AM43" i="40"/>
  <c r="AM44" i="40" s="1"/>
  <c r="AE51" i="40"/>
  <c r="AE52" i="40" s="1"/>
  <c r="AI51" i="40"/>
  <c r="AM51" i="40"/>
  <c r="AM52" i="40" s="1"/>
  <c r="AG52" i="40"/>
  <c r="AH54" i="40"/>
  <c r="AL54" i="40"/>
  <c r="AD58" i="40"/>
  <c r="AH58" i="40"/>
  <c r="AL58" i="40"/>
  <c r="AL59" i="40" s="1"/>
  <c r="AH61" i="40"/>
  <c r="AL61" i="40"/>
  <c r="AJ74" i="40"/>
  <c r="AH73" i="40"/>
  <c r="AM73" i="40"/>
  <c r="AM74" i="40" s="1"/>
  <c r="AK74" i="40"/>
  <c r="AH81" i="40"/>
  <c r="AK82" i="40"/>
  <c r="AD84" i="40"/>
  <c r="AO84" i="40"/>
  <c r="AG96" i="40"/>
  <c r="AE101" i="40"/>
  <c r="AK111" i="40"/>
  <c r="AK124" i="40"/>
  <c r="Z137" i="40"/>
  <c r="AG109" i="40"/>
  <c r="AE22" i="40" l="1"/>
  <c r="AA81" i="35"/>
  <c r="N25" i="42"/>
  <c r="AA80" i="35" s="1"/>
  <c r="F84" i="40"/>
  <c r="AD102" i="40"/>
  <c r="AE74" i="40"/>
  <c r="AE132" i="40"/>
  <c r="AG117" i="40"/>
  <c r="AI44" i="40"/>
  <c r="AG44" i="40"/>
  <c r="AI74" i="40"/>
  <c r="AI124" i="40"/>
  <c r="AH102" i="40"/>
  <c r="AH132" i="40"/>
  <c r="AF94" i="40"/>
  <c r="AI22" i="40"/>
  <c r="AG59" i="40"/>
  <c r="AG67" i="40"/>
  <c r="AH109" i="40"/>
  <c r="AG94" i="40"/>
  <c r="AG124" i="40"/>
  <c r="AH74" i="40"/>
  <c r="AH37" i="40"/>
  <c r="AH59" i="40"/>
  <c r="AI37" i="40"/>
  <c r="AH44" i="40"/>
  <c r="AG37" i="40"/>
  <c r="AG22" i="40"/>
  <c r="AI109" i="40"/>
  <c r="AG82" i="40"/>
  <c r="AH82" i="40"/>
  <c r="AI52" i="40"/>
  <c r="AI117" i="40"/>
  <c r="AH52" i="40"/>
  <c r="AF67" i="40"/>
  <c r="AF102" i="40"/>
  <c r="AE102" i="40"/>
  <c r="AF74" i="40"/>
  <c r="AE124" i="40"/>
  <c r="AD29" i="40"/>
  <c r="AD44" i="40"/>
  <c r="AD22" i="40"/>
  <c r="AE94" i="40"/>
  <c r="AE82" i="40"/>
  <c r="AD117" i="40"/>
  <c r="AD67" i="40"/>
  <c r="AD82" i="40"/>
  <c r="AD124" i="40"/>
  <c r="AD37" i="40"/>
  <c r="E84" i="40"/>
  <c r="D84" i="40"/>
  <c r="G84" i="40"/>
  <c r="C84" i="40"/>
  <c r="AF117" i="40"/>
  <c r="AE117" i="40"/>
  <c r="AK102" i="40"/>
  <c r="H84" i="40"/>
  <c r="AD59" i="40"/>
  <c r="AM132" i="40"/>
  <c r="AE109" i="40"/>
  <c r="AD52" i="40"/>
  <c r="AH94" i="40"/>
  <c r="AH124" i="40"/>
  <c r="AD109" i="40"/>
  <c r="AF124" i="40"/>
  <c r="AE67" i="40"/>
  <c r="AG74" i="40"/>
  <c r="AN132" i="40"/>
  <c r="AJ109" i="40"/>
  <c r="AL124" i="40"/>
  <c r="AG102" i="40"/>
  <c r="AG132" i="40"/>
  <c r="Z14" i="40"/>
  <c r="AI94" i="40"/>
  <c r="AL132" i="40"/>
  <c r="AH117" i="40"/>
  <c r="AD94" i="40"/>
  <c r="AD132" i="40"/>
  <c r="AJ124" i="40"/>
  <c r="AJ117" i="40"/>
  <c r="AF132" i="40"/>
  <c r="Z44" i="40" l="1"/>
  <c r="I39" i="40" s="1"/>
  <c r="E39" i="40" s="1"/>
  <c r="Z29" i="40"/>
  <c r="I37" i="40" s="1"/>
  <c r="Z37" i="40"/>
  <c r="I38" i="40" s="1"/>
  <c r="Z74" i="40"/>
  <c r="Z102" i="40"/>
  <c r="Z52" i="40"/>
  <c r="I40" i="40" s="1"/>
  <c r="E40" i="40" s="1"/>
  <c r="Z59" i="40"/>
  <c r="I41" i="40" s="1"/>
  <c r="E41" i="40" s="1"/>
  <c r="Z67" i="40"/>
  <c r="Z22" i="40"/>
  <c r="I36" i="40" s="1"/>
  <c r="E36" i="40" s="1"/>
  <c r="Z82" i="40"/>
  <c r="Z117" i="40"/>
  <c r="Z124" i="40"/>
  <c r="Z109" i="40"/>
  <c r="Z94" i="40"/>
  <c r="Z132" i="40"/>
  <c r="T106" i="40" l="1"/>
  <c r="K23" i="42" s="1"/>
  <c r="Z78" i="35" s="1"/>
  <c r="E38" i="40"/>
  <c r="K37" i="40"/>
  <c r="E37" i="40"/>
  <c r="M40" i="40"/>
  <c r="M36" i="40"/>
  <c r="M106" i="40"/>
  <c r="K16" i="42" s="1"/>
  <c r="Z71" i="35" s="1"/>
  <c r="N106" i="40"/>
  <c r="K17" i="42" s="1"/>
  <c r="Z72" i="35" s="1"/>
  <c r="K38" i="40"/>
  <c r="M37" i="40"/>
  <c r="I106" i="40"/>
  <c r="K12" i="42" s="1"/>
  <c r="Z67" i="35" s="1"/>
  <c r="M38" i="40"/>
  <c r="K36" i="40" l="1"/>
  <c r="K41" i="40"/>
  <c r="K39" i="40"/>
  <c r="F106" i="40"/>
  <c r="K9" i="42" s="1"/>
  <c r="Z64" i="35" s="1"/>
  <c r="I52" i="40"/>
  <c r="M52" i="40" s="1"/>
  <c r="M41" i="40"/>
  <c r="K40" i="40"/>
  <c r="M39" i="40"/>
  <c r="R106" i="40"/>
  <c r="K21" i="42" s="1"/>
  <c r="Z76" i="35" s="1"/>
  <c r="T83" i="39"/>
  <c r="T88" i="39" s="1"/>
  <c r="T87" i="39" s="1"/>
  <c r="T62" i="39"/>
  <c r="T61" i="39"/>
  <c r="T60" i="39"/>
  <c r="T59" i="39"/>
  <c r="T58" i="39"/>
  <c r="S54" i="39"/>
  <c r="O54" i="39"/>
  <c r="N54" i="39"/>
  <c r="J54" i="39"/>
  <c r="I54" i="39"/>
  <c r="E54" i="39"/>
  <c r="F52" i="39"/>
  <c r="T49" i="39"/>
  <c r="U43" i="39" s="1"/>
  <c r="S49" i="39"/>
  <c r="R49" i="39"/>
  <c r="R52" i="39" s="1"/>
  <c r="Q49" i="39"/>
  <c r="Q52" i="39" s="1"/>
  <c r="P49" i="39"/>
  <c r="P52" i="39" s="1"/>
  <c r="O49" i="39"/>
  <c r="N49" i="39"/>
  <c r="N52" i="39" s="1"/>
  <c r="M49" i="39"/>
  <c r="M52" i="39" s="1"/>
  <c r="L49" i="39"/>
  <c r="L52" i="39" s="1"/>
  <c r="K49" i="39"/>
  <c r="J49" i="39"/>
  <c r="J52" i="39" s="1"/>
  <c r="I49" i="39"/>
  <c r="I52" i="39" s="1"/>
  <c r="H49" i="39"/>
  <c r="H52" i="39" s="1"/>
  <c r="G49" i="39"/>
  <c r="F49" i="39"/>
  <c r="E49" i="39"/>
  <c r="E52" i="39" s="1"/>
  <c r="D49" i="39"/>
  <c r="D52" i="39" s="1"/>
  <c r="T45" i="39"/>
  <c r="T44" i="39"/>
  <c r="P54" i="39"/>
  <c r="T137" i="38"/>
  <c r="T110" i="38"/>
  <c r="T82" i="38"/>
  <c r="P34" i="38"/>
  <c r="N34" i="38"/>
  <c r="L33" i="38"/>
  <c r="D33" i="38"/>
  <c r="P31" i="38"/>
  <c r="H31" i="38"/>
  <c r="H30" i="38"/>
  <c r="D30" i="38"/>
  <c r="T27" i="38"/>
  <c r="S27" i="38"/>
  <c r="R27" i="38"/>
  <c r="R34" i="38" s="1"/>
  <c r="R46" i="38" s="1"/>
  <c r="R53" i="38" s="1"/>
  <c r="Q27" i="38"/>
  <c r="P27" i="38"/>
  <c r="P33" i="38" s="1"/>
  <c r="O27" i="38"/>
  <c r="N27" i="38"/>
  <c r="N32" i="38" s="1"/>
  <c r="M27" i="38"/>
  <c r="M33" i="38" s="1"/>
  <c r="L27" i="38"/>
  <c r="L34" i="38" s="1"/>
  <c r="K27" i="38"/>
  <c r="J27" i="38"/>
  <c r="J34" i="38" s="1"/>
  <c r="I27" i="38"/>
  <c r="I34" i="38" s="1"/>
  <c r="H27" i="38"/>
  <c r="H33" i="38" s="1"/>
  <c r="G27" i="38"/>
  <c r="F27" i="38"/>
  <c r="F34" i="38" s="1"/>
  <c r="E27" i="38"/>
  <c r="D27" i="38"/>
  <c r="D32" i="38" s="1"/>
  <c r="T22" i="38"/>
  <c r="U22" i="38" s="1"/>
  <c r="T21" i="38"/>
  <c r="U21" i="38" s="1"/>
  <c r="T20" i="38"/>
  <c r="U20" i="38" s="1"/>
  <c r="T19" i="38"/>
  <c r="U19" i="38" s="1"/>
  <c r="T18" i="38"/>
  <c r="U18" i="38" s="1"/>
  <c r="Z130" i="37"/>
  <c r="Z122" i="37"/>
  <c r="Z115" i="37"/>
  <c r="Z107" i="37"/>
  <c r="Z100" i="37"/>
  <c r="Z92" i="37"/>
  <c r="Z85" i="37"/>
  <c r="Z77" i="37"/>
  <c r="Z70" i="37"/>
  <c r="Z62" i="37"/>
  <c r="J57" i="37"/>
  <c r="H57" i="37"/>
  <c r="Z55" i="37"/>
  <c r="Z47" i="37"/>
  <c r="C46" i="37"/>
  <c r="Z40" i="37"/>
  <c r="Z32" i="37"/>
  <c r="Z25" i="37"/>
  <c r="S25" i="37"/>
  <c r="R25" i="37"/>
  <c r="Q25" i="37"/>
  <c r="P25" i="37"/>
  <c r="O25" i="37"/>
  <c r="N25" i="37"/>
  <c r="M25" i="37"/>
  <c r="L25" i="37"/>
  <c r="K25" i="37"/>
  <c r="J25" i="37"/>
  <c r="AO21" i="37"/>
  <c r="AO36" i="37" s="1"/>
  <c r="AN21" i="37"/>
  <c r="AN96" i="37" s="1"/>
  <c r="AM21" i="37"/>
  <c r="AM29" i="37" s="1"/>
  <c r="AL21" i="37"/>
  <c r="AL74" i="37" s="1"/>
  <c r="AK21" i="37"/>
  <c r="AK36" i="37" s="1"/>
  <c r="AJ21" i="37"/>
  <c r="AJ29" i="37" s="1"/>
  <c r="AI21" i="37"/>
  <c r="AI51" i="37" s="1"/>
  <c r="AH21" i="37"/>
  <c r="AH29" i="37" s="1"/>
  <c r="AG21" i="37"/>
  <c r="AF21" i="37"/>
  <c r="AF59" i="37" s="1"/>
  <c r="AE21" i="37"/>
  <c r="AE51" i="37" s="1"/>
  <c r="AD21" i="37"/>
  <c r="AD59" i="37" s="1"/>
  <c r="I25" i="37"/>
  <c r="AO18" i="37"/>
  <c r="AO41" i="37" s="1"/>
  <c r="AN18" i="37"/>
  <c r="AN56" i="37" s="1"/>
  <c r="AM18" i="37"/>
  <c r="AM26" i="37" s="1"/>
  <c r="AL18" i="37"/>
  <c r="AL26" i="37" s="1"/>
  <c r="AK18" i="37"/>
  <c r="AK56" i="37" s="1"/>
  <c r="AK57" i="37" s="1"/>
  <c r="AJ18" i="37"/>
  <c r="AJ41" i="37" s="1"/>
  <c r="AI18" i="37"/>
  <c r="AI41" i="37" s="1"/>
  <c r="AH18" i="37"/>
  <c r="AH26" i="37" s="1"/>
  <c r="AG18" i="37"/>
  <c r="AG48" i="37" s="1"/>
  <c r="AF18" i="37"/>
  <c r="AF123" i="37" s="1"/>
  <c r="AE18" i="37"/>
  <c r="AE56" i="37" s="1"/>
  <c r="AE57" i="37" s="1"/>
  <c r="AD18" i="37"/>
  <c r="AD26" i="37" s="1"/>
  <c r="AN17" i="37"/>
  <c r="AN25" i="37" s="1"/>
  <c r="AM17" i="37"/>
  <c r="AM25" i="37" s="1"/>
  <c r="AL17" i="37"/>
  <c r="AL25" i="37" s="1"/>
  <c r="AK17" i="37"/>
  <c r="AK25" i="37" s="1"/>
  <c r="AJ17" i="37"/>
  <c r="AJ25" i="37" s="1"/>
  <c r="AI17" i="37"/>
  <c r="AI25" i="37" s="1"/>
  <c r="AH17" i="37"/>
  <c r="AH25" i="37" s="1"/>
  <c r="AG17" i="37"/>
  <c r="AG25" i="37" s="1"/>
  <c r="AF17" i="37"/>
  <c r="AF25" i="37" s="1"/>
  <c r="AE17" i="37"/>
  <c r="AE25" i="37" s="1"/>
  <c r="AD17" i="37"/>
  <c r="AD25" i="37" s="1"/>
  <c r="Z17" i="37"/>
  <c r="AI48" i="34"/>
  <c r="AH48" i="34"/>
  <c r="AG48" i="34"/>
  <c r="U48" i="34"/>
  <c r="AI46" i="34"/>
  <c r="AH46" i="34"/>
  <c r="AG46" i="34"/>
  <c r="G47" i="34"/>
  <c r="AI40" i="34"/>
  <c r="AH40" i="34"/>
  <c r="AG40" i="34"/>
  <c r="AJ40" i="34" s="1"/>
  <c r="AI39" i="34"/>
  <c r="AH39" i="34"/>
  <c r="AG39" i="34"/>
  <c r="AI38" i="34"/>
  <c r="AH38" i="34"/>
  <c r="AG38" i="34"/>
  <c r="AI37" i="34"/>
  <c r="AH37" i="34"/>
  <c r="AG37" i="34"/>
  <c r="AJ37" i="34" s="1"/>
  <c r="AI36" i="34"/>
  <c r="AH36" i="34"/>
  <c r="AG36" i="34"/>
  <c r="AJ36" i="34" s="1"/>
  <c r="AI35" i="34"/>
  <c r="AH35" i="34"/>
  <c r="AG35" i="34"/>
  <c r="R74" i="34"/>
  <c r="V74" i="34" s="1"/>
  <c r="X74" i="34" s="1"/>
  <c r="AI34" i="34"/>
  <c r="AH34" i="34"/>
  <c r="AG34" i="34"/>
  <c r="AI33" i="34"/>
  <c r="AH33" i="34"/>
  <c r="AG33" i="34"/>
  <c r="AI32" i="34"/>
  <c r="AH32" i="34"/>
  <c r="AG32" i="34"/>
  <c r="AJ32" i="34" s="1"/>
  <c r="AI31" i="34"/>
  <c r="AH31" i="34"/>
  <c r="AG31" i="34"/>
  <c r="AJ31" i="34" s="1"/>
  <c r="AI30" i="34"/>
  <c r="AH30" i="34"/>
  <c r="AG30" i="34"/>
  <c r="R69" i="34"/>
  <c r="V69" i="34" s="1"/>
  <c r="X69" i="34" s="1"/>
  <c r="AI29" i="34"/>
  <c r="AH29" i="34"/>
  <c r="AG29" i="34"/>
  <c r="AI28" i="34"/>
  <c r="AH28" i="34"/>
  <c r="AG28" i="34"/>
  <c r="AI27" i="34"/>
  <c r="AH27" i="34"/>
  <c r="AG27" i="34"/>
  <c r="AJ27" i="34" s="1"/>
  <c r="AI26" i="34"/>
  <c r="AH26" i="34"/>
  <c r="AJ26" i="34" l="1"/>
  <c r="AJ29" i="34"/>
  <c r="AJ30" i="34"/>
  <c r="E69" i="34" s="1"/>
  <c r="AJ34" i="34"/>
  <c r="E73" i="34" s="1"/>
  <c r="AJ35" i="34"/>
  <c r="AJ39" i="34"/>
  <c r="AJ28" i="34"/>
  <c r="AJ33" i="34"/>
  <c r="AJ38" i="34"/>
  <c r="D92" i="39"/>
  <c r="Z81" i="35"/>
  <c r="K25" i="42"/>
  <c r="Z80" i="35" s="1"/>
  <c r="K52" i="40"/>
  <c r="AJ46" i="34"/>
  <c r="U46" i="34" s="1"/>
  <c r="T76" i="34"/>
  <c r="T66" i="34"/>
  <c r="W66" i="34" s="1"/>
  <c r="Y66" i="34" s="1"/>
  <c r="T70" i="34"/>
  <c r="W70" i="34" s="1"/>
  <c r="Y70" i="34" s="1"/>
  <c r="T77" i="34"/>
  <c r="W77" i="34" s="1"/>
  <c r="Y77" i="34" s="1"/>
  <c r="T73" i="34"/>
  <c r="W73" i="34" s="1"/>
  <c r="Y73" i="34" s="1"/>
  <c r="E70" i="34"/>
  <c r="G50" i="34"/>
  <c r="H85" i="39"/>
  <c r="AK19" i="37"/>
  <c r="AO56" i="37"/>
  <c r="AI29" i="37"/>
  <c r="AI81" i="37"/>
  <c r="AL29" i="37"/>
  <c r="AI66" i="37"/>
  <c r="AK131" i="37"/>
  <c r="AF48" i="37"/>
  <c r="AF49" i="37" s="1"/>
  <c r="AE59" i="37"/>
  <c r="AF93" i="37"/>
  <c r="AM41" i="37"/>
  <c r="AM42" i="37" s="1"/>
  <c r="AF41" i="37"/>
  <c r="AF42" i="37" s="1"/>
  <c r="AN41" i="37"/>
  <c r="AN42" i="37" s="1"/>
  <c r="AJ48" i="37"/>
  <c r="AJ49" i="37" s="1"/>
  <c r="AI56" i="37"/>
  <c r="AI57" i="37" s="1"/>
  <c r="AJ93" i="37"/>
  <c r="AJ94" i="37" s="1"/>
  <c r="AN131" i="37"/>
  <c r="AH33" i="37"/>
  <c r="AH34" i="37" s="1"/>
  <c r="AK48" i="37"/>
  <c r="AK49" i="37" s="1"/>
  <c r="AJ56" i="37"/>
  <c r="AJ57" i="37" s="1"/>
  <c r="AE41" i="37"/>
  <c r="AN63" i="37"/>
  <c r="AN64" i="37" s="1"/>
  <c r="AO48" i="37"/>
  <c r="AN51" i="37"/>
  <c r="AN126" i="37"/>
  <c r="AI44" i="37"/>
  <c r="AN89" i="37"/>
  <c r="AJ51" i="37"/>
  <c r="AE29" i="37"/>
  <c r="AE44" i="37"/>
  <c r="AJ59" i="37"/>
  <c r="AJ119" i="37"/>
  <c r="AD29" i="37"/>
  <c r="U45" i="39"/>
  <c r="H55" i="39"/>
  <c r="F54" i="39"/>
  <c r="K54" i="39"/>
  <c r="Q54" i="39"/>
  <c r="G55" i="39"/>
  <c r="K55" i="39"/>
  <c r="O55" i="39"/>
  <c r="S55" i="39"/>
  <c r="G54" i="39"/>
  <c r="M54" i="39"/>
  <c r="R54" i="39"/>
  <c r="R55" i="39"/>
  <c r="N55" i="39"/>
  <c r="J55" i="39"/>
  <c r="F55" i="39"/>
  <c r="T52" i="39"/>
  <c r="Q55" i="39"/>
  <c r="M55" i="39"/>
  <c r="K52" i="39"/>
  <c r="S52" i="39"/>
  <c r="I55" i="39"/>
  <c r="U44" i="39"/>
  <c r="L55" i="39"/>
  <c r="G52" i="39"/>
  <c r="O52" i="39"/>
  <c r="E55" i="39"/>
  <c r="P55" i="39"/>
  <c r="D54" i="39"/>
  <c r="H54" i="39"/>
  <c r="L54" i="39"/>
  <c r="H63" i="38"/>
  <c r="H67" i="38" s="1"/>
  <c r="H68" i="38" s="1"/>
  <c r="P30" i="38"/>
  <c r="P42" i="38" s="1"/>
  <c r="P49" i="38" s="1"/>
  <c r="R32" i="38"/>
  <c r="H34" i="38"/>
  <c r="M63" i="38"/>
  <c r="M67" i="38" s="1"/>
  <c r="M68" i="38" s="1"/>
  <c r="N30" i="38"/>
  <c r="N42" i="38" s="1"/>
  <c r="N49" i="38" s="1"/>
  <c r="L32" i="38"/>
  <c r="D34" i="38"/>
  <c r="I32" i="38"/>
  <c r="I44" i="38" s="1"/>
  <c r="I51" i="38" s="1"/>
  <c r="H42" i="38"/>
  <c r="H49" i="38" s="1"/>
  <c r="L30" i="38"/>
  <c r="D31" i="38"/>
  <c r="N31" i="38"/>
  <c r="N43" i="38" s="1"/>
  <c r="N50" i="38" s="1"/>
  <c r="H32" i="38"/>
  <c r="H44" i="38" s="1"/>
  <c r="H51" i="38" s="1"/>
  <c r="P32" i="38"/>
  <c r="I33" i="38"/>
  <c r="R33" i="38"/>
  <c r="M34" i="38"/>
  <c r="M46" i="38" s="1"/>
  <c r="M53" i="38" s="1"/>
  <c r="I31" i="38"/>
  <c r="R31" i="38"/>
  <c r="R43" i="38" s="1"/>
  <c r="R50" i="38" s="1"/>
  <c r="N33" i="38"/>
  <c r="N45" i="38" s="1"/>
  <c r="N52" i="38" s="1"/>
  <c r="I30" i="38"/>
  <c r="I42" i="38" s="1"/>
  <c r="I49" i="38" s="1"/>
  <c r="R30" i="38"/>
  <c r="R42" i="38" s="1"/>
  <c r="R49" i="38" s="1"/>
  <c r="L31" i="38"/>
  <c r="Q45" i="38"/>
  <c r="Q52" i="38" s="1"/>
  <c r="L45" i="38"/>
  <c r="L52" i="38" s="1"/>
  <c r="P45" i="38"/>
  <c r="P52" i="38" s="1"/>
  <c r="I45" i="38"/>
  <c r="I52" i="38" s="1"/>
  <c r="D45" i="38"/>
  <c r="D52" i="38" s="1"/>
  <c r="M45" i="38"/>
  <c r="M52" i="38" s="1"/>
  <c r="L43" i="38"/>
  <c r="L50" i="38" s="1"/>
  <c r="F43" i="38"/>
  <c r="F50" i="38" s="1"/>
  <c r="P43" i="38"/>
  <c r="P50" i="38" s="1"/>
  <c r="I43" i="38"/>
  <c r="I50" i="38" s="1"/>
  <c r="D43" i="38"/>
  <c r="D50" i="38" s="1"/>
  <c r="L46" i="38"/>
  <c r="L53" i="38" s="1"/>
  <c r="F46" i="38"/>
  <c r="F53" i="38" s="1"/>
  <c r="P46" i="38"/>
  <c r="P53" i="38" s="1"/>
  <c r="J46" i="38"/>
  <c r="J53" i="38" s="1"/>
  <c r="N46" i="38"/>
  <c r="N53" i="38" s="1"/>
  <c r="I46" i="38"/>
  <c r="I53" i="38" s="1"/>
  <c r="D46" i="38"/>
  <c r="D53" i="38" s="1"/>
  <c r="H43" i="38"/>
  <c r="H50" i="38" s="1"/>
  <c r="R45" i="38"/>
  <c r="R52" i="38" s="1"/>
  <c r="O63" i="38"/>
  <c r="O67" i="38" s="1"/>
  <c r="G63" i="38"/>
  <c r="G67" i="38" s="1"/>
  <c r="L63" i="38"/>
  <c r="L67" i="38" s="1"/>
  <c r="F63" i="38"/>
  <c r="F67" i="38" s="1"/>
  <c r="P63" i="38"/>
  <c r="P67" i="38" s="1"/>
  <c r="E63" i="38"/>
  <c r="E67" i="38" s="1"/>
  <c r="N63" i="38"/>
  <c r="N67" i="38" s="1"/>
  <c r="I63" i="38"/>
  <c r="I67" i="38" s="1"/>
  <c r="D63" i="38"/>
  <c r="D67" i="38" s="1"/>
  <c r="L44" i="38"/>
  <c r="L51" i="38" s="1"/>
  <c r="P44" i="38"/>
  <c r="P51" i="38" s="1"/>
  <c r="N44" i="38"/>
  <c r="N51" i="38" s="1"/>
  <c r="D44" i="38"/>
  <c r="D51" i="38" s="1"/>
  <c r="R44" i="38"/>
  <c r="R51" i="38" s="1"/>
  <c r="H46" i="38"/>
  <c r="H53" i="38" s="1"/>
  <c r="R63" i="38"/>
  <c r="R67" i="38" s="1"/>
  <c r="K42" i="38"/>
  <c r="K49" i="38" s="1"/>
  <c r="L42" i="38"/>
  <c r="L49" i="38" s="1"/>
  <c r="D42" i="38"/>
  <c r="D49" i="38" s="1"/>
  <c r="E34" i="38"/>
  <c r="E46" i="38" s="1"/>
  <c r="E53" i="38" s="1"/>
  <c r="E33" i="38"/>
  <c r="E45" i="38" s="1"/>
  <c r="E52" i="38" s="1"/>
  <c r="E32" i="38"/>
  <c r="E44" i="38" s="1"/>
  <c r="E51" i="38" s="1"/>
  <c r="E31" i="38"/>
  <c r="E43" i="38" s="1"/>
  <c r="E50" i="38" s="1"/>
  <c r="E30" i="38"/>
  <c r="E42" i="38" s="1"/>
  <c r="E49" i="38" s="1"/>
  <c r="Q34" i="38"/>
  <c r="Q46" i="38" s="1"/>
  <c r="Q53" i="38" s="1"/>
  <c r="Q33" i="38"/>
  <c r="Q32" i="38"/>
  <c r="Q44" i="38" s="1"/>
  <c r="Q51" i="38" s="1"/>
  <c r="Q31" i="38"/>
  <c r="Q43" i="38" s="1"/>
  <c r="Q50" i="38" s="1"/>
  <c r="Q30" i="38"/>
  <c r="Q42" i="38" s="1"/>
  <c r="Q49" i="38" s="1"/>
  <c r="M30" i="38"/>
  <c r="M42" i="38" s="1"/>
  <c r="M49" i="38" s="1"/>
  <c r="M31" i="38"/>
  <c r="M43" i="38" s="1"/>
  <c r="M50" i="38" s="1"/>
  <c r="M32" i="38"/>
  <c r="M44" i="38" s="1"/>
  <c r="M51" i="38" s="1"/>
  <c r="H45" i="38"/>
  <c r="H52" i="38" s="1"/>
  <c r="S63" i="38"/>
  <c r="S67" i="38" s="1"/>
  <c r="J30" i="38"/>
  <c r="J42" i="38" s="1"/>
  <c r="J49" i="38" s="1"/>
  <c r="J31" i="38"/>
  <c r="J43" i="38" s="1"/>
  <c r="J50" i="38" s="1"/>
  <c r="J32" i="38"/>
  <c r="J44" i="38" s="1"/>
  <c r="J51" i="38" s="1"/>
  <c r="J33" i="38"/>
  <c r="J45" i="38" s="1"/>
  <c r="J52" i="38" s="1"/>
  <c r="G34" i="38"/>
  <c r="G46" i="38" s="1"/>
  <c r="G53" i="38" s="1"/>
  <c r="G33" i="38"/>
  <c r="G45" i="38" s="1"/>
  <c r="G52" i="38" s="1"/>
  <c r="G32" i="38"/>
  <c r="G44" i="38" s="1"/>
  <c r="G51" i="38" s="1"/>
  <c r="G31" i="38"/>
  <c r="G43" i="38" s="1"/>
  <c r="G50" i="38" s="1"/>
  <c r="G30" i="38"/>
  <c r="G42" i="38" s="1"/>
  <c r="G49" i="38" s="1"/>
  <c r="K34" i="38"/>
  <c r="K46" i="38" s="1"/>
  <c r="K53" i="38" s="1"/>
  <c r="K33" i="38"/>
  <c r="K45" i="38" s="1"/>
  <c r="K52" i="38" s="1"/>
  <c r="K32" i="38"/>
  <c r="K44" i="38" s="1"/>
  <c r="K51" i="38" s="1"/>
  <c r="K31" i="38"/>
  <c r="K43" i="38" s="1"/>
  <c r="K50" i="38" s="1"/>
  <c r="K30" i="38"/>
  <c r="O34" i="38"/>
  <c r="O46" i="38" s="1"/>
  <c r="O53" i="38" s="1"/>
  <c r="O33" i="38"/>
  <c r="O45" i="38" s="1"/>
  <c r="O52" i="38" s="1"/>
  <c r="O32" i="38"/>
  <c r="O44" i="38" s="1"/>
  <c r="O51" i="38" s="1"/>
  <c r="O31" i="38"/>
  <c r="O43" i="38" s="1"/>
  <c r="O50" i="38" s="1"/>
  <c r="O30" i="38"/>
  <c r="O42" i="38" s="1"/>
  <c r="O49" i="38" s="1"/>
  <c r="S34" i="38"/>
  <c r="S46" i="38" s="1"/>
  <c r="S53" i="38" s="1"/>
  <c r="S33" i="38"/>
  <c r="S45" i="38" s="1"/>
  <c r="S52" i="38" s="1"/>
  <c r="S32" i="38"/>
  <c r="S44" i="38" s="1"/>
  <c r="S51" i="38" s="1"/>
  <c r="S31" i="38"/>
  <c r="S43" i="38" s="1"/>
  <c r="S50" i="38" s="1"/>
  <c r="S30" i="38"/>
  <c r="S42" i="38" s="1"/>
  <c r="S49" i="38" s="1"/>
  <c r="F30" i="38"/>
  <c r="F42" i="38" s="1"/>
  <c r="F49" i="38" s="1"/>
  <c r="F31" i="38"/>
  <c r="F32" i="38"/>
  <c r="F44" i="38" s="1"/>
  <c r="F51" i="38" s="1"/>
  <c r="F33" i="38"/>
  <c r="F45" i="38" s="1"/>
  <c r="F52" i="38" s="1"/>
  <c r="AG49" i="37"/>
  <c r="AG19" i="37"/>
  <c r="I34" i="37"/>
  <c r="AG122" i="37"/>
  <c r="AG130" i="37" s="1"/>
  <c r="AG115" i="37"/>
  <c r="AG107" i="37"/>
  <c r="AG100" i="37"/>
  <c r="AG92" i="37"/>
  <c r="AG85" i="37"/>
  <c r="AG55" i="37"/>
  <c r="AG47" i="37"/>
  <c r="AG77" i="37"/>
  <c r="AG40" i="37"/>
  <c r="AG70" i="37"/>
  <c r="AG62" i="37"/>
  <c r="AG32" i="37"/>
  <c r="AK122" i="37"/>
  <c r="AK130" i="37" s="1"/>
  <c r="AK115" i="37"/>
  <c r="AK107" i="37"/>
  <c r="AK85" i="37"/>
  <c r="AK77" i="37"/>
  <c r="AK70" i="37"/>
  <c r="AK92" i="37"/>
  <c r="AK62" i="37"/>
  <c r="AK55" i="37"/>
  <c r="AK47" i="37"/>
  <c r="AK40" i="37"/>
  <c r="AK100" i="37"/>
  <c r="AK32" i="37"/>
  <c r="AD122" i="37"/>
  <c r="AD130" i="37" s="1"/>
  <c r="AD115" i="37"/>
  <c r="AD107" i="37"/>
  <c r="AD100" i="37"/>
  <c r="AD92" i="37"/>
  <c r="AD85" i="37"/>
  <c r="AD47" i="37"/>
  <c r="AD40" i="37"/>
  <c r="AD62" i="37"/>
  <c r="AD55" i="37"/>
  <c r="AD77" i="37"/>
  <c r="AD70" i="37"/>
  <c r="AD32" i="37"/>
  <c r="AH122" i="37"/>
  <c r="AH130" i="37" s="1"/>
  <c r="AH115" i="37"/>
  <c r="AH107" i="37"/>
  <c r="AH100" i="37"/>
  <c r="AH92" i="37"/>
  <c r="AH85" i="37"/>
  <c r="AH77" i="37"/>
  <c r="AH70" i="37"/>
  <c r="AH55" i="37"/>
  <c r="AH32" i="37"/>
  <c r="AH47" i="37"/>
  <c r="AH62" i="37"/>
  <c r="AH40" i="37"/>
  <c r="AE122" i="37"/>
  <c r="AE130" i="37" s="1"/>
  <c r="AE77" i="37"/>
  <c r="AE70" i="37"/>
  <c r="AE92" i="37"/>
  <c r="AE115" i="37"/>
  <c r="AE100" i="37"/>
  <c r="AE62" i="37"/>
  <c r="AE85" i="37"/>
  <c r="AE47" i="37"/>
  <c r="AE40" i="37"/>
  <c r="AE32" i="37"/>
  <c r="AE107" i="37"/>
  <c r="AE55" i="37"/>
  <c r="AI107" i="37"/>
  <c r="AI77" i="37"/>
  <c r="AI70" i="37"/>
  <c r="AI115" i="37"/>
  <c r="AI100" i="37"/>
  <c r="AI92" i="37"/>
  <c r="AI85" i="37"/>
  <c r="AI122" i="37"/>
  <c r="AI130" i="37" s="1"/>
  <c r="AI62" i="37"/>
  <c r="AI47" i="37"/>
  <c r="AI40" i="37"/>
  <c r="AI32" i="37"/>
  <c r="AI55" i="37"/>
  <c r="AM122" i="37"/>
  <c r="AM130" i="37" s="1"/>
  <c r="AM100" i="37"/>
  <c r="AM92" i="37"/>
  <c r="AM85" i="37"/>
  <c r="AM77" i="37"/>
  <c r="AM70" i="37"/>
  <c r="AM107" i="37"/>
  <c r="AM55" i="37"/>
  <c r="AM40" i="37"/>
  <c r="AM32" i="37"/>
  <c r="AM62" i="37"/>
  <c r="AM115" i="37"/>
  <c r="AM47" i="37"/>
  <c r="AH27" i="37"/>
  <c r="AM27" i="37"/>
  <c r="AL27" i="37"/>
  <c r="AL33" i="37"/>
  <c r="AL34" i="37" s="1"/>
  <c r="AJ42" i="37"/>
  <c r="AI42" i="37"/>
  <c r="AF115" i="37"/>
  <c r="AF122" i="37"/>
  <c r="AF130" i="37" s="1"/>
  <c r="AF77" i="37"/>
  <c r="AF70" i="37"/>
  <c r="AF62" i="37"/>
  <c r="AF100" i="37"/>
  <c r="AF107" i="37"/>
  <c r="AF47" i="37"/>
  <c r="AF40" i="37"/>
  <c r="AF32" i="37"/>
  <c r="AF92" i="37"/>
  <c r="AF55" i="37"/>
  <c r="AF85" i="37"/>
  <c r="AJ107" i="37"/>
  <c r="AJ77" i="37"/>
  <c r="AJ70" i="37"/>
  <c r="AJ62" i="37"/>
  <c r="AJ115" i="37"/>
  <c r="AJ85" i="37"/>
  <c r="AJ122" i="37"/>
  <c r="AJ130" i="37" s="1"/>
  <c r="AJ92" i="37"/>
  <c r="AJ40" i="37"/>
  <c r="AJ32" i="37"/>
  <c r="AJ47" i="37"/>
  <c r="AJ55" i="37"/>
  <c r="AJ100" i="37"/>
  <c r="AN115" i="37"/>
  <c r="AN122" i="37"/>
  <c r="AN130" i="37" s="1"/>
  <c r="AN100" i="37"/>
  <c r="AN92" i="37"/>
  <c r="AN85" i="37"/>
  <c r="AN77" i="37"/>
  <c r="AN70" i="37"/>
  <c r="AN62" i="37"/>
  <c r="AN40" i="37"/>
  <c r="AN32" i="37"/>
  <c r="AN55" i="37"/>
  <c r="AN107" i="37"/>
  <c r="AN47" i="37"/>
  <c r="AG134" i="37"/>
  <c r="AG111" i="37"/>
  <c r="AG81" i="37"/>
  <c r="AG74" i="37"/>
  <c r="AG66" i="37"/>
  <c r="AG59" i="37"/>
  <c r="AG119" i="37"/>
  <c r="AG89" i="37"/>
  <c r="AG126" i="37"/>
  <c r="AG51" i="37"/>
  <c r="AG29" i="37"/>
  <c r="AG104" i="37"/>
  <c r="AG96" i="37"/>
  <c r="AG44" i="37"/>
  <c r="AK119" i="37"/>
  <c r="AK126" i="37"/>
  <c r="AK104" i="37"/>
  <c r="AK96" i="37"/>
  <c r="AK89" i="37"/>
  <c r="AK81" i="37"/>
  <c r="AK74" i="37"/>
  <c r="AK66" i="37"/>
  <c r="AK59" i="37"/>
  <c r="AK134" i="37"/>
  <c r="AK29" i="37"/>
  <c r="AK44" i="37"/>
  <c r="AK111" i="37"/>
  <c r="AK51" i="37"/>
  <c r="AO134" i="37"/>
  <c r="AO104" i="37"/>
  <c r="AO96" i="37"/>
  <c r="AO89" i="37"/>
  <c r="AO81" i="37"/>
  <c r="AO111" i="37"/>
  <c r="AO74" i="37"/>
  <c r="AO66" i="37"/>
  <c r="AO59" i="37"/>
  <c r="AO126" i="37"/>
  <c r="AO44" i="37"/>
  <c r="AO29" i="37"/>
  <c r="AO119" i="37"/>
  <c r="AO51" i="37"/>
  <c r="AG36" i="37"/>
  <c r="AL122" i="37"/>
  <c r="AL130" i="37" s="1"/>
  <c r="AL115" i="37"/>
  <c r="AL107" i="37"/>
  <c r="AL100" i="37"/>
  <c r="AL92" i="37"/>
  <c r="AL85" i="37"/>
  <c r="AL70" i="37"/>
  <c r="AL47" i="37"/>
  <c r="AL40" i="37"/>
  <c r="AL32" i="37"/>
  <c r="AL77" i="37"/>
  <c r="AL55" i="37"/>
  <c r="AL62" i="37"/>
  <c r="AN19" i="37"/>
  <c r="AJ19" i="37"/>
  <c r="AF19" i="37"/>
  <c r="AM19" i="37"/>
  <c r="AI19" i="37"/>
  <c r="AE19" i="37"/>
  <c r="AL19" i="37"/>
  <c r="AH19" i="37"/>
  <c r="AD19" i="37"/>
  <c r="AD131" i="37"/>
  <c r="AD123" i="37"/>
  <c r="AD116" i="37"/>
  <c r="AD108" i="37"/>
  <c r="AD93" i="37"/>
  <c r="AD101" i="37"/>
  <c r="AD56" i="37"/>
  <c r="AD57" i="37" s="1"/>
  <c r="AD41" i="37"/>
  <c r="AD71" i="37"/>
  <c r="AD63" i="37"/>
  <c r="AD86" i="37"/>
  <c r="AD78" i="37"/>
  <c r="AD48" i="37"/>
  <c r="AH131" i="37"/>
  <c r="AH123" i="37"/>
  <c r="AH116" i="37"/>
  <c r="AH108" i="37"/>
  <c r="AH101" i="37"/>
  <c r="AH93" i="37"/>
  <c r="AH86" i="37"/>
  <c r="AH87" i="37" s="1"/>
  <c r="AH78" i="37"/>
  <c r="AH71" i="37"/>
  <c r="AH72" i="37" s="1"/>
  <c r="AH56" i="37"/>
  <c r="AH57" i="37" s="1"/>
  <c r="AH48" i="37"/>
  <c r="AH49" i="37" s="1"/>
  <c r="AH41" i="37"/>
  <c r="AH42" i="37" s="1"/>
  <c r="AH63" i="37"/>
  <c r="AH64" i="37" s="1"/>
  <c r="AL131" i="37"/>
  <c r="AL123" i="37"/>
  <c r="AL116" i="37"/>
  <c r="AL117" i="37" s="1"/>
  <c r="AL108" i="37"/>
  <c r="AL109" i="37" s="1"/>
  <c r="AL101" i="37"/>
  <c r="AL102" i="37" s="1"/>
  <c r="AL93" i="37"/>
  <c r="AL94" i="37" s="1"/>
  <c r="AL86" i="37"/>
  <c r="AL87" i="37" s="1"/>
  <c r="AL56" i="37"/>
  <c r="AL57" i="37" s="1"/>
  <c r="AL78" i="37"/>
  <c r="AL79" i="37" s="1"/>
  <c r="AL41" i="37"/>
  <c r="AL42" i="37" s="1"/>
  <c r="AL71" i="37"/>
  <c r="AL72" i="37" s="1"/>
  <c r="AL63" i="37"/>
  <c r="AL64" i="37" s="1"/>
  <c r="AL48" i="37"/>
  <c r="AL49" i="37" s="1"/>
  <c r="AD33" i="37"/>
  <c r="AI131" i="37"/>
  <c r="AI123" i="37"/>
  <c r="AI116" i="37"/>
  <c r="AI108" i="37"/>
  <c r="AI101" i="37"/>
  <c r="AI93" i="37"/>
  <c r="AI86" i="37"/>
  <c r="AI87" i="37" s="1"/>
  <c r="AI48" i="37"/>
  <c r="AI49" i="37" s="1"/>
  <c r="AD134" i="37"/>
  <c r="AD126" i="37"/>
  <c r="AD119" i="37"/>
  <c r="AD111" i="37"/>
  <c r="AD104" i="37"/>
  <c r="AD96" i="37"/>
  <c r="AD89" i="37"/>
  <c r="AD51" i="37"/>
  <c r="AH134" i="37"/>
  <c r="AH126" i="37"/>
  <c r="AH119" i="37"/>
  <c r="AH111" i="37"/>
  <c r="AH89" i="37"/>
  <c r="AH81" i="37"/>
  <c r="AH74" i="37"/>
  <c r="AH96" i="37"/>
  <c r="AH59" i="37"/>
  <c r="AH51" i="37"/>
  <c r="AL134" i="37"/>
  <c r="AL126" i="37"/>
  <c r="AL119" i="37"/>
  <c r="AL111" i="37"/>
  <c r="AL96" i="37"/>
  <c r="AL104" i="37"/>
  <c r="AL51" i="37"/>
  <c r="AE26" i="37"/>
  <c r="AE33" i="37"/>
  <c r="AH36" i="37"/>
  <c r="AL59" i="37"/>
  <c r="AI63" i="37"/>
  <c r="AI64" i="37" s="1"/>
  <c r="AL66" i="37"/>
  <c r="AI71" i="37"/>
  <c r="AI72" i="37" s="1"/>
  <c r="AL81" i="37"/>
  <c r="AG116" i="37"/>
  <c r="AO123" i="37"/>
  <c r="AF108" i="37"/>
  <c r="AF78" i="37"/>
  <c r="AF71" i="37"/>
  <c r="AF116" i="37"/>
  <c r="AF131" i="37"/>
  <c r="AF101" i="37"/>
  <c r="AJ123" i="37"/>
  <c r="AJ78" i="37"/>
  <c r="AJ79" i="37" s="1"/>
  <c r="AJ71" i="37"/>
  <c r="AJ72" i="37" s="1"/>
  <c r="AJ131" i="37"/>
  <c r="AJ116" i="37"/>
  <c r="AJ86" i="37"/>
  <c r="AJ87" i="37" s="1"/>
  <c r="AJ63" i="37"/>
  <c r="AJ64" i="37" s="1"/>
  <c r="AN108" i="37"/>
  <c r="AN109" i="37" s="1"/>
  <c r="AN78" i="37"/>
  <c r="AN79" i="37" s="1"/>
  <c r="AN71" i="37"/>
  <c r="AN72" i="37" s="1"/>
  <c r="AN116" i="37"/>
  <c r="AN117" i="37" s="1"/>
  <c r="AN101" i="37"/>
  <c r="AN102" i="37" s="1"/>
  <c r="AN93" i="37"/>
  <c r="AN94" i="37" s="1"/>
  <c r="AN86" i="37"/>
  <c r="AN87" i="37" s="1"/>
  <c r="AN123" i="37"/>
  <c r="AN124" i="37" s="1"/>
  <c r="AE134" i="37"/>
  <c r="AE126" i="37"/>
  <c r="AE119" i="37"/>
  <c r="AE111" i="37"/>
  <c r="AE104" i="37"/>
  <c r="AE96" i="37"/>
  <c r="AE89" i="37"/>
  <c r="AE81" i="37"/>
  <c r="AE74" i="37"/>
  <c r="AE66" i="37"/>
  <c r="AI134" i="37"/>
  <c r="AI126" i="37"/>
  <c r="AI119" i="37"/>
  <c r="AI111" i="37"/>
  <c r="AI104" i="37"/>
  <c r="AI96" i="37"/>
  <c r="AI89" i="37"/>
  <c r="AM134" i="37"/>
  <c r="AM126" i="37"/>
  <c r="AM119" i="37"/>
  <c r="AM111" i="37"/>
  <c r="AM104" i="37"/>
  <c r="AM96" i="37"/>
  <c r="AM89" i="37"/>
  <c r="AM81" i="37"/>
  <c r="AM74" i="37"/>
  <c r="AM66" i="37"/>
  <c r="AM59" i="37"/>
  <c r="AF26" i="37"/>
  <c r="AF27" i="37" s="1"/>
  <c r="AJ26" i="37"/>
  <c r="AJ27" i="37" s="1"/>
  <c r="AN26" i="37"/>
  <c r="AN27" i="37" s="1"/>
  <c r="AF29" i="37"/>
  <c r="AN29" i="37"/>
  <c r="AF33" i="37"/>
  <c r="AF34" i="37" s="1"/>
  <c r="AJ33" i="37"/>
  <c r="AJ34" i="37" s="1"/>
  <c r="AN33" i="37"/>
  <c r="AN34" i="37" s="1"/>
  <c r="AE36" i="37"/>
  <c r="AI36" i="37"/>
  <c r="AM36" i="37"/>
  <c r="AG41" i="37"/>
  <c r="AG42" i="37" s="1"/>
  <c r="AK41" i="37"/>
  <c r="AK42" i="37" s="1"/>
  <c r="AH44" i="37"/>
  <c r="AM44" i="37"/>
  <c r="AF51" i="37"/>
  <c r="AF56" i="37"/>
  <c r="AF57" i="37" s="1"/>
  <c r="AN59" i="37"/>
  <c r="AD66" i="37"/>
  <c r="AD74" i="37"/>
  <c r="AI78" i="37"/>
  <c r="AI79" i="37" s="1"/>
  <c r="AF86" i="37"/>
  <c r="AF87" i="37" s="1"/>
  <c r="AJ101" i="37"/>
  <c r="AE131" i="37"/>
  <c r="AE123" i="37"/>
  <c r="AE116" i="37"/>
  <c r="AE108" i="37"/>
  <c r="AE101" i="37"/>
  <c r="AE93" i="37"/>
  <c r="AE86" i="37"/>
  <c r="AE78" i="37"/>
  <c r="AE71" i="37"/>
  <c r="AE63" i="37"/>
  <c r="AE64" i="37" s="1"/>
  <c r="AE48" i="37"/>
  <c r="AM131" i="37"/>
  <c r="AM123" i="37"/>
  <c r="AM116" i="37"/>
  <c r="AM117" i="37" s="1"/>
  <c r="AM108" i="37"/>
  <c r="AM109" i="37" s="1"/>
  <c r="AM101" i="37"/>
  <c r="AM102" i="37" s="1"/>
  <c r="AM93" i="37"/>
  <c r="AM94" i="37" s="1"/>
  <c r="AM86" i="37"/>
  <c r="AM87" i="37" s="1"/>
  <c r="AM78" i="37"/>
  <c r="AM79" i="37" s="1"/>
  <c r="AM71" i="37"/>
  <c r="AM72" i="37" s="1"/>
  <c r="AM48" i="37"/>
  <c r="AM49" i="37" s="1"/>
  <c r="AI26" i="37"/>
  <c r="AI27" i="37" s="1"/>
  <c r="AI33" i="37"/>
  <c r="AI34" i="37" s="1"/>
  <c r="AM33" i="37"/>
  <c r="AM34" i="37" s="1"/>
  <c r="AD36" i="37"/>
  <c r="AL36" i="37"/>
  <c r="AL44" i="37"/>
  <c r="AG131" i="37"/>
  <c r="AG101" i="37"/>
  <c r="AG93" i="37"/>
  <c r="AG86" i="37"/>
  <c r="AG87" i="37" s="1"/>
  <c r="AG108" i="37"/>
  <c r="AG78" i="37"/>
  <c r="AG71" i="37"/>
  <c r="AG63" i="37"/>
  <c r="AG64" i="37" s="1"/>
  <c r="AG123" i="37"/>
  <c r="AK116" i="37"/>
  <c r="AK123" i="37"/>
  <c r="AK78" i="37"/>
  <c r="AK79" i="37" s="1"/>
  <c r="AK71" i="37"/>
  <c r="AK72" i="37" s="1"/>
  <c r="AK63" i="37"/>
  <c r="AK64" i="37" s="1"/>
  <c r="AK86" i="37"/>
  <c r="AK87" i="37" s="1"/>
  <c r="AK108" i="37"/>
  <c r="AK109" i="37" s="1"/>
  <c r="AK93" i="37"/>
  <c r="AK94" i="37" s="1"/>
  <c r="AO131" i="37"/>
  <c r="AO108" i="37"/>
  <c r="AO78" i="37"/>
  <c r="AO71" i="37"/>
  <c r="AO63" i="37"/>
  <c r="AO116" i="37"/>
  <c r="AO93" i="37"/>
  <c r="AO101" i="37"/>
  <c r="AF111" i="37"/>
  <c r="AF81" i="37"/>
  <c r="AF74" i="37"/>
  <c r="AF66" i="37"/>
  <c r="AF119" i="37"/>
  <c r="AF104" i="37"/>
  <c r="AF96" i="37"/>
  <c r="AF89" i="37"/>
  <c r="AF126" i="37"/>
  <c r="AF44" i="37"/>
  <c r="AJ126" i="37"/>
  <c r="AJ104" i="37"/>
  <c r="AJ96" i="37"/>
  <c r="AJ89" i="37"/>
  <c r="AJ81" i="37"/>
  <c r="AJ74" i="37"/>
  <c r="AJ66" i="37"/>
  <c r="AJ134" i="37"/>
  <c r="AJ111" i="37"/>
  <c r="AJ44" i="37"/>
  <c r="AN111" i="37"/>
  <c r="AN74" i="37"/>
  <c r="AN66" i="37"/>
  <c r="AN119" i="37"/>
  <c r="AN134" i="37"/>
  <c r="AN104" i="37"/>
  <c r="AN81" i="37"/>
  <c r="AN44" i="37"/>
  <c r="AG26" i="37"/>
  <c r="AG27" i="37" s="1"/>
  <c r="AK26" i="37"/>
  <c r="AK27" i="37" s="1"/>
  <c r="AO26" i="37"/>
  <c r="AG33" i="37"/>
  <c r="AG34" i="37" s="1"/>
  <c r="AK33" i="37"/>
  <c r="AK34" i="37" s="1"/>
  <c r="AO33" i="37"/>
  <c r="AF36" i="37"/>
  <c r="AJ36" i="37"/>
  <c r="AN36" i="37"/>
  <c r="AD44" i="37"/>
  <c r="AN48" i="37"/>
  <c r="AN49" i="37" s="1"/>
  <c r="AM51" i="37"/>
  <c r="AG56" i="37"/>
  <c r="AG57" i="37" s="1"/>
  <c r="AM56" i="37"/>
  <c r="AM57" i="37" s="1"/>
  <c r="AI59" i="37"/>
  <c r="AF63" i="37"/>
  <c r="AF64" i="37" s="1"/>
  <c r="AM63" i="37"/>
  <c r="AM64" i="37" s="1"/>
  <c r="AH66" i="37"/>
  <c r="AI74" i="37"/>
  <c r="AD81" i="37"/>
  <c r="AO86" i="37"/>
  <c r="AL89" i="37"/>
  <c r="AK101" i="37"/>
  <c r="AH104" i="37"/>
  <c r="AJ108" i="37"/>
  <c r="AF134" i="37"/>
  <c r="AE49" i="37"/>
  <c r="AN57" i="37"/>
  <c r="Z137" i="37"/>
  <c r="E65" i="34"/>
  <c r="E75" i="34"/>
  <c r="E76" i="34"/>
  <c r="W76" i="34"/>
  <c r="Y76" i="34" s="1"/>
  <c r="R78" i="34"/>
  <c r="V78" i="34" s="1"/>
  <c r="X78" i="34" s="1"/>
  <c r="R65" i="34"/>
  <c r="V65" i="34" s="1"/>
  <c r="X65" i="34" s="1"/>
  <c r="R68" i="34"/>
  <c r="V68" i="34" s="1"/>
  <c r="X68" i="34" s="1"/>
  <c r="R72" i="34"/>
  <c r="V72" i="34" s="1"/>
  <c r="X72" i="34" s="1"/>
  <c r="R76" i="34"/>
  <c r="V76" i="34" s="1"/>
  <c r="X76" i="34" s="1"/>
  <c r="R80" i="34"/>
  <c r="V80" i="34" s="1"/>
  <c r="X80" i="34" s="1"/>
  <c r="R67" i="34"/>
  <c r="V67" i="34" s="1"/>
  <c r="X67" i="34" s="1"/>
  <c r="E79" i="34"/>
  <c r="E77" i="34"/>
  <c r="E68" i="34"/>
  <c r="E71" i="34"/>
  <c r="E78" i="34"/>
  <c r="E80" i="34"/>
  <c r="AJ48" i="34"/>
  <c r="T71" i="34"/>
  <c r="W71" i="34" s="1"/>
  <c r="Y71" i="34" s="1"/>
  <c r="T65" i="34"/>
  <c r="W65" i="34" s="1"/>
  <c r="Y65" i="34" s="1"/>
  <c r="R70" i="34"/>
  <c r="V70" i="34" s="1"/>
  <c r="X70" i="34" s="1"/>
  <c r="T72" i="34"/>
  <c r="W72" i="34" s="1"/>
  <c r="Y72" i="34" s="1"/>
  <c r="T74" i="34"/>
  <c r="W74" i="34" s="1"/>
  <c r="Y74" i="34" s="1"/>
  <c r="R77" i="34"/>
  <c r="V77" i="34" s="1"/>
  <c r="X77" i="34" s="1"/>
  <c r="T80" i="34"/>
  <c r="W80" i="34" s="1"/>
  <c r="Y80" i="34" s="1"/>
  <c r="T67" i="34"/>
  <c r="W67" i="34" s="1"/>
  <c r="Y67" i="34" s="1"/>
  <c r="T75" i="34"/>
  <c r="W75" i="34" s="1"/>
  <c r="Y75" i="34" s="1"/>
  <c r="R75" i="34"/>
  <c r="V75" i="34" s="1"/>
  <c r="X75" i="34" s="1"/>
  <c r="R81" i="34"/>
  <c r="R66" i="34"/>
  <c r="V66" i="34" s="1"/>
  <c r="X66" i="34" s="1"/>
  <c r="T68" i="34"/>
  <c r="W68" i="34" s="1"/>
  <c r="Y68" i="34" s="1"/>
  <c r="R73" i="34"/>
  <c r="V73" i="34" s="1"/>
  <c r="X73" i="34" s="1"/>
  <c r="T79" i="34"/>
  <c r="W79" i="34" s="1"/>
  <c r="Y79" i="34" s="1"/>
  <c r="R79" i="34"/>
  <c r="V79" i="34" s="1"/>
  <c r="X79" i="34" s="1"/>
  <c r="T69" i="34"/>
  <c r="W69" i="34" s="1"/>
  <c r="Y69" i="34" s="1"/>
  <c r="E66" i="34"/>
  <c r="E74" i="34"/>
  <c r="T78" i="34"/>
  <c r="W78" i="34" s="1"/>
  <c r="Y78" i="34" s="1"/>
  <c r="R71" i="34"/>
  <c r="V71" i="34" s="1"/>
  <c r="X71" i="34" s="1"/>
  <c r="E72" i="34" l="1"/>
  <c r="E67" i="34"/>
  <c r="E182" i="39"/>
  <c r="E184" i="39" s="1"/>
  <c r="I182" i="39"/>
  <c r="I184" i="39" s="1"/>
  <c r="M182" i="39"/>
  <c r="M184" i="39" s="1"/>
  <c r="Q182" i="39"/>
  <c r="Q184" i="39" s="1"/>
  <c r="F182" i="39"/>
  <c r="F184" i="39" s="1"/>
  <c r="J182" i="39"/>
  <c r="J184" i="39" s="1"/>
  <c r="N182" i="39"/>
  <c r="N184" i="39" s="1"/>
  <c r="R182" i="39"/>
  <c r="R184" i="39" s="1"/>
  <c r="G182" i="39"/>
  <c r="G184" i="39" s="1"/>
  <c r="K182" i="39"/>
  <c r="K184" i="39" s="1"/>
  <c r="O182" i="39"/>
  <c r="O184" i="39" s="1"/>
  <c r="S182" i="39"/>
  <c r="S184" i="39" s="1"/>
  <c r="H182" i="39"/>
  <c r="H184" i="39" s="1"/>
  <c r="L182" i="39"/>
  <c r="L184" i="39" s="1"/>
  <c r="P182" i="39"/>
  <c r="P184" i="39" s="1"/>
  <c r="D182" i="39"/>
  <c r="D184" i="39" s="1"/>
  <c r="K92" i="39"/>
  <c r="AB84" i="35" s="1"/>
  <c r="E81" i="34"/>
  <c r="G54" i="34"/>
  <c r="G55" i="34" s="1"/>
  <c r="T85" i="39"/>
  <c r="D93" i="39" s="1"/>
  <c r="AK102" i="37"/>
  <c r="AH94" i="37"/>
  <c r="AH109" i="37"/>
  <c r="AH132" i="37"/>
  <c r="AK132" i="37"/>
  <c r="AF102" i="37"/>
  <c r="AG117" i="37"/>
  <c r="AF79" i="37"/>
  <c r="AD132" i="37"/>
  <c r="AF124" i="37"/>
  <c r="AE79" i="37"/>
  <c r="AF117" i="37"/>
  <c r="AE34" i="37"/>
  <c r="AG94" i="37"/>
  <c r="AI109" i="37"/>
  <c r="AD102" i="37"/>
  <c r="AK117" i="37"/>
  <c r="AG124" i="37"/>
  <c r="AD87" i="37"/>
  <c r="AD117" i="37"/>
  <c r="AG132" i="37"/>
  <c r="AE42" i="37"/>
  <c r="AH102" i="37"/>
  <c r="AE109" i="37"/>
  <c r="AJ117" i="37"/>
  <c r="AH79" i="37"/>
  <c r="AD34" i="37"/>
  <c r="AD109" i="37"/>
  <c r="AG109" i="37"/>
  <c r="AE87" i="37"/>
  <c r="AF72" i="37"/>
  <c r="AN132" i="37"/>
  <c r="AG79" i="37"/>
  <c r="AG102" i="37"/>
  <c r="AE102" i="37"/>
  <c r="AL132" i="37"/>
  <c r="AJ102" i="37"/>
  <c r="AE117" i="37"/>
  <c r="AG72" i="37"/>
  <c r="AE94" i="37"/>
  <c r="AE124" i="37"/>
  <c r="AE27" i="37"/>
  <c r="AK124" i="37"/>
  <c r="AH117" i="37"/>
  <c r="AD42" i="37"/>
  <c r="T54" i="39"/>
  <c r="J63" i="38"/>
  <c r="J67" i="38" s="1"/>
  <c r="Q63" i="38"/>
  <c r="Q67" i="38" s="1"/>
  <c r="E172" i="38" s="1"/>
  <c r="K63" i="38"/>
  <c r="K67" i="38" s="1"/>
  <c r="E166" i="38" s="1"/>
  <c r="E168" i="38"/>
  <c r="E163" i="38"/>
  <c r="E160" i="38"/>
  <c r="E68" i="38"/>
  <c r="E167" i="38"/>
  <c r="L68" i="38"/>
  <c r="E170" i="38"/>
  <c r="O68" i="38"/>
  <c r="E159" i="38"/>
  <c r="D68" i="38"/>
  <c r="E162" i="38"/>
  <c r="G68" i="38"/>
  <c r="F68" i="38"/>
  <c r="E161" i="38"/>
  <c r="P68" i="38"/>
  <c r="E171" i="38"/>
  <c r="E174" i="38"/>
  <c r="S68" i="38"/>
  <c r="E164" i="38"/>
  <c r="I68" i="38"/>
  <c r="R68" i="38"/>
  <c r="E173" i="38"/>
  <c r="N68" i="38"/>
  <c r="E169" i="38"/>
  <c r="Z19" i="37"/>
  <c r="I40" i="37" s="1"/>
  <c r="M40" i="37" s="1"/>
  <c r="AD79" i="37"/>
  <c r="AL124" i="37"/>
  <c r="AJ124" i="37"/>
  <c r="AI117" i="37"/>
  <c r="AH124" i="37"/>
  <c r="AF94" i="37"/>
  <c r="AE72" i="37"/>
  <c r="AM124" i="37"/>
  <c r="AE132" i="37"/>
  <c r="AJ132" i="37"/>
  <c r="AI94" i="37"/>
  <c r="AI124" i="37"/>
  <c r="AD64" i="37"/>
  <c r="Z64" i="37" s="1"/>
  <c r="I46" i="37" s="1"/>
  <c r="AD27" i="37"/>
  <c r="Z57" i="37"/>
  <c r="I45" i="37" s="1"/>
  <c r="AD124" i="37"/>
  <c r="AD94" i="37"/>
  <c r="AJ109" i="37"/>
  <c r="AM132" i="37"/>
  <c r="AF132" i="37"/>
  <c r="AF109" i="37"/>
  <c r="AI102" i="37"/>
  <c r="AI132" i="37"/>
  <c r="AD49" i="37"/>
  <c r="Z49" i="37" s="1"/>
  <c r="I44" i="37" s="1"/>
  <c r="AD72" i="37"/>
  <c r="X81" i="34"/>
  <c r="Y81" i="34"/>
  <c r="D95" i="39" l="1"/>
  <c r="D97" i="39" s="1"/>
  <c r="K94" i="39"/>
  <c r="K187" i="39"/>
  <c r="K186" i="39"/>
  <c r="M186" i="39"/>
  <c r="M187" i="39"/>
  <c r="S187" i="39"/>
  <c r="S186" i="39"/>
  <c r="L186" i="39"/>
  <c r="L187" i="39"/>
  <c r="J186" i="39"/>
  <c r="J187" i="39"/>
  <c r="N187" i="39"/>
  <c r="N186" i="39"/>
  <c r="Q186" i="39"/>
  <c r="Q187" i="39"/>
  <c r="H186" i="39"/>
  <c r="H187" i="39"/>
  <c r="O187" i="39"/>
  <c r="O186" i="39"/>
  <c r="D187" i="39"/>
  <c r="R187" i="39"/>
  <c r="R186" i="39"/>
  <c r="F187" i="39"/>
  <c r="F186" i="39"/>
  <c r="I186" i="39"/>
  <c r="I187" i="39"/>
  <c r="P186" i="39"/>
  <c r="P187" i="39"/>
  <c r="G187" i="39"/>
  <c r="G186" i="39"/>
  <c r="E186" i="39"/>
  <c r="E187" i="39"/>
  <c r="G78" i="34"/>
  <c r="J78" i="34" s="1"/>
  <c r="N78" i="34" s="1"/>
  <c r="G80" i="34"/>
  <c r="J80" i="34" s="1"/>
  <c r="N80" i="34" s="1"/>
  <c r="G68" i="34"/>
  <c r="J68" i="34" s="1"/>
  <c r="N68" i="34" s="1"/>
  <c r="G66" i="34"/>
  <c r="J66" i="34" s="1"/>
  <c r="N66" i="34" s="1"/>
  <c r="G67" i="34"/>
  <c r="J67" i="34" s="1"/>
  <c r="N67" i="34" s="1"/>
  <c r="G65" i="34"/>
  <c r="J65" i="34" s="1"/>
  <c r="N65" i="34" s="1"/>
  <c r="G69" i="34"/>
  <c r="J69" i="34" s="1"/>
  <c r="N69" i="34" s="1"/>
  <c r="G73" i="34"/>
  <c r="J73" i="34" s="1"/>
  <c r="N73" i="34" s="1"/>
  <c r="G81" i="34"/>
  <c r="G75" i="34"/>
  <c r="J75" i="34" s="1"/>
  <c r="N75" i="34" s="1"/>
  <c r="G72" i="34"/>
  <c r="J72" i="34" s="1"/>
  <c r="N72" i="34" s="1"/>
  <c r="G79" i="34"/>
  <c r="J79" i="34" s="1"/>
  <c r="N79" i="34" s="1"/>
  <c r="G70" i="34"/>
  <c r="J70" i="34" s="1"/>
  <c r="N70" i="34" s="1"/>
  <c r="G71" i="34"/>
  <c r="J71" i="34" s="1"/>
  <c r="N71" i="34" s="1"/>
  <c r="G76" i="34"/>
  <c r="J76" i="34" s="1"/>
  <c r="N76" i="34" s="1"/>
  <c r="G77" i="34"/>
  <c r="J77" i="34" s="1"/>
  <c r="N77" i="34" s="1"/>
  <c r="G74" i="34"/>
  <c r="J74" i="34" s="1"/>
  <c r="N74" i="34" s="1"/>
  <c r="Z87" i="37"/>
  <c r="I49" i="37" s="1"/>
  <c r="Q69" i="37" s="1"/>
  <c r="K68" i="38"/>
  <c r="U67" i="38"/>
  <c r="U68" i="38" s="1"/>
  <c r="E165" i="38"/>
  <c r="J68" i="38"/>
  <c r="Z34" i="37"/>
  <c r="I42" i="37" s="1"/>
  <c r="J69" i="37" s="1"/>
  <c r="Z79" i="37"/>
  <c r="I48" i="37" s="1"/>
  <c r="K48" i="37" s="1"/>
  <c r="Z42" i="37"/>
  <c r="I43" i="37" s="1"/>
  <c r="K43" i="37" s="1"/>
  <c r="I172" i="38"/>
  <c r="G22" i="42"/>
  <c r="X77" i="35" s="1"/>
  <c r="I169" i="38"/>
  <c r="G19" i="42"/>
  <c r="X74" i="35" s="1"/>
  <c r="I171" i="38"/>
  <c r="G21" i="42"/>
  <c r="X76" i="35" s="1"/>
  <c r="I170" i="38"/>
  <c r="G20" i="42"/>
  <c r="X75" i="35" s="1"/>
  <c r="I160" i="38"/>
  <c r="G10" i="42"/>
  <c r="X65" i="35" s="1"/>
  <c r="I166" i="38"/>
  <c r="G16" i="42"/>
  <c r="X71" i="35" s="1"/>
  <c r="I162" i="38"/>
  <c r="G12" i="42"/>
  <c r="X67" i="35" s="1"/>
  <c r="I163" i="38"/>
  <c r="G13" i="42"/>
  <c r="X68" i="35" s="1"/>
  <c r="I173" i="38"/>
  <c r="G23" i="42"/>
  <c r="X78" i="35" s="1"/>
  <c r="I161" i="38"/>
  <c r="G11" i="42"/>
  <c r="X66" i="35" s="1"/>
  <c r="Q68" i="38"/>
  <c r="I167" i="38"/>
  <c r="G17" i="42"/>
  <c r="X72" i="35" s="1"/>
  <c r="I168" i="38"/>
  <c r="G18" i="42"/>
  <c r="X73" i="35" s="1"/>
  <c r="I164" i="38"/>
  <c r="G14" i="42"/>
  <c r="X69" i="35" s="1"/>
  <c r="I174" i="38"/>
  <c r="G24" i="42"/>
  <c r="X79" i="35" s="1"/>
  <c r="I159" i="38"/>
  <c r="G9" i="42"/>
  <c r="X64" i="35" s="1"/>
  <c r="Z102" i="37"/>
  <c r="I51" i="37" s="1"/>
  <c r="P69" i="37" s="1"/>
  <c r="Z27" i="37"/>
  <c r="I41" i="37" s="1"/>
  <c r="G69" i="37" s="1"/>
  <c r="Z94" i="37"/>
  <c r="I50" i="37" s="1"/>
  <c r="L69" i="37" s="1"/>
  <c r="Z117" i="37"/>
  <c r="I53" i="37" s="1"/>
  <c r="M53" i="37" s="1"/>
  <c r="Z72" i="37"/>
  <c r="I47" i="37" s="1"/>
  <c r="M47" i="37" s="1"/>
  <c r="Z132" i="37"/>
  <c r="I55" i="37" s="1"/>
  <c r="M55" i="37" s="1"/>
  <c r="Z109" i="37"/>
  <c r="I52" i="37" s="1"/>
  <c r="R69" i="37" s="1"/>
  <c r="K40" i="37"/>
  <c r="K69" i="37"/>
  <c r="Z124" i="37"/>
  <c r="I54" i="37" s="1"/>
  <c r="K54" i="37" s="1"/>
  <c r="N69" i="37"/>
  <c r="K44" i="37"/>
  <c r="M44" i="37"/>
  <c r="M45" i="37"/>
  <c r="S69" i="37"/>
  <c r="K45" i="37"/>
  <c r="M46" i="37"/>
  <c r="K46" i="37"/>
  <c r="O69" i="37"/>
  <c r="I81" i="34"/>
  <c r="I77" i="34"/>
  <c r="I73" i="34"/>
  <c r="I69" i="34"/>
  <c r="I65" i="34"/>
  <c r="I80" i="34"/>
  <c r="I76" i="34"/>
  <c r="I71" i="34"/>
  <c r="I79" i="34"/>
  <c r="I74" i="34"/>
  <c r="I67" i="34"/>
  <c r="I75" i="34"/>
  <c r="I68" i="34"/>
  <c r="I66" i="34"/>
  <c r="I78" i="34"/>
  <c r="I72" i="34"/>
  <c r="I70" i="34"/>
  <c r="D186" i="39" l="1"/>
  <c r="E198" i="39"/>
  <c r="I12" i="42" s="1"/>
  <c r="Y67" i="35" s="1"/>
  <c r="Y92" i="35" s="1"/>
  <c r="L78" i="34"/>
  <c r="O78" i="34" s="1"/>
  <c r="L67" i="34"/>
  <c r="O67" i="34" s="1"/>
  <c r="L76" i="34"/>
  <c r="O76" i="34" s="1"/>
  <c r="L66" i="34"/>
  <c r="O66" i="34" s="1"/>
  <c r="L74" i="34"/>
  <c r="O74" i="34" s="1"/>
  <c r="L80" i="34"/>
  <c r="O80" i="34" s="1"/>
  <c r="L77" i="34"/>
  <c r="O77" i="34" s="1"/>
  <c r="D21" i="42" s="1"/>
  <c r="L70" i="34"/>
  <c r="O70" i="34" s="1"/>
  <c r="L68" i="34"/>
  <c r="O68" i="34" s="1"/>
  <c r="L79" i="34"/>
  <c r="O79" i="34" s="1"/>
  <c r="L65" i="34"/>
  <c r="O65" i="34" s="1"/>
  <c r="L72" i="34"/>
  <c r="O72" i="34" s="1"/>
  <c r="L75" i="34"/>
  <c r="O75" i="34" s="1"/>
  <c r="L71" i="34"/>
  <c r="O71" i="34" s="1"/>
  <c r="L69" i="34"/>
  <c r="O69" i="34" s="1"/>
  <c r="V68" i="35" s="1"/>
  <c r="L73" i="34"/>
  <c r="O73" i="34" s="1"/>
  <c r="N81" i="34"/>
  <c r="E17" i="42"/>
  <c r="W72" i="35" s="1"/>
  <c r="K51" i="37"/>
  <c r="E14" i="42"/>
  <c r="W69" i="35" s="1"/>
  <c r="E12" i="42"/>
  <c r="W67" i="35" s="1"/>
  <c r="E13" i="42"/>
  <c r="W68" i="35" s="1"/>
  <c r="E9" i="42"/>
  <c r="W64" i="35" s="1"/>
  <c r="E19" i="42"/>
  <c r="W74" i="35" s="1"/>
  <c r="E21" i="42"/>
  <c r="W76" i="35" s="1"/>
  <c r="E16" i="42"/>
  <c r="W71" i="35" s="1"/>
  <c r="E18" i="42"/>
  <c r="W73" i="35" s="1"/>
  <c r="E20" i="42"/>
  <c r="W75" i="35" s="1"/>
  <c r="I165" i="38"/>
  <c r="T182" i="39"/>
  <c r="V182" i="39" s="1"/>
  <c r="M49" i="37"/>
  <c r="K49" i="37"/>
  <c r="G15" i="42"/>
  <c r="X70" i="35" s="1"/>
  <c r="X81" i="35" s="1"/>
  <c r="M51" i="37"/>
  <c r="M42" i="37"/>
  <c r="M43" i="37"/>
  <c r="M48" i="37"/>
  <c r="U69" i="37"/>
  <c r="T69" i="37"/>
  <c r="K41" i="37"/>
  <c r="K42" i="37"/>
  <c r="M41" i="37"/>
  <c r="I69" i="37"/>
  <c r="K50" i="37"/>
  <c r="K53" i="37"/>
  <c r="M50" i="37"/>
  <c r="K55" i="37"/>
  <c r="H69" i="37"/>
  <c r="V69" i="37"/>
  <c r="K47" i="37"/>
  <c r="K52" i="37"/>
  <c r="M52" i="37"/>
  <c r="M54" i="37"/>
  <c r="I57" i="37"/>
  <c r="K57" i="37" s="1"/>
  <c r="M69" i="37"/>
  <c r="E202" i="39" l="1"/>
  <c r="I16" i="42" s="1"/>
  <c r="Y71" i="35" s="1"/>
  <c r="Y96" i="35" s="1"/>
  <c r="E208" i="39"/>
  <c r="I22" i="42" s="1"/>
  <c r="Y77" i="35" s="1"/>
  <c r="Y102" i="35" s="1"/>
  <c r="E196" i="39"/>
  <c r="I10" i="42" s="1"/>
  <c r="Y65" i="35" s="1"/>
  <c r="Y90" i="35" s="1"/>
  <c r="E210" i="39"/>
  <c r="I24" i="42" s="1"/>
  <c r="Y79" i="35" s="1"/>
  <c r="Y104" i="35" s="1"/>
  <c r="E205" i="39"/>
  <c r="I19" i="42" s="1"/>
  <c r="Y74" i="35" s="1"/>
  <c r="Y99" i="35" s="1"/>
  <c r="E201" i="39"/>
  <c r="I15" i="42" s="1"/>
  <c r="Y70" i="35" s="1"/>
  <c r="Y95" i="35" s="1"/>
  <c r="E195" i="39"/>
  <c r="I9" i="42" s="1"/>
  <c r="Y64" i="35" s="1"/>
  <c r="Y89" i="35" s="1"/>
  <c r="E206" i="39"/>
  <c r="I20" i="42" s="1"/>
  <c r="Y75" i="35" s="1"/>
  <c r="Y100" i="35" s="1"/>
  <c r="E200" i="39"/>
  <c r="I14" i="42" s="1"/>
  <c r="Y69" i="35" s="1"/>
  <c r="Y94" i="35" s="1"/>
  <c r="E203" i="39"/>
  <c r="I17" i="42" s="1"/>
  <c r="Y72" i="35" s="1"/>
  <c r="Y97" i="35" s="1"/>
  <c r="E197" i="39"/>
  <c r="I11" i="42" s="1"/>
  <c r="Y66" i="35" s="1"/>
  <c r="Y91" i="35" s="1"/>
  <c r="E209" i="39"/>
  <c r="I23" i="42" s="1"/>
  <c r="Y78" i="35" s="1"/>
  <c r="Y103" i="35" s="1"/>
  <c r="E204" i="39"/>
  <c r="I18" i="42" s="1"/>
  <c r="Y73" i="35" s="1"/>
  <c r="Y98" i="35" s="1"/>
  <c r="E207" i="39"/>
  <c r="I21" i="42" s="1"/>
  <c r="Y76" i="35" s="1"/>
  <c r="Y101" i="35" s="1"/>
  <c r="T184" i="39"/>
  <c r="E199" i="39"/>
  <c r="I13" i="42" s="1"/>
  <c r="Y68" i="35" s="1"/>
  <c r="Y93" i="35" s="1"/>
  <c r="V73" i="35"/>
  <c r="D18" i="42"/>
  <c r="V77" i="35"/>
  <c r="D22" i="42"/>
  <c r="D9" i="42"/>
  <c r="V64" i="35"/>
  <c r="V75" i="35"/>
  <c r="D20" i="42"/>
  <c r="O20" i="42" s="1"/>
  <c r="AB75" i="35" s="1"/>
  <c r="V74" i="35"/>
  <c r="D19" i="42"/>
  <c r="V67" i="35"/>
  <c r="D12" i="42"/>
  <c r="O12" i="42" s="1"/>
  <c r="AB67" i="35" s="1"/>
  <c r="D13" i="42"/>
  <c r="V76" i="35"/>
  <c r="D17" i="42"/>
  <c r="V72" i="35"/>
  <c r="D14" i="42"/>
  <c r="O14" i="42" s="1"/>
  <c r="AB69" i="35" s="1"/>
  <c r="V69" i="35"/>
  <c r="D23" i="42"/>
  <c r="V78" i="35"/>
  <c r="D11" i="42"/>
  <c r="V66" i="35"/>
  <c r="V71" i="35"/>
  <c r="D16" i="42"/>
  <c r="D10" i="42"/>
  <c r="V65" i="35"/>
  <c r="O81" i="34"/>
  <c r="D25" i="42" s="1"/>
  <c r="D15" i="42"/>
  <c r="V70" i="35"/>
  <c r="D24" i="42"/>
  <c r="V79" i="35"/>
  <c r="E15" i="42"/>
  <c r="W70" i="35" s="1"/>
  <c r="E11" i="42"/>
  <c r="W66" i="35" s="1"/>
  <c r="E22" i="42"/>
  <c r="W77" i="35" s="1"/>
  <c r="E23" i="42"/>
  <c r="W78" i="35" s="1"/>
  <c r="E24" i="42"/>
  <c r="W79" i="35" s="1"/>
  <c r="E10" i="42"/>
  <c r="G25" i="42"/>
  <c r="X80" i="35" s="1"/>
  <c r="M57" i="37"/>
  <c r="O69" i="33"/>
  <c r="K69" i="33"/>
  <c r="O67" i="33"/>
  <c r="O66" i="33"/>
  <c r="O65" i="33"/>
  <c r="O64" i="33"/>
  <c r="O63" i="33"/>
  <c r="O62" i="33"/>
  <c r="O61" i="33"/>
  <c r="O60" i="33"/>
  <c r="O59" i="33"/>
  <c r="O58" i="33"/>
  <c r="O57" i="33"/>
  <c r="O56" i="33"/>
  <c r="O55" i="33"/>
  <c r="O54" i="33"/>
  <c r="O53" i="33"/>
  <c r="O52" i="33"/>
  <c r="R47" i="33"/>
  <c r="G47" i="33"/>
  <c r="F47" i="33"/>
  <c r="E47" i="33"/>
  <c r="D47" i="33"/>
  <c r="H45" i="33"/>
  <c r="H44" i="33"/>
  <c r="H43" i="33"/>
  <c r="H42" i="33"/>
  <c r="H41" i="33"/>
  <c r="H40" i="33"/>
  <c r="H39" i="33"/>
  <c r="H38" i="33"/>
  <c r="H37" i="33"/>
  <c r="H36" i="33"/>
  <c r="H35" i="33"/>
  <c r="H34" i="33"/>
  <c r="H33" i="33"/>
  <c r="H32" i="33"/>
  <c r="H31" i="33"/>
  <c r="H30" i="33"/>
  <c r="H47" i="33" s="1"/>
  <c r="M25" i="33"/>
  <c r="C94" i="31"/>
  <c r="F122" i="32"/>
  <c r="N10" i="33" s="1"/>
  <c r="AA44" i="35" s="1"/>
  <c r="F123" i="32"/>
  <c r="N11" i="33" s="1"/>
  <c r="AA45" i="35" s="1"/>
  <c r="F124" i="32"/>
  <c r="N12" i="33" s="1"/>
  <c r="AA46" i="35" s="1"/>
  <c r="F125" i="32"/>
  <c r="N13" i="33" s="1"/>
  <c r="AA47" i="35" s="1"/>
  <c r="F126" i="32"/>
  <c r="N14" i="33" s="1"/>
  <c r="AA48" i="35" s="1"/>
  <c r="F127" i="32"/>
  <c r="N15" i="33" s="1"/>
  <c r="AA49" i="35" s="1"/>
  <c r="F128" i="32"/>
  <c r="N16" i="33" s="1"/>
  <c r="AA50" i="35" s="1"/>
  <c r="F129" i="32"/>
  <c r="N17" i="33" s="1"/>
  <c r="AA51" i="35" s="1"/>
  <c r="F130" i="32"/>
  <c r="N18" i="33" s="1"/>
  <c r="AA52" i="35" s="1"/>
  <c r="F131" i="32"/>
  <c r="N19" i="33" s="1"/>
  <c r="AA53" i="35" s="1"/>
  <c r="F132" i="32"/>
  <c r="N20" i="33" s="1"/>
  <c r="AA54" i="35" s="1"/>
  <c r="F133" i="32"/>
  <c r="N21" i="33" s="1"/>
  <c r="AA55" i="35" s="1"/>
  <c r="F134" i="32"/>
  <c r="N22" i="33" s="1"/>
  <c r="AA56" i="35" s="1"/>
  <c r="F135" i="32"/>
  <c r="N23" i="33" s="1"/>
  <c r="AA57" i="35" s="1"/>
  <c r="F136" i="32"/>
  <c r="N24" i="33" s="1"/>
  <c r="AA58" i="35" s="1"/>
  <c r="F121" i="32"/>
  <c r="N9" i="33" s="1"/>
  <c r="AA43" i="35" s="1"/>
  <c r="AA113" i="32"/>
  <c r="AB113" i="32" s="1"/>
  <c r="W113" i="32"/>
  <c r="X113" i="32" s="1"/>
  <c r="Y113" i="32" s="1"/>
  <c r="Z113" i="32" s="1"/>
  <c r="U113" i="32"/>
  <c r="V113" i="32" s="1"/>
  <c r="T113" i="32"/>
  <c r="AB112" i="32"/>
  <c r="T112" i="32"/>
  <c r="U112" i="32" s="1"/>
  <c r="V112" i="32" s="1"/>
  <c r="W112" i="32" s="1"/>
  <c r="X112" i="32" s="1"/>
  <c r="Y112" i="32" s="1"/>
  <c r="Z112" i="32" s="1"/>
  <c r="AA112" i="32" s="1"/>
  <c r="W111" i="32"/>
  <c r="X111" i="32" s="1"/>
  <c r="Y111" i="32" s="1"/>
  <c r="Z111" i="32" s="1"/>
  <c r="AA111" i="32" s="1"/>
  <c r="AB111" i="32" s="1"/>
  <c r="U111" i="32"/>
  <c r="V111" i="32" s="1"/>
  <c r="T111" i="32"/>
  <c r="X110" i="32"/>
  <c r="Y110" i="32" s="1"/>
  <c r="Z110" i="32" s="1"/>
  <c r="AA110" i="32" s="1"/>
  <c r="AB110" i="32" s="1"/>
  <c r="T110" i="32"/>
  <c r="U110" i="32" s="1"/>
  <c r="V110" i="32" s="1"/>
  <c r="W110" i="32" s="1"/>
  <c r="AA109" i="32"/>
  <c r="AB109" i="32" s="1"/>
  <c r="W109" i="32"/>
  <c r="X109" i="32" s="1"/>
  <c r="Y109" i="32" s="1"/>
  <c r="Z109" i="32" s="1"/>
  <c r="U109" i="32"/>
  <c r="V109" i="32" s="1"/>
  <c r="T109" i="32"/>
  <c r="T108" i="32"/>
  <c r="U108" i="32" s="1"/>
  <c r="V108" i="32" s="1"/>
  <c r="W108" i="32" s="1"/>
  <c r="X108" i="32" s="1"/>
  <c r="Y108" i="32" s="1"/>
  <c r="Z108" i="32" s="1"/>
  <c r="AA108" i="32" s="1"/>
  <c r="AB108" i="32" s="1"/>
  <c r="W107" i="32"/>
  <c r="X107" i="32" s="1"/>
  <c r="Y107" i="32" s="1"/>
  <c r="Z107" i="32" s="1"/>
  <c r="AA107" i="32" s="1"/>
  <c r="AB107" i="32" s="1"/>
  <c r="U107" i="32"/>
  <c r="V107" i="32" s="1"/>
  <c r="T107" i="32"/>
  <c r="X106" i="32"/>
  <c r="Y106" i="32" s="1"/>
  <c r="Z106" i="32" s="1"/>
  <c r="AA106" i="32" s="1"/>
  <c r="AB106" i="32" s="1"/>
  <c r="T106" i="32"/>
  <c r="U106" i="32" s="1"/>
  <c r="V106" i="32" s="1"/>
  <c r="W106" i="32" s="1"/>
  <c r="AA105" i="32"/>
  <c r="AB105" i="32" s="1"/>
  <c r="W105" i="32"/>
  <c r="X105" i="32" s="1"/>
  <c r="Y105" i="32" s="1"/>
  <c r="Z105" i="32" s="1"/>
  <c r="U105" i="32"/>
  <c r="V105" i="32" s="1"/>
  <c r="T105" i="32"/>
  <c r="AB104" i="32"/>
  <c r="T104" i="32"/>
  <c r="U104" i="32" s="1"/>
  <c r="V104" i="32" s="1"/>
  <c r="W104" i="32" s="1"/>
  <c r="X104" i="32" s="1"/>
  <c r="Y104" i="32" s="1"/>
  <c r="Z104" i="32" s="1"/>
  <c r="AA104" i="32" s="1"/>
  <c r="W103" i="32"/>
  <c r="X103" i="32" s="1"/>
  <c r="Y103" i="32" s="1"/>
  <c r="Z103" i="32" s="1"/>
  <c r="AA103" i="32" s="1"/>
  <c r="AB103" i="32" s="1"/>
  <c r="U103" i="32"/>
  <c r="V103" i="32" s="1"/>
  <c r="T103" i="32"/>
  <c r="X102" i="32"/>
  <c r="Y102" i="32" s="1"/>
  <c r="Z102" i="32" s="1"/>
  <c r="AA102" i="32" s="1"/>
  <c r="AB102" i="32" s="1"/>
  <c r="T102" i="32"/>
  <c r="U102" i="32" s="1"/>
  <c r="V102" i="32" s="1"/>
  <c r="W102" i="32" s="1"/>
  <c r="AA101" i="32"/>
  <c r="AB101" i="32" s="1"/>
  <c r="W101" i="32"/>
  <c r="X101" i="32" s="1"/>
  <c r="Y101" i="32" s="1"/>
  <c r="Z101" i="32" s="1"/>
  <c r="U101" i="32"/>
  <c r="V101" i="32" s="1"/>
  <c r="T101" i="32"/>
  <c r="T100" i="32"/>
  <c r="U100" i="32" s="1"/>
  <c r="V100" i="32" s="1"/>
  <c r="W100" i="32" s="1"/>
  <c r="X100" i="32" s="1"/>
  <c r="Y100" i="32" s="1"/>
  <c r="Z100" i="32" s="1"/>
  <c r="AA100" i="32" s="1"/>
  <c r="AB100" i="32" s="1"/>
  <c r="W99" i="32"/>
  <c r="X99" i="32" s="1"/>
  <c r="Y99" i="32" s="1"/>
  <c r="Z99" i="32" s="1"/>
  <c r="AA99" i="32" s="1"/>
  <c r="AB99" i="32" s="1"/>
  <c r="U99" i="32"/>
  <c r="V99" i="32" s="1"/>
  <c r="T99" i="32"/>
  <c r="X98" i="32"/>
  <c r="Y98" i="32" s="1"/>
  <c r="Z98" i="32" s="1"/>
  <c r="AA98" i="32" s="1"/>
  <c r="AB98" i="32" s="1"/>
  <c r="T98" i="32"/>
  <c r="U98" i="32" s="1"/>
  <c r="V98" i="32" s="1"/>
  <c r="W98" i="32" s="1"/>
  <c r="M95" i="32"/>
  <c r="K76" i="32"/>
  <c r="K95" i="32" s="1"/>
  <c r="F76" i="32"/>
  <c r="F95" i="32" s="1"/>
  <c r="M75" i="32"/>
  <c r="M94" i="32" s="1"/>
  <c r="M113" i="32" s="1"/>
  <c r="J75" i="32"/>
  <c r="J94" i="32" s="1"/>
  <c r="J113" i="32" s="1"/>
  <c r="H75" i="32"/>
  <c r="E75" i="32"/>
  <c r="E94" i="32" s="1"/>
  <c r="E113" i="32" s="1"/>
  <c r="J74" i="32"/>
  <c r="J93" i="32" s="1"/>
  <c r="J112" i="32" s="1"/>
  <c r="G74" i="32"/>
  <c r="N73" i="32"/>
  <c r="I73" i="32"/>
  <c r="I92" i="32" s="1"/>
  <c r="I111" i="32" s="1"/>
  <c r="N72" i="32"/>
  <c r="J72" i="32"/>
  <c r="J91" i="32" s="1"/>
  <c r="J110" i="32" s="1"/>
  <c r="F72" i="32"/>
  <c r="F91" i="32" s="1"/>
  <c r="F110" i="32" s="1"/>
  <c r="L71" i="32"/>
  <c r="L90" i="32" s="1"/>
  <c r="L109" i="32" s="1"/>
  <c r="H71" i="32"/>
  <c r="N70" i="32"/>
  <c r="J70" i="32"/>
  <c r="J89" i="32" s="1"/>
  <c r="J108" i="32" s="1"/>
  <c r="F70" i="32"/>
  <c r="F89" i="32" s="1"/>
  <c r="F108" i="32" s="1"/>
  <c r="L69" i="32"/>
  <c r="L88" i="32" s="1"/>
  <c r="L107" i="32" s="1"/>
  <c r="H69" i="32"/>
  <c r="N68" i="32"/>
  <c r="J68" i="32"/>
  <c r="J87" i="32" s="1"/>
  <c r="J106" i="32" s="1"/>
  <c r="F68" i="32"/>
  <c r="F87" i="32" s="1"/>
  <c r="F106" i="32" s="1"/>
  <c r="L67" i="32"/>
  <c r="L86" i="32" s="1"/>
  <c r="L105" i="32" s="1"/>
  <c r="H67" i="32"/>
  <c r="N66" i="32"/>
  <c r="J66" i="32"/>
  <c r="J85" i="32" s="1"/>
  <c r="J104" i="32" s="1"/>
  <c r="F66" i="32"/>
  <c r="F85" i="32" s="1"/>
  <c r="F104" i="32" s="1"/>
  <c r="L65" i="32"/>
  <c r="L84" i="32" s="1"/>
  <c r="L103" i="32" s="1"/>
  <c r="H65" i="32"/>
  <c r="N64" i="32"/>
  <c r="J64" i="32"/>
  <c r="J83" i="32" s="1"/>
  <c r="J102" i="32" s="1"/>
  <c r="F64" i="32"/>
  <c r="F83" i="32" s="1"/>
  <c r="F102" i="32" s="1"/>
  <c r="L63" i="32"/>
  <c r="L82" i="32" s="1"/>
  <c r="L101" i="32" s="1"/>
  <c r="H63" i="32"/>
  <c r="N62" i="32"/>
  <c r="J62" i="32"/>
  <c r="J81" i="32" s="1"/>
  <c r="J100" i="32" s="1"/>
  <c r="F62" i="32"/>
  <c r="F81" i="32" s="1"/>
  <c r="F100" i="32" s="1"/>
  <c r="L61" i="32"/>
  <c r="L80" i="32" s="1"/>
  <c r="L99" i="32" s="1"/>
  <c r="H61" i="32"/>
  <c r="N60" i="32"/>
  <c r="J60" i="32"/>
  <c r="J79" i="32" s="1"/>
  <c r="J98" i="32" s="1"/>
  <c r="F60" i="32"/>
  <c r="F79" i="32" s="1"/>
  <c r="F98" i="32" s="1"/>
  <c r="N57" i="32"/>
  <c r="N76" i="32" s="1"/>
  <c r="N95" i="32" s="1"/>
  <c r="M57" i="32"/>
  <c r="M76" i="32" s="1"/>
  <c r="L57" i="32"/>
  <c r="L76" i="32" s="1"/>
  <c r="L95" i="32" s="1"/>
  <c r="K57" i="32"/>
  <c r="J57" i="32"/>
  <c r="J76" i="32" s="1"/>
  <c r="J95" i="32" s="1"/>
  <c r="I57" i="32"/>
  <c r="I76" i="32" s="1"/>
  <c r="I95" i="32" s="1"/>
  <c r="H57" i="32"/>
  <c r="H76" i="32" s="1"/>
  <c r="G57" i="32"/>
  <c r="G76" i="32" s="1"/>
  <c r="G95" i="32" s="1"/>
  <c r="F57" i="32"/>
  <c r="E57" i="32"/>
  <c r="E76" i="32" s="1"/>
  <c r="E95" i="32" s="1"/>
  <c r="N56" i="32"/>
  <c r="N75" i="32" s="1"/>
  <c r="M56" i="32"/>
  <c r="L56" i="32"/>
  <c r="L75" i="32" s="1"/>
  <c r="L94" i="32" s="1"/>
  <c r="L113" i="32" s="1"/>
  <c r="K56" i="32"/>
  <c r="K75" i="32" s="1"/>
  <c r="J56" i="32"/>
  <c r="I56" i="32"/>
  <c r="I75" i="32" s="1"/>
  <c r="I94" i="32" s="1"/>
  <c r="I113" i="32" s="1"/>
  <c r="H56" i="32"/>
  <c r="G56" i="32"/>
  <c r="G75" i="32" s="1"/>
  <c r="F56" i="32"/>
  <c r="F75" i="32" s="1"/>
  <c r="E56" i="32"/>
  <c r="N55" i="32"/>
  <c r="N74" i="32" s="1"/>
  <c r="N93" i="32" s="1"/>
  <c r="N112" i="32" s="1"/>
  <c r="M55" i="32"/>
  <c r="M74" i="32" s="1"/>
  <c r="M93" i="32" s="1"/>
  <c r="L55" i="32"/>
  <c r="L74" i="32" s="1"/>
  <c r="L93" i="32" s="1"/>
  <c r="L112" i="32" s="1"/>
  <c r="K55" i="32"/>
  <c r="K74" i="32" s="1"/>
  <c r="K93" i="32" s="1"/>
  <c r="K112" i="32" s="1"/>
  <c r="J55" i="32"/>
  <c r="I55" i="32"/>
  <c r="I74" i="32" s="1"/>
  <c r="I93" i="32" s="1"/>
  <c r="H55" i="32"/>
  <c r="H74" i="32" s="1"/>
  <c r="G55" i="32"/>
  <c r="F55" i="32"/>
  <c r="F74" i="32" s="1"/>
  <c r="F93" i="32" s="1"/>
  <c r="F112" i="32" s="1"/>
  <c r="E55" i="32"/>
  <c r="E74" i="32" s="1"/>
  <c r="E93" i="32" s="1"/>
  <c r="E112" i="32" s="1"/>
  <c r="N54" i="32"/>
  <c r="M54" i="32"/>
  <c r="M73" i="32" s="1"/>
  <c r="M92" i="32" s="1"/>
  <c r="M111" i="32" s="1"/>
  <c r="L54" i="32"/>
  <c r="L73" i="32" s="1"/>
  <c r="L92" i="32" s="1"/>
  <c r="L111" i="32" s="1"/>
  <c r="K54" i="32"/>
  <c r="K73" i="32" s="1"/>
  <c r="J54" i="32"/>
  <c r="J73" i="32" s="1"/>
  <c r="J92" i="32" s="1"/>
  <c r="J111" i="32" s="1"/>
  <c r="I54" i="32"/>
  <c r="H54" i="32"/>
  <c r="H73" i="32" s="1"/>
  <c r="G54" i="32"/>
  <c r="G73" i="32" s="1"/>
  <c r="G92" i="32" s="1"/>
  <c r="G111" i="32" s="1"/>
  <c r="F54" i="32"/>
  <c r="F73" i="32" s="1"/>
  <c r="F92" i="32" s="1"/>
  <c r="F111" i="32" s="1"/>
  <c r="E54" i="32"/>
  <c r="E73" i="32" s="1"/>
  <c r="E92" i="32" s="1"/>
  <c r="E111" i="32" s="1"/>
  <c r="N53" i="32"/>
  <c r="M53" i="32"/>
  <c r="M72" i="32" s="1"/>
  <c r="M91" i="32" s="1"/>
  <c r="M110" i="32" s="1"/>
  <c r="L53" i="32"/>
  <c r="L72" i="32" s="1"/>
  <c r="L91" i="32" s="1"/>
  <c r="L110" i="32" s="1"/>
  <c r="K53" i="32"/>
  <c r="K72" i="32" s="1"/>
  <c r="K91" i="32" s="1"/>
  <c r="K110" i="32" s="1"/>
  <c r="J53" i="32"/>
  <c r="I53" i="32"/>
  <c r="I72" i="32" s="1"/>
  <c r="I91" i="32" s="1"/>
  <c r="I110" i="32" s="1"/>
  <c r="H53" i="32"/>
  <c r="H72" i="32" s="1"/>
  <c r="H91" i="32" s="1"/>
  <c r="H110" i="32" s="1"/>
  <c r="G53" i="32"/>
  <c r="G72" i="32" s="1"/>
  <c r="G91" i="32" s="1"/>
  <c r="G110" i="32" s="1"/>
  <c r="F53" i="32"/>
  <c r="E53" i="32"/>
  <c r="E72" i="32" s="1"/>
  <c r="E91" i="32" s="1"/>
  <c r="E110" i="32" s="1"/>
  <c r="N52" i="32"/>
  <c r="N71" i="32" s="1"/>
  <c r="N90" i="32" s="1"/>
  <c r="N109" i="32" s="1"/>
  <c r="M52" i="32"/>
  <c r="M71" i="32" s="1"/>
  <c r="M90" i="32" s="1"/>
  <c r="M109" i="32" s="1"/>
  <c r="L52" i="32"/>
  <c r="K52" i="32"/>
  <c r="K71" i="32" s="1"/>
  <c r="K90" i="32" s="1"/>
  <c r="K109" i="32" s="1"/>
  <c r="J52" i="32"/>
  <c r="J71" i="32" s="1"/>
  <c r="J90" i="32" s="1"/>
  <c r="J109" i="32" s="1"/>
  <c r="I52" i="32"/>
  <c r="I71" i="32" s="1"/>
  <c r="I90" i="32" s="1"/>
  <c r="I109" i="32" s="1"/>
  <c r="H52" i="32"/>
  <c r="G52" i="32"/>
  <c r="G71" i="32" s="1"/>
  <c r="G90" i="32" s="1"/>
  <c r="G109" i="32" s="1"/>
  <c r="F52" i="32"/>
  <c r="F71" i="32" s="1"/>
  <c r="F90" i="32" s="1"/>
  <c r="F109" i="32" s="1"/>
  <c r="E52" i="32"/>
  <c r="E71" i="32" s="1"/>
  <c r="E90" i="32" s="1"/>
  <c r="E109" i="32" s="1"/>
  <c r="N51" i="32"/>
  <c r="M51" i="32"/>
  <c r="M70" i="32" s="1"/>
  <c r="M89" i="32" s="1"/>
  <c r="M108" i="32" s="1"/>
  <c r="L51" i="32"/>
  <c r="L70" i="32" s="1"/>
  <c r="L89" i="32" s="1"/>
  <c r="L108" i="32" s="1"/>
  <c r="K51" i="32"/>
  <c r="K70" i="32" s="1"/>
  <c r="K89" i="32" s="1"/>
  <c r="K108" i="32" s="1"/>
  <c r="J51" i="32"/>
  <c r="I51" i="32"/>
  <c r="I70" i="32" s="1"/>
  <c r="I89" i="32" s="1"/>
  <c r="I108" i="32" s="1"/>
  <c r="H51" i="32"/>
  <c r="H70" i="32" s="1"/>
  <c r="H89" i="32" s="1"/>
  <c r="H108" i="32" s="1"/>
  <c r="G51" i="32"/>
  <c r="G70" i="32" s="1"/>
  <c r="G89" i="32" s="1"/>
  <c r="G108" i="32" s="1"/>
  <c r="F51" i="32"/>
  <c r="E51" i="32"/>
  <c r="E70" i="32" s="1"/>
  <c r="E89" i="32" s="1"/>
  <c r="E108" i="32" s="1"/>
  <c r="N50" i="32"/>
  <c r="N69" i="32" s="1"/>
  <c r="N88" i="32" s="1"/>
  <c r="N107" i="32" s="1"/>
  <c r="M50" i="32"/>
  <c r="M69" i="32" s="1"/>
  <c r="M88" i="32" s="1"/>
  <c r="M107" i="32" s="1"/>
  <c r="L50" i="32"/>
  <c r="K50" i="32"/>
  <c r="K69" i="32" s="1"/>
  <c r="K88" i="32" s="1"/>
  <c r="K107" i="32" s="1"/>
  <c r="J50" i="32"/>
  <c r="J69" i="32" s="1"/>
  <c r="J88" i="32" s="1"/>
  <c r="J107" i="32" s="1"/>
  <c r="I50" i="32"/>
  <c r="I69" i="32" s="1"/>
  <c r="I88" i="32" s="1"/>
  <c r="I107" i="32" s="1"/>
  <c r="H50" i="32"/>
  <c r="G50" i="32"/>
  <c r="G69" i="32" s="1"/>
  <c r="G88" i="32" s="1"/>
  <c r="G107" i="32" s="1"/>
  <c r="F50" i="32"/>
  <c r="F69" i="32" s="1"/>
  <c r="F88" i="32" s="1"/>
  <c r="F107" i="32" s="1"/>
  <c r="E50" i="32"/>
  <c r="E69" i="32" s="1"/>
  <c r="E88" i="32" s="1"/>
  <c r="E107" i="32" s="1"/>
  <c r="N49" i="32"/>
  <c r="M49" i="32"/>
  <c r="M68" i="32" s="1"/>
  <c r="M87" i="32" s="1"/>
  <c r="M106" i="32" s="1"/>
  <c r="L49" i="32"/>
  <c r="L68" i="32" s="1"/>
  <c r="L87" i="32" s="1"/>
  <c r="L106" i="32" s="1"/>
  <c r="K49" i="32"/>
  <c r="K68" i="32" s="1"/>
  <c r="K87" i="32" s="1"/>
  <c r="K106" i="32" s="1"/>
  <c r="J49" i="32"/>
  <c r="I49" i="32"/>
  <c r="I68" i="32" s="1"/>
  <c r="I87" i="32" s="1"/>
  <c r="I106" i="32" s="1"/>
  <c r="H49" i="32"/>
  <c r="H68" i="32" s="1"/>
  <c r="H87" i="32" s="1"/>
  <c r="H106" i="32" s="1"/>
  <c r="G49" i="32"/>
  <c r="G68" i="32" s="1"/>
  <c r="G87" i="32" s="1"/>
  <c r="G106" i="32" s="1"/>
  <c r="F49" i="32"/>
  <c r="E49" i="32"/>
  <c r="E68" i="32" s="1"/>
  <c r="E87" i="32" s="1"/>
  <c r="E106" i="32" s="1"/>
  <c r="N48" i="32"/>
  <c r="N67" i="32" s="1"/>
  <c r="N86" i="32" s="1"/>
  <c r="N105" i="32" s="1"/>
  <c r="M48" i="32"/>
  <c r="M67" i="32" s="1"/>
  <c r="M86" i="32" s="1"/>
  <c r="M105" i="32" s="1"/>
  <c r="L48" i="32"/>
  <c r="K48" i="32"/>
  <c r="K67" i="32" s="1"/>
  <c r="K86" i="32" s="1"/>
  <c r="K105" i="32" s="1"/>
  <c r="J48" i="32"/>
  <c r="J67" i="32" s="1"/>
  <c r="J86" i="32" s="1"/>
  <c r="J105" i="32" s="1"/>
  <c r="I48" i="32"/>
  <c r="I67" i="32" s="1"/>
  <c r="I86" i="32" s="1"/>
  <c r="I105" i="32" s="1"/>
  <c r="H48" i="32"/>
  <c r="G48" i="32"/>
  <c r="G67" i="32" s="1"/>
  <c r="G86" i="32" s="1"/>
  <c r="G105" i="32" s="1"/>
  <c r="F48" i="32"/>
  <c r="F67" i="32" s="1"/>
  <c r="F86" i="32" s="1"/>
  <c r="F105" i="32" s="1"/>
  <c r="E48" i="32"/>
  <c r="E67" i="32" s="1"/>
  <c r="E86" i="32" s="1"/>
  <c r="E105" i="32" s="1"/>
  <c r="N47" i="32"/>
  <c r="M47" i="32"/>
  <c r="M66" i="32" s="1"/>
  <c r="M85" i="32" s="1"/>
  <c r="M104" i="32" s="1"/>
  <c r="L47" i="32"/>
  <c r="L66" i="32" s="1"/>
  <c r="L85" i="32" s="1"/>
  <c r="L104" i="32" s="1"/>
  <c r="K47" i="32"/>
  <c r="K66" i="32" s="1"/>
  <c r="K85" i="32" s="1"/>
  <c r="K104" i="32" s="1"/>
  <c r="J47" i="32"/>
  <c r="I47" i="32"/>
  <c r="I66" i="32" s="1"/>
  <c r="I85" i="32" s="1"/>
  <c r="I104" i="32" s="1"/>
  <c r="H47" i="32"/>
  <c r="H66" i="32" s="1"/>
  <c r="H85" i="32" s="1"/>
  <c r="H104" i="32" s="1"/>
  <c r="G47" i="32"/>
  <c r="G66" i="32" s="1"/>
  <c r="G85" i="32" s="1"/>
  <c r="G104" i="32" s="1"/>
  <c r="F47" i="32"/>
  <c r="E47" i="32"/>
  <c r="E66" i="32" s="1"/>
  <c r="E85" i="32" s="1"/>
  <c r="E104" i="32" s="1"/>
  <c r="N46" i="32"/>
  <c r="N65" i="32" s="1"/>
  <c r="N84" i="32" s="1"/>
  <c r="N103" i="32" s="1"/>
  <c r="M46" i="32"/>
  <c r="M65" i="32" s="1"/>
  <c r="M84" i="32" s="1"/>
  <c r="M103" i="32" s="1"/>
  <c r="L46" i="32"/>
  <c r="K46" i="32"/>
  <c r="K65" i="32" s="1"/>
  <c r="K84" i="32" s="1"/>
  <c r="K103" i="32" s="1"/>
  <c r="J46" i="32"/>
  <c r="J65" i="32" s="1"/>
  <c r="J84" i="32" s="1"/>
  <c r="J103" i="32" s="1"/>
  <c r="I46" i="32"/>
  <c r="I65" i="32" s="1"/>
  <c r="I84" i="32" s="1"/>
  <c r="I103" i="32" s="1"/>
  <c r="H46" i="32"/>
  <c r="G46" i="32"/>
  <c r="G65" i="32" s="1"/>
  <c r="G84" i="32" s="1"/>
  <c r="G103" i="32" s="1"/>
  <c r="F46" i="32"/>
  <c r="F65" i="32" s="1"/>
  <c r="F84" i="32" s="1"/>
  <c r="F103" i="32" s="1"/>
  <c r="E46" i="32"/>
  <c r="E65" i="32" s="1"/>
  <c r="E84" i="32" s="1"/>
  <c r="E103" i="32" s="1"/>
  <c r="N45" i="32"/>
  <c r="M45" i="32"/>
  <c r="M64" i="32" s="1"/>
  <c r="M83" i="32" s="1"/>
  <c r="M102" i="32" s="1"/>
  <c r="L45" i="32"/>
  <c r="L64" i="32" s="1"/>
  <c r="L83" i="32" s="1"/>
  <c r="L102" i="32" s="1"/>
  <c r="K45" i="32"/>
  <c r="K64" i="32" s="1"/>
  <c r="K83" i="32" s="1"/>
  <c r="K102" i="32" s="1"/>
  <c r="J45" i="32"/>
  <c r="I45" i="32"/>
  <c r="I64" i="32" s="1"/>
  <c r="I83" i="32" s="1"/>
  <c r="I102" i="32" s="1"/>
  <c r="H45" i="32"/>
  <c r="H64" i="32" s="1"/>
  <c r="H83" i="32" s="1"/>
  <c r="H102" i="32" s="1"/>
  <c r="G45" i="32"/>
  <c r="G64" i="32" s="1"/>
  <c r="G83" i="32" s="1"/>
  <c r="G102" i="32" s="1"/>
  <c r="F45" i="32"/>
  <c r="E45" i="32"/>
  <c r="E64" i="32" s="1"/>
  <c r="E83" i="32" s="1"/>
  <c r="E102" i="32" s="1"/>
  <c r="N44" i="32"/>
  <c r="N63" i="32" s="1"/>
  <c r="N82" i="32" s="1"/>
  <c r="N101" i="32" s="1"/>
  <c r="M44" i="32"/>
  <c r="M63" i="32" s="1"/>
  <c r="M82" i="32" s="1"/>
  <c r="M101" i="32" s="1"/>
  <c r="L44" i="32"/>
  <c r="K44" i="32"/>
  <c r="K63" i="32" s="1"/>
  <c r="K82" i="32" s="1"/>
  <c r="K101" i="32" s="1"/>
  <c r="J44" i="32"/>
  <c r="J63" i="32" s="1"/>
  <c r="J82" i="32" s="1"/>
  <c r="J101" i="32" s="1"/>
  <c r="I44" i="32"/>
  <c r="I63" i="32" s="1"/>
  <c r="I82" i="32" s="1"/>
  <c r="I101" i="32" s="1"/>
  <c r="H44" i="32"/>
  <c r="G44" i="32"/>
  <c r="G63" i="32" s="1"/>
  <c r="G82" i="32" s="1"/>
  <c r="G101" i="32" s="1"/>
  <c r="F44" i="32"/>
  <c r="F63" i="32" s="1"/>
  <c r="F82" i="32" s="1"/>
  <c r="F101" i="32" s="1"/>
  <c r="E44" i="32"/>
  <c r="E63" i="32" s="1"/>
  <c r="E82" i="32" s="1"/>
  <c r="E101" i="32" s="1"/>
  <c r="N43" i="32"/>
  <c r="M43" i="32"/>
  <c r="M62" i="32" s="1"/>
  <c r="M81" i="32" s="1"/>
  <c r="M100" i="32" s="1"/>
  <c r="L43" i="32"/>
  <c r="L62" i="32" s="1"/>
  <c r="L81" i="32" s="1"/>
  <c r="L100" i="32" s="1"/>
  <c r="K43" i="32"/>
  <c r="K62" i="32" s="1"/>
  <c r="K81" i="32" s="1"/>
  <c r="K100" i="32" s="1"/>
  <c r="J43" i="32"/>
  <c r="I43" i="32"/>
  <c r="I62" i="32" s="1"/>
  <c r="I81" i="32" s="1"/>
  <c r="I100" i="32" s="1"/>
  <c r="H43" i="32"/>
  <c r="H62" i="32" s="1"/>
  <c r="H81" i="32" s="1"/>
  <c r="H100" i="32" s="1"/>
  <c r="G43" i="32"/>
  <c r="G62" i="32" s="1"/>
  <c r="G81" i="32" s="1"/>
  <c r="G100" i="32" s="1"/>
  <c r="F43" i="32"/>
  <c r="E43" i="32"/>
  <c r="E62" i="32" s="1"/>
  <c r="E81" i="32" s="1"/>
  <c r="E100" i="32" s="1"/>
  <c r="N42" i="32"/>
  <c r="N61" i="32" s="1"/>
  <c r="N80" i="32" s="1"/>
  <c r="N99" i="32" s="1"/>
  <c r="M42" i="32"/>
  <c r="M61" i="32" s="1"/>
  <c r="M80" i="32" s="1"/>
  <c r="M99" i="32" s="1"/>
  <c r="L42" i="32"/>
  <c r="K42" i="32"/>
  <c r="K61" i="32" s="1"/>
  <c r="K80" i="32" s="1"/>
  <c r="K99" i="32" s="1"/>
  <c r="J42" i="32"/>
  <c r="J61" i="32" s="1"/>
  <c r="J80" i="32" s="1"/>
  <c r="J99" i="32" s="1"/>
  <c r="I42" i="32"/>
  <c r="I61" i="32" s="1"/>
  <c r="I80" i="32" s="1"/>
  <c r="I99" i="32" s="1"/>
  <c r="H42" i="32"/>
  <c r="G42" i="32"/>
  <c r="G61" i="32" s="1"/>
  <c r="G80" i="32" s="1"/>
  <c r="G99" i="32" s="1"/>
  <c r="F42" i="32"/>
  <c r="F61" i="32" s="1"/>
  <c r="F80" i="32" s="1"/>
  <c r="F99" i="32" s="1"/>
  <c r="E42" i="32"/>
  <c r="E61" i="32" s="1"/>
  <c r="E80" i="32" s="1"/>
  <c r="E99" i="32" s="1"/>
  <c r="N41" i="32"/>
  <c r="M41" i="32"/>
  <c r="M60" i="32" s="1"/>
  <c r="M79" i="32" s="1"/>
  <c r="M98" i="32" s="1"/>
  <c r="L41" i="32"/>
  <c r="L60" i="32" s="1"/>
  <c r="L79" i="32" s="1"/>
  <c r="L98" i="32" s="1"/>
  <c r="L114" i="32" s="1"/>
  <c r="K41" i="32"/>
  <c r="K60" i="32" s="1"/>
  <c r="K79" i="32" s="1"/>
  <c r="K98" i="32" s="1"/>
  <c r="J41" i="32"/>
  <c r="I41" i="32"/>
  <c r="I60" i="32" s="1"/>
  <c r="I79" i="32" s="1"/>
  <c r="I98" i="32" s="1"/>
  <c r="H41" i="32"/>
  <c r="H60" i="32" s="1"/>
  <c r="H79" i="32" s="1"/>
  <c r="H98" i="32" s="1"/>
  <c r="G41" i="32"/>
  <c r="G60" i="32" s="1"/>
  <c r="G79" i="32" s="1"/>
  <c r="G98" i="32" s="1"/>
  <c r="F41" i="32"/>
  <c r="E41" i="32"/>
  <c r="E60" i="32" s="1"/>
  <c r="E79" i="32" s="1"/>
  <c r="E98" i="32" s="1"/>
  <c r="D74" i="31"/>
  <c r="E74" i="31"/>
  <c r="F74" i="31"/>
  <c r="G74" i="31"/>
  <c r="H74" i="31"/>
  <c r="C74" i="31"/>
  <c r="N67" i="31"/>
  <c r="N68" i="31"/>
  <c r="N69" i="31"/>
  <c r="N65" i="31"/>
  <c r="I20" i="31"/>
  <c r="AI134" i="31"/>
  <c r="Z130" i="31"/>
  <c r="AI126" i="31"/>
  <c r="Z122" i="31"/>
  <c r="AL119" i="31"/>
  <c r="Z115" i="31"/>
  <c r="AI111" i="31"/>
  <c r="AM108" i="31"/>
  <c r="Z107" i="31"/>
  <c r="AM104" i="31"/>
  <c r="AO101" i="31"/>
  <c r="Z100" i="31"/>
  <c r="Z92" i="31"/>
  <c r="Z80" i="31"/>
  <c r="AM76" i="31"/>
  <c r="AL76" i="31"/>
  <c r="Z72" i="31"/>
  <c r="AI69" i="31"/>
  <c r="Z65" i="31"/>
  <c r="AI61" i="31"/>
  <c r="AH61" i="31"/>
  <c r="Z57" i="31"/>
  <c r="AM54" i="31"/>
  <c r="J52" i="31"/>
  <c r="H52" i="31"/>
  <c r="Z50" i="31"/>
  <c r="AN43" i="31"/>
  <c r="AM43" i="31"/>
  <c r="Z42" i="31"/>
  <c r="C41" i="31"/>
  <c r="AJ36" i="31"/>
  <c r="Z35" i="31"/>
  <c r="AO28" i="31"/>
  <c r="AI27" i="31"/>
  <c r="Z27" i="31"/>
  <c r="AI24" i="31"/>
  <c r="AK21" i="31"/>
  <c r="Z20" i="31"/>
  <c r="K20" i="31"/>
  <c r="J20" i="31"/>
  <c r="AO16" i="31"/>
  <c r="AN16" i="31"/>
  <c r="AM16" i="31"/>
  <c r="AM84" i="31" s="1"/>
  <c r="AL16" i="31"/>
  <c r="AL126" i="31" s="1"/>
  <c r="AK16" i="31"/>
  <c r="AJ16" i="31"/>
  <c r="AI16" i="31"/>
  <c r="AI104" i="31" s="1"/>
  <c r="AH16" i="31"/>
  <c r="AH69" i="31" s="1"/>
  <c r="AG16" i="31"/>
  <c r="AG69" i="31" s="1"/>
  <c r="AF16" i="31"/>
  <c r="AE16" i="31"/>
  <c r="AE96" i="31" s="1"/>
  <c r="AD16" i="31"/>
  <c r="AD96" i="31" s="1"/>
  <c r="AJ14" i="31"/>
  <c r="AO13" i="31"/>
  <c r="AN13" i="31"/>
  <c r="AN66" i="31" s="1"/>
  <c r="AM13" i="31"/>
  <c r="AM66" i="31" s="1"/>
  <c r="AL13" i="31"/>
  <c r="AL108" i="31" s="1"/>
  <c r="AK13" i="31"/>
  <c r="AJ13" i="31"/>
  <c r="AJ93" i="31" s="1"/>
  <c r="AI13" i="31"/>
  <c r="AI131" i="31" s="1"/>
  <c r="AH13" i="31"/>
  <c r="AH123" i="31" s="1"/>
  <c r="AG13" i="31"/>
  <c r="AF13" i="31"/>
  <c r="AF51" i="31" s="1"/>
  <c r="AE13" i="31"/>
  <c r="AD13" i="31"/>
  <c r="AD108" i="31" s="1"/>
  <c r="AN12" i="31"/>
  <c r="AN20" i="31" s="1"/>
  <c r="AM12" i="31"/>
  <c r="AM20" i="31" s="1"/>
  <c r="AL12" i="31"/>
  <c r="AL20" i="31" s="1"/>
  <c r="AK12" i="31"/>
  <c r="AK20" i="31" s="1"/>
  <c r="AK57" i="31" s="1"/>
  <c r="AJ12" i="31"/>
  <c r="AJ20" i="31" s="1"/>
  <c r="AI12" i="31"/>
  <c r="AI20" i="31" s="1"/>
  <c r="AH12" i="31"/>
  <c r="AH20" i="31" s="1"/>
  <c r="AG12" i="31"/>
  <c r="AG20" i="31" s="1"/>
  <c r="AF12" i="31"/>
  <c r="AF20" i="31" s="1"/>
  <c r="AE12" i="31"/>
  <c r="AE20" i="31" s="1"/>
  <c r="AD12" i="31"/>
  <c r="AD20" i="31" s="1"/>
  <c r="Z12" i="31"/>
  <c r="AN14" i="31" s="1"/>
  <c r="T75" i="30"/>
  <c r="T74" i="30"/>
  <c r="T73" i="30"/>
  <c r="T72" i="30"/>
  <c r="T71" i="30"/>
  <c r="S85" i="30"/>
  <c r="R85" i="30"/>
  <c r="Q85" i="30"/>
  <c r="P85" i="30"/>
  <c r="O85" i="30"/>
  <c r="N85" i="30"/>
  <c r="M85" i="30"/>
  <c r="L85" i="30"/>
  <c r="K85" i="30"/>
  <c r="J85" i="30"/>
  <c r="I85" i="30"/>
  <c r="H85" i="30"/>
  <c r="G85" i="30"/>
  <c r="F85" i="30"/>
  <c r="E85" i="30"/>
  <c r="D85" i="30"/>
  <c r="T62" i="30"/>
  <c r="T61" i="30"/>
  <c r="T60" i="30"/>
  <c r="T59" i="30"/>
  <c r="T58" i="30"/>
  <c r="F54" i="30"/>
  <c r="S49" i="30"/>
  <c r="R49" i="30"/>
  <c r="R52" i="30" s="1"/>
  <c r="Q49" i="30"/>
  <c r="Q52" i="30" s="1"/>
  <c r="P49" i="30"/>
  <c r="P52" i="30" s="1"/>
  <c r="O49" i="30"/>
  <c r="N49" i="30"/>
  <c r="N52" i="30" s="1"/>
  <c r="M49" i="30"/>
  <c r="M52" i="30" s="1"/>
  <c r="L49" i="30"/>
  <c r="L52" i="30" s="1"/>
  <c r="K49" i="30"/>
  <c r="J49" i="30"/>
  <c r="J52" i="30" s="1"/>
  <c r="I49" i="30"/>
  <c r="I52" i="30" s="1"/>
  <c r="H49" i="30"/>
  <c r="H52" i="30" s="1"/>
  <c r="G49" i="30"/>
  <c r="F49" i="30"/>
  <c r="F52" i="30" s="1"/>
  <c r="E49" i="30"/>
  <c r="E52" i="30" s="1"/>
  <c r="D49" i="30"/>
  <c r="D52" i="30" s="1"/>
  <c r="T45" i="30"/>
  <c r="T44" i="30"/>
  <c r="T43" i="30"/>
  <c r="P54" i="30" s="1"/>
  <c r="T18" i="29"/>
  <c r="T19" i="29"/>
  <c r="T20" i="29"/>
  <c r="T21" i="29"/>
  <c r="T22" i="29"/>
  <c r="T137" i="29"/>
  <c r="T110" i="29"/>
  <c r="T82" i="29"/>
  <c r="T27" i="29"/>
  <c r="U18" i="29" s="1"/>
  <c r="S27" i="29"/>
  <c r="S31" i="29" s="1"/>
  <c r="R27" i="29"/>
  <c r="Q27" i="29"/>
  <c r="P27" i="29"/>
  <c r="O27" i="29"/>
  <c r="N27" i="29"/>
  <c r="M27" i="29"/>
  <c r="M30" i="29" s="1"/>
  <c r="L27" i="29"/>
  <c r="K27" i="29"/>
  <c r="J27" i="29"/>
  <c r="I27" i="29"/>
  <c r="H27" i="29"/>
  <c r="G27" i="29"/>
  <c r="F27" i="29"/>
  <c r="E27" i="29"/>
  <c r="E32" i="29" s="1"/>
  <c r="D27" i="29"/>
  <c r="U22" i="29"/>
  <c r="Z130" i="28"/>
  <c r="Z122" i="28"/>
  <c r="Z115" i="28"/>
  <c r="Z107" i="28"/>
  <c r="Z100" i="28"/>
  <c r="Z92" i="28"/>
  <c r="Z85" i="28"/>
  <c r="Z77" i="28"/>
  <c r="Z70" i="28"/>
  <c r="Z62" i="28"/>
  <c r="J57" i="28"/>
  <c r="H57" i="28"/>
  <c r="Z55" i="28"/>
  <c r="Z47" i="28"/>
  <c r="C46" i="28"/>
  <c r="Z40" i="28"/>
  <c r="Z32" i="28"/>
  <c r="Z25" i="28"/>
  <c r="S25" i="28"/>
  <c r="R25" i="28"/>
  <c r="Q25" i="28"/>
  <c r="P25" i="28"/>
  <c r="O25" i="28"/>
  <c r="N25" i="28"/>
  <c r="M25" i="28"/>
  <c r="L25" i="28"/>
  <c r="K25" i="28"/>
  <c r="J25" i="28"/>
  <c r="I25" i="28"/>
  <c r="AO21" i="28"/>
  <c r="AO89" i="28" s="1"/>
  <c r="AN21" i="28"/>
  <c r="AM21" i="28"/>
  <c r="AM51" i="28" s="1"/>
  <c r="AL21" i="28"/>
  <c r="AK21" i="28"/>
  <c r="AK51" i="28" s="1"/>
  <c r="AJ21" i="28"/>
  <c r="AJ59" i="28" s="1"/>
  <c r="AI21" i="28"/>
  <c r="AI44" i="28" s="1"/>
  <c r="AH21" i="28"/>
  <c r="AH36" i="28" s="1"/>
  <c r="AG21" i="28"/>
  <c r="AG44" i="28" s="1"/>
  <c r="AF21" i="28"/>
  <c r="AF66" i="28" s="1"/>
  <c r="AE21" i="28"/>
  <c r="AE51" i="28" s="1"/>
  <c r="AD21" i="28"/>
  <c r="AO18" i="28"/>
  <c r="AN18" i="28"/>
  <c r="AN78" i="28" s="1"/>
  <c r="AM18" i="28"/>
  <c r="AL18" i="28"/>
  <c r="AL48" i="28" s="1"/>
  <c r="AK18" i="28"/>
  <c r="AJ18" i="28"/>
  <c r="AJ71" i="28" s="1"/>
  <c r="AI18" i="28"/>
  <c r="AH18" i="28"/>
  <c r="AH41" i="28" s="1"/>
  <c r="AH42" i="28" s="1"/>
  <c r="AG18" i="28"/>
  <c r="AG86" i="28" s="1"/>
  <c r="AF18" i="28"/>
  <c r="AF63" i="28" s="1"/>
  <c r="AE18" i="28"/>
  <c r="AE26" i="28" s="1"/>
  <c r="AD18" i="28"/>
  <c r="AD41" i="28" s="1"/>
  <c r="AN17" i="28"/>
  <c r="AN25" i="28" s="1"/>
  <c r="AN47" i="28" s="1"/>
  <c r="AM17" i="28"/>
  <c r="AM25" i="28" s="1"/>
  <c r="AL17" i="28"/>
  <c r="AL25" i="28" s="1"/>
  <c r="AK17" i="28"/>
  <c r="AK25" i="28" s="1"/>
  <c r="AJ17" i="28"/>
  <c r="AJ25" i="28" s="1"/>
  <c r="AI17" i="28"/>
  <c r="AI25" i="28" s="1"/>
  <c r="AH17" i="28"/>
  <c r="AH25" i="28" s="1"/>
  <c r="AG17" i="28"/>
  <c r="AG25" i="28" s="1"/>
  <c r="AF17" i="28"/>
  <c r="AF25" i="28" s="1"/>
  <c r="AE17" i="28"/>
  <c r="AE25" i="28" s="1"/>
  <c r="AD17" i="28"/>
  <c r="AD25" i="28" s="1"/>
  <c r="Z17" i="28"/>
  <c r="AH42" i="27"/>
  <c r="AH27" i="27"/>
  <c r="AH28" i="27"/>
  <c r="AH29" i="27"/>
  <c r="AH30" i="27"/>
  <c r="AH31" i="27"/>
  <c r="AH32" i="27"/>
  <c r="AH33" i="27"/>
  <c r="AH34" i="27"/>
  <c r="AH35" i="27"/>
  <c r="AH36" i="27"/>
  <c r="AH37" i="27"/>
  <c r="AH38" i="27"/>
  <c r="AH39" i="27"/>
  <c r="AH40" i="27"/>
  <c r="AH41" i="27"/>
  <c r="AH26" i="27"/>
  <c r="AG27" i="27"/>
  <c r="AG28" i="27"/>
  <c r="AG29" i="27"/>
  <c r="AG30" i="27"/>
  <c r="AG31" i="27"/>
  <c r="AG32" i="27"/>
  <c r="AG33" i="27"/>
  <c r="AG34" i="27"/>
  <c r="AG35" i="27"/>
  <c r="AG36" i="27"/>
  <c r="AG37" i="27"/>
  <c r="AG38" i="27"/>
  <c r="AG39" i="27"/>
  <c r="AG40" i="27"/>
  <c r="AG41" i="27"/>
  <c r="AG42" i="27"/>
  <c r="AG26" i="27"/>
  <c r="AI26" i="27" s="1"/>
  <c r="AF27" i="27"/>
  <c r="AF28" i="27"/>
  <c r="AI28" i="27" s="1"/>
  <c r="AF29" i="27"/>
  <c r="AI29" i="27" s="1"/>
  <c r="AF30" i="27"/>
  <c r="AI30" i="27" s="1"/>
  <c r="AF31" i="27"/>
  <c r="AF32" i="27"/>
  <c r="AI32" i="27" s="1"/>
  <c r="AF33" i="27"/>
  <c r="AI33" i="27" s="1"/>
  <c r="AF34" i="27"/>
  <c r="AI34" i="27" s="1"/>
  <c r="AF35" i="27"/>
  <c r="AF36" i="27"/>
  <c r="AI36" i="27" s="1"/>
  <c r="AF37" i="27"/>
  <c r="AI37" i="27" s="1"/>
  <c r="AF38" i="27"/>
  <c r="AI38" i="27" s="1"/>
  <c r="AF39" i="27"/>
  <c r="AF40" i="27"/>
  <c r="AI40" i="27" s="1"/>
  <c r="AF41" i="27"/>
  <c r="AI41" i="27" s="1"/>
  <c r="AF42" i="27"/>
  <c r="AI42" i="27" s="1"/>
  <c r="AE81" i="31" l="1"/>
  <c r="AE14" i="31"/>
  <c r="AI39" i="27"/>
  <c r="AI35" i="27"/>
  <c r="AI31" i="27"/>
  <c r="AI27" i="27"/>
  <c r="Z116" i="35"/>
  <c r="AN92" i="35"/>
  <c r="AO92" i="35" s="1"/>
  <c r="AI116" i="35"/>
  <c r="AM116" i="35" s="1"/>
  <c r="Z124" i="35"/>
  <c r="AN100" i="35"/>
  <c r="AO100" i="35" s="1"/>
  <c r="AI124" i="35"/>
  <c r="AM124" i="35" s="1"/>
  <c r="AI118" i="35"/>
  <c r="AM118" i="35" s="1"/>
  <c r="Z118" i="35"/>
  <c r="AN94" i="35"/>
  <c r="AO94" i="35" s="1"/>
  <c r="AF67" i="35"/>
  <c r="AK75" i="35"/>
  <c r="C35" i="42"/>
  <c r="M35" i="42" s="1"/>
  <c r="AF69" i="35"/>
  <c r="D116" i="35"/>
  <c r="F80" i="31"/>
  <c r="E80" i="31"/>
  <c r="C80" i="31"/>
  <c r="G80" i="31"/>
  <c r="E78" i="31"/>
  <c r="H78" i="31"/>
  <c r="C78" i="31"/>
  <c r="G78" i="31"/>
  <c r="F78" i="31"/>
  <c r="G81" i="31"/>
  <c r="F81" i="31"/>
  <c r="E81" i="31"/>
  <c r="C81" i="31"/>
  <c r="C82" i="31"/>
  <c r="G82" i="31"/>
  <c r="F82" i="31"/>
  <c r="E82" i="31"/>
  <c r="O16" i="42"/>
  <c r="AB71" i="35" s="1"/>
  <c r="O17" i="42"/>
  <c r="AB72" i="35" s="1"/>
  <c r="O21" i="42"/>
  <c r="AB76" i="35" s="1"/>
  <c r="O19" i="42"/>
  <c r="AB74" i="35" s="1"/>
  <c r="O18" i="42"/>
  <c r="AB73" i="35" s="1"/>
  <c r="O13" i="42"/>
  <c r="AB68" i="35" s="1"/>
  <c r="E211" i="39"/>
  <c r="I25" i="42" s="1"/>
  <c r="Y80" i="35" s="1"/>
  <c r="I26" i="42"/>
  <c r="Q54" i="30"/>
  <c r="T68" i="30"/>
  <c r="V80" i="35"/>
  <c r="D82" i="31"/>
  <c r="H82" i="31"/>
  <c r="D81" i="31"/>
  <c r="H81" i="31"/>
  <c r="D80" i="31"/>
  <c r="H80" i="31"/>
  <c r="D78" i="31"/>
  <c r="O10" i="42"/>
  <c r="AB65" i="35" s="1"/>
  <c r="V81" i="35"/>
  <c r="D26" i="42"/>
  <c r="O24" i="42"/>
  <c r="AB79" i="35" s="1"/>
  <c r="AK67" i="35"/>
  <c r="AH75" i="35"/>
  <c r="AE170" i="35" s="1"/>
  <c r="D79" i="31"/>
  <c r="H79" i="31"/>
  <c r="C33" i="42"/>
  <c r="K33" i="42" s="1"/>
  <c r="O11" i="42"/>
  <c r="AB66" i="35" s="1"/>
  <c r="O15" i="42"/>
  <c r="AB70" i="35" s="1"/>
  <c r="O22" i="42"/>
  <c r="AB77" i="35" s="1"/>
  <c r="C41" i="42"/>
  <c r="K41" i="42" s="1"/>
  <c r="W65" i="35"/>
  <c r="O23" i="42"/>
  <c r="AB78" i="35" s="1"/>
  <c r="E25" i="42"/>
  <c r="O9" i="42"/>
  <c r="AB64" i="35" s="1"/>
  <c r="AA60" i="35"/>
  <c r="AG51" i="28"/>
  <c r="AD73" i="31"/>
  <c r="AO51" i="28"/>
  <c r="AF66" i="31"/>
  <c r="AK19" i="28"/>
  <c r="I34" i="28"/>
  <c r="AE29" i="28"/>
  <c r="AN41" i="28"/>
  <c r="AN42" i="28" s="1"/>
  <c r="AF78" i="28"/>
  <c r="AJ41" i="28"/>
  <c r="AJ42" i="28" s="1"/>
  <c r="AE44" i="28"/>
  <c r="AD48" i="28"/>
  <c r="AO81" i="28"/>
  <c r="AM92" i="31"/>
  <c r="AM80" i="31"/>
  <c r="AM42" i="31"/>
  <c r="AM100" i="31"/>
  <c r="AM50" i="31"/>
  <c r="AM35" i="31"/>
  <c r="AL81" i="31"/>
  <c r="AL82" i="31" s="1"/>
  <c r="AI28" i="31"/>
  <c r="AL31" i="31"/>
  <c r="AM51" i="31"/>
  <c r="AM52" i="31" s="1"/>
  <c r="AH66" i="31"/>
  <c r="AL69" i="31"/>
  <c r="AI73" i="31"/>
  <c r="AM81" i="31"/>
  <c r="AL96" i="31"/>
  <c r="AI101" i="31"/>
  <c r="AI102" i="31" s="1"/>
  <c r="AM24" i="31"/>
  <c r="AJ28" i="31"/>
  <c r="AM31" i="31"/>
  <c r="AI39" i="31"/>
  <c r="AI43" i="31"/>
  <c r="AM46" i="31"/>
  <c r="AN51" i="31"/>
  <c r="AN52" i="31" s="1"/>
  <c r="AH54" i="31"/>
  <c r="AM61" i="31"/>
  <c r="AJ66" i="31"/>
  <c r="AM69" i="31"/>
  <c r="AM67" i="31" s="1"/>
  <c r="AH76" i="31"/>
  <c r="AN81" i="31"/>
  <c r="AN82" i="31" s="1"/>
  <c r="AH93" i="31"/>
  <c r="AM96" i="31"/>
  <c r="AJ101" i="31"/>
  <c r="AJ21" i="31"/>
  <c r="AJ22" i="31" s="1"/>
  <c r="AN28" i="31"/>
  <c r="AJ43" i="31"/>
  <c r="AJ44" i="31" s="1"/>
  <c r="AI54" i="31"/>
  <c r="AJ58" i="31"/>
  <c r="AI76" i="31"/>
  <c r="AM116" i="31"/>
  <c r="AI123" i="31"/>
  <c r="AF28" i="31"/>
  <c r="AF21" i="31"/>
  <c r="AF22" i="31" s="1"/>
  <c r="AF36" i="31"/>
  <c r="AF37" i="31" s="1"/>
  <c r="AF58" i="31"/>
  <c r="AF59" i="31" s="1"/>
  <c r="N25" i="33"/>
  <c r="AA59" i="35" s="1"/>
  <c r="AE36" i="31"/>
  <c r="AE21" i="31"/>
  <c r="AE22" i="31" s="1"/>
  <c r="AE28" i="31"/>
  <c r="AE58" i="31"/>
  <c r="AE59" i="31" s="1"/>
  <c r="AE73" i="31"/>
  <c r="AE31" i="31"/>
  <c r="AE111" i="31"/>
  <c r="AE119" i="31"/>
  <c r="AE39" i="31"/>
  <c r="AE84" i="31"/>
  <c r="AE126" i="31"/>
  <c r="AD119" i="31"/>
  <c r="AD39" i="31"/>
  <c r="AD111" i="31"/>
  <c r="AD84" i="31"/>
  <c r="AF41" i="28"/>
  <c r="AF42" i="28" s="1"/>
  <c r="AN48" i="28"/>
  <c r="AN49" i="28" s="1"/>
  <c r="AN63" i="28"/>
  <c r="AN64" i="28" s="1"/>
  <c r="AM29" i="28"/>
  <c r="AM44" i="28"/>
  <c r="AI29" i="28"/>
  <c r="K54" i="30"/>
  <c r="T83" i="30"/>
  <c r="T88" i="30" s="1"/>
  <c r="T87" i="30" s="1"/>
  <c r="F137" i="32"/>
  <c r="G137" i="32" s="1"/>
  <c r="H95" i="32"/>
  <c r="H94" i="32"/>
  <c r="H113" i="32" s="1"/>
  <c r="H92" i="32"/>
  <c r="H111" i="32" s="1"/>
  <c r="H88" i="32"/>
  <c r="H107" i="32" s="1"/>
  <c r="N89" i="32"/>
  <c r="N108" i="32" s="1"/>
  <c r="H82" i="32"/>
  <c r="H101" i="32" s="1"/>
  <c r="N83" i="32"/>
  <c r="N102" i="32" s="1"/>
  <c r="H90" i="32"/>
  <c r="H109" i="32" s="1"/>
  <c r="N91" i="32"/>
  <c r="N110" i="32" s="1"/>
  <c r="I114" i="32"/>
  <c r="N79" i="32"/>
  <c r="N98" i="32" s="1"/>
  <c r="H86" i="32"/>
  <c r="H105" i="32" s="1"/>
  <c r="N87" i="32"/>
  <c r="N106" i="32" s="1"/>
  <c r="J114" i="32"/>
  <c r="H80" i="32"/>
  <c r="H99" i="32" s="1"/>
  <c r="N81" i="32"/>
  <c r="N100" i="32" s="1"/>
  <c r="H84" i="32"/>
  <c r="H103" i="32" s="1"/>
  <c r="N85" i="32"/>
  <c r="N104" i="32" s="1"/>
  <c r="E114" i="32"/>
  <c r="G114" i="32"/>
  <c r="N92" i="32"/>
  <c r="N111" i="32" s="1"/>
  <c r="H93" i="32"/>
  <c r="H112" i="32" s="1"/>
  <c r="H114" i="32" s="1"/>
  <c r="F94" i="32"/>
  <c r="F113" i="32" s="1"/>
  <c r="F114" i="32" s="1"/>
  <c r="N94" i="32"/>
  <c r="N113" i="32" s="1"/>
  <c r="G93" i="32"/>
  <c r="G112" i="32" s="1"/>
  <c r="K92" i="32"/>
  <c r="K111" i="32" s="1"/>
  <c r="K114" i="32" s="1"/>
  <c r="I112" i="32"/>
  <c r="M112" i="32"/>
  <c r="M114" i="32" s="1"/>
  <c r="G94" i="32"/>
  <c r="G113" i="32" s="1"/>
  <c r="K94" i="32"/>
  <c r="K113" i="32" s="1"/>
  <c r="AF14" i="31"/>
  <c r="AI44" i="31"/>
  <c r="AG14" i="31"/>
  <c r="AI29" i="31"/>
  <c r="AM44" i="31"/>
  <c r="AN44" i="31"/>
  <c r="AD92" i="31"/>
  <c r="AD100" i="31"/>
  <c r="AD57" i="31"/>
  <c r="AD107" i="31"/>
  <c r="AD80" i="31"/>
  <c r="AD50" i="31"/>
  <c r="AD115" i="31"/>
  <c r="AD42" i="31"/>
  <c r="AD35" i="31"/>
  <c r="AD122" i="31"/>
  <c r="AD130" i="31" s="1"/>
  <c r="AD72" i="31"/>
  <c r="AD27" i="31"/>
  <c r="AD65" i="31"/>
  <c r="AH115" i="31"/>
  <c r="AH72" i="31"/>
  <c r="AH65" i="31"/>
  <c r="AH27" i="31"/>
  <c r="AH122" i="31"/>
  <c r="AH130" i="31" s="1"/>
  <c r="AH92" i="31"/>
  <c r="AH57" i="31"/>
  <c r="AH100" i="31"/>
  <c r="AH80" i="31"/>
  <c r="AH50" i="31"/>
  <c r="AH107" i="31"/>
  <c r="AH35" i="31"/>
  <c r="AH42" i="31"/>
  <c r="AL100" i="31"/>
  <c r="AL42" i="31"/>
  <c r="AL35" i="31"/>
  <c r="AL107" i="31"/>
  <c r="AL72" i="31"/>
  <c r="AL65" i="31"/>
  <c r="AL27" i="31"/>
  <c r="AL115" i="31"/>
  <c r="AL57" i="31"/>
  <c r="AL122" i="31"/>
  <c r="AL130" i="31" s="1"/>
  <c r="AL80" i="31"/>
  <c r="AL92" i="31"/>
  <c r="AL50" i="31"/>
  <c r="AJ92" i="31"/>
  <c r="AJ57" i="31"/>
  <c r="AJ35" i="31"/>
  <c r="AJ122" i="31"/>
  <c r="AJ130" i="31" s="1"/>
  <c r="AJ100" i="31"/>
  <c r="AJ80" i="31"/>
  <c r="AJ50" i="31"/>
  <c r="AJ42" i="31"/>
  <c r="AJ107" i="31"/>
  <c r="AJ72" i="31"/>
  <c r="AJ115" i="31"/>
  <c r="AJ65" i="31"/>
  <c r="AJ27" i="31"/>
  <c r="AF134" i="31"/>
  <c r="AF126" i="31"/>
  <c r="AF119" i="31"/>
  <c r="AF111" i="31"/>
  <c r="AF96" i="31"/>
  <c r="AF84" i="31"/>
  <c r="AF76" i="31"/>
  <c r="AF69" i="31"/>
  <c r="AF61" i="31"/>
  <c r="AF54" i="31"/>
  <c r="AF24" i="31"/>
  <c r="AF39" i="31"/>
  <c r="AF46" i="31"/>
  <c r="AF31" i="31"/>
  <c r="AF104" i="31"/>
  <c r="AJ134" i="31"/>
  <c r="AJ126" i="31"/>
  <c r="AJ119" i="31"/>
  <c r="AJ111" i="31"/>
  <c r="AJ96" i="31"/>
  <c r="AJ76" i="31"/>
  <c r="AJ69" i="31"/>
  <c r="AJ104" i="31"/>
  <c r="AJ61" i="31"/>
  <c r="AJ59" i="31" s="1"/>
  <c r="AJ54" i="31"/>
  <c r="AJ24" i="31"/>
  <c r="AJ39" i="31"/>
  <c r="AJ46" i="31"/>
  <c r="AJ84" i="31"/>
  <c r="AJ31" i="31"/>
  <c r="AN134" i="31"/>
  <c r="AN126" i="31"/>
  <c r="AN119" i="31"/>
  <c r="AN111" i="31"/>
  <c r="AN96" i="31"/>
  <c r="AN104" i="31"/>
  <c r="AN76" i="31"/>
  <c r="AN69" i="31"/>
  <c r="AN46" i="31"/>
  <c r="AN31" i="31"/>
  <c r="AN29" i="31" s="1"/>
  <c r="AN84" i="31"/>
  <c r="AN61" i="31"/>
  <c r="AN54" i="31"/>
  <c r="AN39" i="31"/>
  <c r="AL22" i="31"/>
  <c r="AN24" i="31"/>
  <c r="AM117" i="31"/>
  <c r="Z137" i="31"/>
  <c r="AE122" i="31"/>
  <c r="AE130" i="31" s="1"/>
  <c r="AE115" i="31"/>
  <c r="AE107" i="31"/>
  <c r="AE72" i="31"/>
  <c r="AE65" i="31"/>
  <c r="AE80" i="31"/>
  <c r="AE50" i="31"/>
  <c r="AE42" i="31"/>
  <c r="AE35" i="31"/>
  <c r="AI122" i="31"/>
  <c r="AI130" i="31" s="1"/>
  <c r="AI115" i="31"/>
  <c r="AI107" i="31"/>
  <c r="AI92" i="31"/>
  <c r="AI72" i="31"/>
  <c r="AI65" i="31"/>
  <c r="AI57" i="31"/>
  <c r="AI100" i="31"/>
  <c r="AI80" i="31"/>
  <c r="AI50" i="31"/>
  <c r="AI42" i="31"/>
  <c r="AI35" i="31"/>
  <c r="I29" i="31"/>
  <c r="AG84" i="31"/>
  <c r="AG61" i="31"/>
  <c r="AG54" i="31"/>
  <c r="AG39" i="31"/>
  <c r="AG31" i="31"/>
  <c r="AG111" i="31"/>
  <c r="AG119" i="31"/>
  <c r="AG46" i="31"/>
  <c r="AG126" i="31"/>
  <c r="AG104" i="31"/>
  <c r="AG96" i="31"/>
  <c r="AG94" i="31" s="1"/>
  <c r="AK84" i="31"/>
  <c r="AK96" i="31"/>
  <c r="AK61" i="31"/>
  <c r="AK54" i="31"/>
  <c r="AK39" i="31"/>
  <c r="AK31" i="31"/>
  <c r="AK126" i="31"/>
  <c r="AK104" i="31"/>
  <c r="AK76" i="31"/>
  <c r="AK69" i="31"/>
  <c r="AK24" i="31"/>
  <c r="AK134" i="31"/>
  <c r="AK111" i="31"/>
  <c r="AK46" i="31"/>
  <c r="AO84" i="31"/>
  <c r="AO61" i="31"/>
  <c r="AO54" i="31"/>
  <c r="AO39" i="31"/>
  <c r="AO31" i="31"/>
  <c r="AO111" i="31"/>
  <c r="AO119" i="31"/>
  <c r="AO96" i="31"/>
  <c r="AO76" i="31"/>
  <c r="AO69" i="31"/>
  <c r="AO24" i="31"/>
  <c r="AO126" i="31"/>
  <c r="AO104" i="31"/>
  <c r="AF92" i="31"/>
  <c r="AF122" i="31"/>
  <c r="AF130" i="31" s="1"/>
  <c r="AF115" i="31"/>
  <c r="AF107" i="31"/>
  <c r="AF100" i="31"/>
  <c r="AF57" i="31"/>
  <c r="AF35" i="31"/>
  <c r="AF42" i="31"/>
  <c r="AF27" i="31"/>
  <c r="AF72" i="31"/>
  <c r="AF65" i="31"/>
  <c r="AG24" i="31"/>
  <c r="AG37" i="31"/>
  <c r="AO46" i="31"/>
  <c r="AE57" i="31"/>
  <c r="AE92" i="31"/>
  <c r="AE100" i="31"/>
  <c r="AG134" i="31"/>
  <c r="AN92" i="31"/>
  <c r="AN57" i="31"/>
  <c r="AN35" i="31"/>
  <c r="AN107" i="31"/>
  <c r="AN72" i="31"/>
  <c r="AN65" i="31"/>
  <c r="AN115" i="31"/>
  <c r="AN80" i="31"/>
  <c r="AN50" i="31"/>
  <c r="AN122" i="31"/>
  <c r="AN130" i="31" s="1"/>
  <c r="AN100" i="31"/>
  <c r="AN42" i="31"/>
  <c r="AG93" i="31"/>
  <c r="AG58" i="31"/>
  <c r="AG59" i="31" s="1"/>
  <c r="AG123" i="31"/>
  <c r="AG124" i="31" s="1"/>
  <c r="AG101" i="31"/>
  <c r="AG66" i="31"/>
  <c r="AG28" i="31"/>
  <c r="AG131" i="31"/>
  <c r="AG73" i="31"/>
  <c r="AG36" i="31"/>
  <c r="AG21" i="31"/>
  <c r="AG22" i="31" s="1"/>
  <c r="AG108" i="31"/>
  <c r="AG81" i="31"/>
  <c r="AG82" i="31" s="1"/>
  <c r="AG51" i="31"/>
  <c r="AK93" i="31"/>
  <c r="AJ94" i="31" s="1"/>
  <c r="AK81" i="31"/>
  <c r="AK131" i="31"/>
  <c r="AJ132" i="31" s="1"/>
  <c r="AK123" i="31"/>
  <c r="AK116" i="31"/>
  <c r="AK108" i="31"/>
  <c r="AK101" i="31"/>
  <c r="AJ102" i="31" s="1"/>
  <c r="AK58" i="31"/>
  <c r="AK43" i="31"/>
  <c r="AK44" i="31" s="1"/>
  <c r="AK66" i="31"/>
  <c r="AK28" i="31"/>
  <c r="AJ29" i="31" s="1"/>
  <c r="AK73" i="31"/>
  <c r="AK36" i="31"/>
  <c r="AJ37" i="31" s="1"/>
  <c r="AO93" i="31"/>
  <c r="AO81" i="31"/>
  <c r="AO58" i="31"/>
  <c r="AO131" i="31"/>
  <c r="AO51" i="31"/>
  <c r="AO108" i="31"/>
  <c r="AO43" i="31"/>
  <c r="AO116" i="31"/>
  <c r="AO66" i="31"/>
  <c r="AG100" i="31"/>
  <c r="AG80" i="31"/>
  <c r="AG50" i="31"/>
  <c r="AG42" i="31"/>
  <c r="AG27" i="31"/>
  <c r="AG107" i="31"/>
  <c r="AG35" i="31"/>
  <c r="AG115" i="31"/>
  <c r="AG72" i="31"/>
  <c r="AG65" i="31"/>
  <c r="AG122" i="31"/>
  <c r="AG130" i="31" s="1"/>
  <c r="AG92" i="31"/>
  <c r="AG57" i="31"/>
  <c r="AO21" i="31"/>
  <c r="AN27" i="31"/>
  <c r="AG76" i="31"/>
  <c r="AF80" i="31"/>
  <c r="H99" i="31"/>
  <c r="D99" i="31"/>
  <c r="AG116" i="31"/>
  <c r="AO123" i="31"/>
  <c r="AM14" i="31"/>
  <c r="AI14" i="31"/>
  <c r="AL14" i="31"/>
  <c r="AH14" i="31"/>
  <c r="AD14" i="31"/>
  <c r="AK100" i="31"/>
  <c r="AK122" i="31"/>
  <c r="AK130" i="31" s="1"/>
  <c r="AK115" i="31"/>
  <c r="AK107" i="31"/>
  <c r="AK80" i="31"/>
  <c r="AK50" i="31"/>
  <c r="AK42" i="31"/>
  <c r="AK27" i="31"/>
  <c r="AK92" i="31"/>
  <c r="AK35" i="31"/>
  <c r="AK72" i="31"/>
  <c r="AK65" i="31"/>
  <c r="AD101" i="31"/>
  <c r="AD93" i="31"/>
  <c r="AD51" i="31"/>
  <c r="AD43" i="31"/>
  <c r="AD36" i="31"/>
  <c r="AD28" i="31"/>
  <c r="AD21" i="31"/>
  <c r="AD116" i="31"/>
  <c r="AD81" i="31"/>
  <c r="AD58" i="31"/>
  <c r="AD123" i="31"/>
  <c r="AD131" i="31"/>
  <c r="AD66" i="31"/>
  <c r="AH101" i="31"/>
  <c r="AH51" i="31"/>
  <c r="AH43" i="31"/>
  <c r="AH36" i="31"/>
  <c r="AH28" i="31"/>
  <c r="AH21" i="31"/>
  <c r="AH131" i="31"/>
  <c r="AH73" i="31"/>
  <c r="AH74" i="31" s="1"/>
  <c r="AH108" i="31"/>
  <c r="AH81" i="31"/>
  <c r="AH58" i="31"/>
  <c r="AH59" i="31" s="1"/>
  <c r="AH116" i="31"/>
  <c r="AL101" i="31"/>
  <c r="AL51" i="31"/>
  <c r="AL43" i="31"/>
  <c r="AL36" i="31"/>
  <c r="AL28" i="31"/>
  <c r="AL29" i="31" s="1"/>
  <c r="AL21" i="31"/>
  <c r="AK22" i="31" s="1"/>
  <c r="AL116" i="31"/>
  <c r="AL117" i="31" s="1"/>
  <c r="AL66" i="31"/>
  <c r="AL123" i="31"/>
  <c r="AL93" i="31"/>
  <c r="AL73" i="31"/>
  <c r="AL131" i="31"/>
  <c r="AL58" i="31"/>
  <c r="AK59" i="31" s="1"/>
  <c r="AK14" i="31"/>
  <c r="AE27" i="31"/>
  <c r="AO36" i="31"/>
  <c r="AG43" i="31"/>
  <c r="AF50" i="31"/>
  <c r="AK51" i="31"/>
  <c r="AK52" i="31" s="1"/>
  <c r="AO73" i="31"/>
  <c r="AK119" i="31"/>
  <c r="AO134" i="31"/>
  <c r="AG109" i="31"/>
  <c r="AE131" i="31"/>
  <c r="AE123" i="31"/>
  <c r="AE116" i="31"/>
  <c r="AE108" i="31"/>
  <c r="AE66" i="31"/>
  <c r="AI93" i="31"/>
  <c r="AH94" i="31" s="1"/>
  <c r="AI66" i="31"/>
  <c r="AD104" i="31"/>
  <c r="AH104" i="31"/>
  <c r="AH134" i="31"/>
  <c r="AH126" i="31"/>
  <c r="AH119" i="31"/>
  <c r="AH111" i="31"/>
  <c r="AH46" i="31"/>
  <c r="AH24" i="31"/>
  <c r="AL104" i="31"/>
  <c r="AL84" i="31"/>
  <c r="AL46" i="31"/>
  <c r="AL24" i="31"/>
  <c r="AM122" i="31"/>
  <c r="AM130" i="31" s="1"/>
  <c r="AM115" i="31"/>
  <c r="AM107" i="31"/>
  <c r="AM72" i="31"/>
  <c r="AM65" i="31"/>
  <c r="AM21" i="31"/>
  <c r="AH31" i="31"/>
  <c r="AM36" i="31"/>
  <c r="AM37" i="31" s="1"/>
  <c r="AL39" i="31"/>
  <c r="AE43" i="31"/>
  <c r="AE44" i="31" s="1"/>
  <c r="AI51" i="31"/>
  <c r="AI52" i="31" s="1"/>
  <c r="AM57" i="31"/>
  <c r="AM58" i="31"/>
  <c r="AD69" i="31"/>
  <c r="AD76" i="31"/>
  <c r="AH84" i="31"/>
  <c r="AE93" i="31"/>
  <c r="AH96" i="31"/>
  <c r="AE101" i="31"/>
  <c r="AM101" i="31"/>
  <c r="AM102" i="31" s="1"/>
  <c r="AL111" i="31"/>
  <c r="AL109" i="31" s="1"/>
  <c r="AI116" i="31"/>
  <c r="AM131" i="31"/>
  <c r="AM132" i="31" s="1"/>
  <c r="AD134" i="31"/>
  <c r="AF131" i="31"/>
  <c r="AF123" i="31"/>
  <c r="AF116" i="31"/>
  <c r="AF108" i="31"/>
  <c r="AF101" i="31"/>
  <c r="AF81" i="31"/>
  <c r="AF82" i="31" s="1"/>
  <c r="AF73" i="31"/>
  <c r="AJ131" i="31"/>
  <c r="AI132" i="31" s="1"/>
  <c r="AJ123" i="31"/>
  <c r="AJ124" i="31" s="1"/>
  <c r="AJ116" i="31"/>
  <c r="AJ108" i="31"/>
  <c r="AJ109" i="31" s="1"/>
  <c r="AJ81" i="31"/>
  <c r="AJ82" i="31" s="1"/>
  <c r="AJ73" i="31"/>
  <c r="AJ74" i="31" s="1"/>
  <c r="AN131" i="31"/>
  <c r="AN132" i="31" s="1"/>
  <c r="AN123" i="31"/>
  <c r="AN124" i="31" s="1"/>
  <c r="AN116" i="31"/>
  <c r="AN117" i="31" s="1"/>
  <c r="AN108" i="31"/>
  <c r="AM109" i="31" s="1"/>
  <c r="AN93" i="31"/>
  <c r="AN94" i="31" s="1"/>
  <c r="AN73" i="31"/>
  <c r="AN74" i="31" s="1"/>
  <c r="AM134" i="31"/>
  <c r="AM126" i="31"/>
  <c r="AM119" i="31"/>
  <c r="AM111" i="31"/>
  <c r="AI21" i="31"/>
  <c r="AN21" i="31"/>
  <c r="AN22" i="31" s="1"/>
  <c r="AM27" i="31"/>
  <c r="AM28" i="31"/>
  <c r="AD31" i="31"/>
  <c r="AI31" i="31"/>
  <c r="AI36" i="31"/>
  <c r="AI37" i="31" s="1"/>
  <c r="AN36" i="31"/>
  <c r="AH39" i="31"/>
  <c r="AM39" i="31"/>
  <c r="AF43" i="31"/>
  <c r="AF44" i="31" s="1"/>
  <c r="AI46" i="31"/>
  <c r="AE51" i="31"/>
  <c r="AE52" i="31" s="1"/>
  <c r="AJ51" i="31"/>
  <c r="AL54" i="31"/>
  <c r="AI58" i="31"/>
  <c r="AI59" i="31" s="1"/>
  <c r="AN58" i="31"/>
  <c r="AN59" i="31" s="1"/>
  <c r="AL59" i="31"/>
  <c r="AL61" i="31"/>
  <c r="AG67" i="31"/>
  <c r="AI67" i="31"/>
  <c r="AN67" i="31"/>
  <c r="AE69" i="31"/>
  <c r="AM73" i="31"/>
  <c r="AM74" i="31" s="1"/>
  <c r="AE76" i="31"/>
  <c r="AI81" i="31"/>
  <c r="AI84" i="31"/>
  <c r="AK94" i="31"/>
  <c r="AF93" i="31"/>
  <c r="AM93" i="31"/>
  <c r="AM94" i="31" s="1"/>
  <c r="AI96" i="31"/>
  <c r="AN101" i="31"/>
  <c r="AE104" i="31"/>
  <c r="AI108" i="31"/>
  <c r="AI119" i="31"/>
  <c r="AI124" i="31"/>
  <c r="AH124" i="31"/>
  <c r="AM123" i="31"/>
  <c r="AM124" i="31" s="1"/>
  <c r="AD126" i="31"/>
  <c r="AE134" i="31"/>
  <c r="AL134" i="31"/>
  <c r="AG44" i="31"/>
  <c r="AF52" i="31"/>
  <c r="AJ52" i="31"/>
  <c r="AM82" i="31"/>
  <c r="G54" i="30"/>
  <c r="M54" i="30"/>
  <c r="R54" i="30"/>
  <c r="T49" i="30"/>
  <c r="U45" i="30" s="1"/>
  <c r="I54" i="30"/>
  <c r="N54" i="30"/>
  <c r="S54" i="30"/>
  <c r="E54" i="30"/>
  <c r="J54" i="30"/>
  <c r="O54" i="30"/>
  <c r="K52" i="30"/>
  <c r="S52" i="30"/>
  <c r="T77" i="30"/>
  <c r="T85" i="30"/>
  <c r="D93" i="30" s="1"/>
  <c r="G52" i="30"/>
  <c r="O52" i="30"/>
  <c r="D54" i="30"/>
  <c r="H54" i="30"/>
  <c r="L54" i="30"/>
  <c r="U19" i="29"/>
  <c r="U21" i="29"/>
  <c r="S32" i="29"/>
  <c r="S33" i="29"/>
  <c r="S45" i="29" s="1"/>
  <c r="S52" i="29" s="1"/>
  <c r="U20" i="29"/>
  <c r="E44" i="29" s="1"/>
  <c r="E51" i="29" s="1"/>
  <c r="S30" i="29"/>
  <c r="S34" i="29"/>
  <c r="S46" i="29" s="1"/>
  <c r="S53" i="29" s="1"/>
  <c r="S42" i="29"/>
  <c r="S49" i="29" s="1"/>
  <c r="M42" i="29"/>
  <c r="M49" i="29" s="1"/>
  <c r="G34" i="29"/>
  <c r="G46" i="29" s="1"/>
  <c r="G53" i="29" s="1"/>
  <c r="G33" i="29"/>
  <c r="G45" i="29" s="1"/>
  <c r="G52" i="29" s="1"/>
  <c r="G32" i="29"/>
  <c r="G31" i="29"/>
  <c r="G43" i="29" s="1"/>
  <c r="G50" i="29" s="1"/>
  <c r="G30" i="29"/>
  <c r="G42" i="29" s="1"/>
  <c r="G49" i="29" s="1"/>
  <c r="K34" i="29"/>
  <c r="K46" i="29" s="1"/>
  <c r="K53" i="29" s="1"/>
  <c r="K33" i="29"/>
  <c r="K45" i="29" s="1"/>
  <c r="K52" i="29" s="1"/>
  <c r="K32" i="29"/>
  <c r="K31" i="29"/>
  <c r="K30" i="29"/>
  <c r="K42" i="29" s="1"/>
  <c r="K49" i="29" s="1"/>
  <c r="O34" i="29"/>
  <c r="O46" i="29" s="1"/>
  <c r="O53" i="29" s="1"/>
  <c r="O33" i="29"/>
  <c r="O45" i="29" s="1"/>
  <c r="O52" i="29" s="1"/>
  <c r="O32" i="29"/>
  <c r="O31" i="29"/>
  <c r="O30" i="29"/>
  <c r="O42" i="29" s="1"/>
  <c r="O49" i="29" s="1"/>
  <c r="L63" i="29"/>
  <c r="L67" i="29" s="1"/>
  <c r="H63" i="29"/>
  <c r="H67" i="29" s="1"/>
  <c r="D63" i="29"/>
  <c r="D67" i="29" s="1"/>
  <c r="R63" i="29"/>
  <c r="R67" i="29" s="1"/>
  <c r="N63" i="29"/>
  <c r="N67" i="29" s="1"/>
  <c r="J63" i="29"/>
  <c r="J67" i="29" s="1"/>
  <c r="F63" i="29"/>
  <c r="F67" i="29" s="1"/>
  <c r="Q63" i="29"/>
  <c r="Q67" i="29" s="1"/>
  <c r="G63" i="29"/>
  <c r="G67" i="29" s="1"/>
  <c r="S43" i="29"/>
  <c r="S50" i="29" s="1"/>
  <c r="K43" i="29"/>
  <c r="K50" i="29" s="1"/>
  <c r="O43" i="29"/>
  <c r="O50" i="29" s="1"/>
  <c r="E34" i="29"/>
  <c r="E46" i="29" s="1"/>
  <c r="E53" i="29" s="1"/>
  <c r="E33" i="29"/>
  <c r="E45" i="29" s="1"/>
  <c r="E52" i="29" s="1"/>
  <c r="I34" i="29"/>
  <c r="I46" i="29" s="1"/>
  <c r="I53" i="29" s="1"/>
  <c r="I33" i="29"/>
  <c r="I45" i="29" s="1"/>
  <c r="I52" i="29" s="1"/>
  <c r="I32" i="29"/>
  <c r="I31" i="29"/>
  <c r="I43" i="29" s="1"/>
  <c r="I50" i="29" s="1"/>
  <c r="M34" i="29"/>
  <c r="M46" i="29" s="1"/>
  <c r="M53" i="29" s="1"/>
  <c r="M33" i="29"/>
  <c r="M45" i="29" s="1"/>
  <c r="M52" i="29" s="1"/>
  <c r="M32" i="29"/>
  <c r="Q34" i="29"/>
  <c r="Q46" i="29" s="1"/>
  <c r="Q53" i="29" s="1"/>
  <c r="Q33" i="29"/>
  <c r="Q45" i="29" s="1"/>
  <c r="Q52" i="29" s="1"/>
  <c r="Q32" i="29"/>
  <c r="Q31" i="29"/>
  <c r="Q43" i="29" s="1"/>
  <c r="Q50" i="29" s="1"/>
  <c r="Q30" i="29"/>
  <c r="Q42" i="29" s="1"/>
  <c r="Q49" i="29" s="1"/>
  <c r="E30" i="29"/>
  <c r="E42" i="29" s="1"/>
  <c r="E49" i="29" s="1"/>
  <c r="E31" i="29"/>
  <c r="E43" i="29" s="1"/>
  <c r="E50" i="29" s="1"/>
  <c r="I30" i="29"/>
  <c r="I42" i="29" s="1"/>
  <c r="I49" i="29" s="1"/>
  <c r="M31" i="29"/>
  <c r="M43" i="29" s="1"/>
  <c r="M50" i="29" s="1"/>
  <c r="F34" i="29"/>
  <c r="F46" i="29" s="1"/>
  <c r="F53" i="29" s="1"/>
  <c r="F33" i="29"/>
  <c r="F45" i="29" s="1"/>
  <c r="F52" i="29" s="1"/>
  <c r="F32" i="29"/>
  <c r="F31" i="29"/>
  <c r="F43" i="29" s="1"/>
  <c r="F50" i="29" s="1"/>
  <c r="F30" i="29"/>
  <c r="F42" i="29" s="1"/>
  <c r="F49" i="29" s="1"/>
  <c r="J34" i="29"/>
  <c r="J46" i="29" s="1"/>
  <c r="J53" i="29" s="1"/>
  <c r="J33" i="29"/>
  <c r="J45" i="29" s="1"/>
  <c r="J52" i="29" s="1"/>
  <c r="J32" i="29"/>
  <c r="J31" i="29"/>
  <c r="J43" i="29" s="1"/>
  <c r="J50" i="29" s="1"/>
  <c r="J30" i="29"/>
  <c r="J42" i="29" s="1"/>
  <c r="J49" i="29" s="1"/>
  <c r="N34" i="29"/>
  <c r="N46" i="29" s="1"/>
  <c r="N53" i="29" s="1"/>
  <c r="N33" i="29"/>
  <c r="N45" i="29" s="1"/>
  <c r="N52" i="29" s="1"/>
  <c r="N32" i="29"/>
  <c r="N31" i="29"/>
  <c r="N43" i="29" s="1"/>
  <c r="N50" i="29" s="1"/>
  <c r="N30" i="29"/>
  <c r="N42" i="29" s="1"/>
  <c r="N49" i="29" s="1"/>
  <c r="R34" i="29"/>
  <c r="R46" i="29" s="1"/>
  <c r="R53" i="29" s="1"/>
  <c r="R33" i="29"/>
  <c r="R45" i="29" s="1"/>
  <c r="R52" i="29" s="1"/>
  <c r="R32" i="29"/>
  <c r="R31" i="29"/>
  <c r="R43" i="29" s="1"/>
  <c r="R50" i="29" s="1"/>
  <c r="R30" i="29"/>
  <c r="R42" i="29" s="1"/>
  <c r="R49" i="29" s="1"/>
  <c r="D34" i="29"/>
  <c r="D46" i="29" s="1"/>
  <c r="D53" i="29" s="1"/>
  <c r="D33" i="29"/>
  <c r="D45" i="29" s="1"/>
  <c r="D52" i="29" s="1"/>
  <c r="D32" i="29"/>
  <c r="D31" i="29"/>
  <c r="D43" i="29" s="1"/>
  <c r="D50" i="29" s="1"/>
  <c r="D30" i="29"/>
  <c r="D42" i="29" s="1"/>
  <c r="D49" i="29" s="1"/>
  <c r="H34" i="29"/>
  <c r="H46" i="29" s="1"/>
  <c r="H53" i="29" s="1"/>
  <c r="H33" i="29"/>
  <c r="H45" i="29" s="1"/>
  <c r="H52" i="29" s="1"/>
  <c r="H32" i="29"/>
  <c r="H31" i="29"/>
  <c r="H43" i="29" s="1"/>
  <c r="H50" i="29" s="1"/>
  <c r="H30" i="29"/>
  <c r="H42" i="29" s="1"/>
  <c r="H49" i="29" s="1"/>
  <c r="L34" i="29"/>
  <c r="L46" i="29" s="1"/>
  <c r="L53" i="29" s="1"/>
  <c r="L33" i="29"/>
  <c r="L45" i="29" s="1"/>
  <c r="L52" i="29" s="1"/>
  <c r="L32" i="29"/>
  <c r="L31" i="29"/>
  <c r="L43" i="29" s="1"/>
  <c r="L50" i="29" s="1"/>
  <c r="L30" i="29"/>
  <c r="L42" i="29" s="1"/>
  <c r="L49" i="29" s="1"/>
  <c r="P34" i="29"/>
  <c r="P46" i="29" s="1"/>
  <c r="P53" i="29" s="1"/>
  <c r="P33" i="29"/>
  <c r="P45" i="29" s="1"/>
  <c r="P52" i="29" s="1"/>
  <c r="P32" i="29"/>
  <c r="P31" i="29"/>
  <c r="P43" i="29" s="1"/>
  <c r="P50" i="29" s="1"/>
  <c r="P30" i="29"/>
  <c r="P42" i="29" s="1"/>
  <c r="P49" i="29" s="1"/>
  <c r="AL19" i="28"/>
  <c r="AH19" i="28"/>
  <c r="AD122" i="28"/>
  <c r="AD130" i="28" s="1"/>
  <c r="AD115" i="28"/>
  <c r="AD107" i="28"/>
  <c r="AD100" i="28"/>
  <c r="AD77" i="28"/>
  <c r="AD70" i="28"/>
  <c r="AD62" i="28"/>
  <c r="AD92" i="28"/>
  <c r="AD85" i="28"/>
  <c r="AD55" i="28"/>
  <c r="AD47" i="28"/>
  <c r="AD32" i="28"/>
  <c r="AD40" i="28"/>
  <c r="AH122" i="28"/>
  <c r="AH130" i="28" s="1"/>
  <c r="AH115" i="28"/>
  <c r="AH107" i="28"/>
  <c r="AH100" i="28"/>
  <c r="AH92" i="28"/>
  <c r="AH85" i="28"/>
  <c r="AH77" i="28"/>
  <c r="AH70" i="28"/>
  <c r="AH62" i="28"/>
  <c r="AH55" i="28"/>
  <c r="AH47" i="28"/>
  <c r="AH32" i="28"/>
  <c r="AH40" i="28"/>
  <c r="AL122" i="28"/>
  <c r="AL130" i="28" s="1"/>
  <c r="AL115" i="28"/>
  <c r="AL107" i="28"/>
  <c r="AL100" i="28"/>
  <c r="AL77" i="28"/>
  <c r="AL70" i="28"/>
  <c r="AL62" i="28"/>
  <c r="AL92" i="28"/>
  <c r="AL85" i="28"/>
  <c r="AL55" i="28"/>
  <c r="AL47" i="28"/>
  <c r="AL32" i="28"/>
  <c r="AL40" i="28"/>
  <c r="AI131" i="28"/>
  <c r="AI123" i="28"/>
  <c r="AI116" i="28"/>
  <c r="AI108" i="28"/>
  <c r="AI101" i="28"/>
  <c r="AI78" i="28"/>
  <c r="AI79" i="28" s="1"/>
  <c r="AI71" i="28"/>
  <c r="AI72" i="28" s="1"/>
  <c r="AI63" i="28"/>
  <c r="AI64" i="28" s="1"/>
  <c r="AI86" i="28"/>
  <c r="AI87" i="28" s="1"/>
  <c r="AI41" i="28"/>
  <c r="AI42" i="28" s="1"/>
  <c r="AI19" i="28"/>
  <c r="AI93" i="28"/>
  <c r="AI56" i="28"/>
  <c r="AI57" i="28" s="1"/>
  <c r="AF122" i="28"/>
  <c r="AF130" i="28" s="1"/>
  <c r="AF115" i="28"/>
  <c r="AF107" i="28"/>
  <c r="AF100" i="28"/>
  <c r="AF77" i="28"/>
  <c r="AF70" i="28"/>
  <c r="AF62" i="28"/>
  <c r="AF92" i="28"/>
  <c r="AF85" i="28"/>
  <c r="AF55" i="28"/>
  <c r="AF40" i="28"/>
  <c r="AF32" i="28"/>
  <c r="AJ122" i="28"/>
  <c r="AJ130" i="28" s="1"/>
  <c r="AJ115" i="28"/>
  <c r="AJ107" i="28"/>
  <c r="AJ100" i="28"/>
  <c r="AJ77" i="28"/>
  <c r="AJ70" i="28"/>
  <c r="AJ62" i="28"/>
  <c r="AJ92" i="28"/>
  <c r="AJ85" i="28"/>
  <c r="AJ55" i="28"/>
  <c r="AJ40" i="28"/>
  <c r="AJ32" i="28"/>
  <c r="AN122" i="28"/>
  <c r="AN130" i="28" s="1"/>
  <c r="AN115" i="28"/>
  <c r="AN107" i="28"/>
  <c r="AN100" i="28"/>
  <c r="AN92" i="28"/>
  <c r="AN85" i="28"/>
  <c r="AN77" i="28"/>
  <c r="AN70" i="28"/>
  <c r="AN62" i="28"/>
  <c r="AN55" i="28"/>
  <c r="AN40" i="28"/>
  <c r="AN32" i="28"/>
  <c r="AF47" i="28"/>
  <c r="AI48" i="28"/>
  <c r="AI49" i="28" s="1"/>
  <c r="AE131" i="28"/>
  <c r="AE123" i="28"/>
  <c r="AE116" i="28"/>
  <c r="AE108" i="28"/>
  <c r="AE101" i="28"/>
  <c r="AE86" i="28"/>
  <c r="AE78" i="28"/>
  <c r="AE71" i="28"/>
  <c r="AE63" i="28"/>
  <c r="AE64" i="28" s="1"/>
  <c r="AE93" i="28"/>
  <c r="AE48" i="28"/>
  <c r="AE49" i="28" s="1"/>
  <c r="AE41" i="28"/>
  <c r="AE19" i="28"/>
  <c r="AE56" i="28"/>
  <c r="AE57" i="28" s="1"/>
  <c r="AM131" i="28"/>
  <c r="AM123" i="28"/>
  <c r="AM116" i="28"/>
  <c r="AM117" i="28" s="1"/>
  <c r="AM108" i="28"/>
  <c r="AM109" i="28" s="1"/>
  <c r="AM101" i="28"/>
  <c r="AM102" i="28" s="1"/>
  <c r="AM86" i="28"/>
  <c r="AM87" i="28" s="1"/>
  <c r="AM78" i="28"/>
  <c r="AM79" i="28" s="1"/>
  <c r="AM71" i="28"/>
  <c r="AM72" i="28" s="1"/>
  <c r="AM63" i="28"/>
  <c r="AM64" i="28" s="1"/>
  <c r="AM93" i="28"/>
  <c r="AM94" i="28" s="1"/>
  <c r="AM48" i="28"/>
  <c r="AM49" i="28" s="1"/>
  <c r="AM41" i="28"/>
  <c r="AM42" i="28" s="1"/>
  <c r="AM19" i="28"/>
  <c r="AM56" i="28"/>
  <c r="AM57" i="28" s="1"/>
  <c r="AM26" i="28"/>
  <c r="AM27" i="28" s="1"/>
  <c r="AG55" i="28"/>
  <c r="AG122" i="28"/>
  <c r="AG130" i="28" s="1"/>
  <c r="AG115" i="28"/>
  <c r="AG107" i="28"/>
  <c r="AG100" i="28"/>
  <c r="AG77" i="28"/>
  <c r="AG70" i="28"/>
  <c r="AG62" i="28"/>
  <c r="AG47" i="28"/>
  <c r="AG40" i="28"/>
  <c r="AG32" i="28"/>
  <c r="AG92" i="28"/>
  <c r="AG85" i="28"/>
  <c r="AK55" i="28"/>
  <c r="AK122" i="28"/>
  <c r="AK130" i="28" s="1"/>
  <c r="AK115" i="28"/>
  <c r="AK107" i="28"/>
  <c r="AK100" i="28"/>
  <c r="AK92" i="28"/>
  <c r="AK85" i="28"/>
  <c r="AK77" i="28"/>
  <c r="AK70" i="28"/>
  <c r="AK62" i="28"/>
  <c r="AK47" i="28"/>
  <c r="AK40" i="28"/>
  <c r="AK32" i="28"/>
  <c r="AD19" i="28"/>
  <c r="AD96" i="28"/>
  <c r="AD51" i="28"/>
  <c r="AD134" i="28"/>
  <c r="AD126" i="28"/>
  <c r="AD119" i="28"/>
  <c r="AD111" i="28"/>
  <c r="AD104" i="28"/>
  <c r="AD81" i="28"/>
  <c r="AD74" i="28"/>
  <c r="AD66" i="28"/>
  <c r="AD59" i="28"/>
  <c r="AD44" i="28"/>
  <c r="AD42" i="28" s="1"/>
  <c r="AD29" i="28"/>
  <c r="AD89" i="28"/>
  <c r="AH51" i="28"/>
  <c r="AH134" i="28"/>
  <c r="AH126" i="28"/>
  <c r="AH119" i="28"/>
  <c r="AH111" i="28"/>
  <c r="AH104" i="28"/>
  <c r="AH96" i="28"/>
  <c r="AH89" i="28"/>
  <c r="AH81" i="28"/>
  <c r="AH74" i="28"/>
  <c r="AH66" i="28"/>
  <c r="AH59" i="28"/>
  <c r="AH44" i="28"/>
  <c r="AH29" i="28"/>
  <c r="AL51" i="28"/>
  <c r="AL89" i="28"/>
  <c r="AL81" i="28"/>
  <c r="AL74" i="28"/>
  <c r="AL66" i="28"/>
  <c r="AL59" i="28"/>
  <c r="AL134" i="28"/>
  <c r="AL126" i="28"/>
  <c r="AL119" i="28"/>
  <c r="AL111" i="28"/>
  <c r="AL104" i="28"/>
  <c r="AL96" i="28"/>
  <c r="AL44" i="28"/>
  <c r="AL29" i="28"/>
  <c r="AI26" i="28"/>
  <c r="AI27" i="28" s="1"/>
  <c r="AE33" i="28"/>
  <c r="AL36" i="28"/>
  <c r="AJ47" i="28"/>
  <c r="AI33" i="28"/>
  <c r="AI34" i="28" s="1"/>
  <c r="AE122" i="28"/>
  <c r="AE130" i="28" s="1"/>
  <c r="AE115" i="28"/>
  <c r="AE107" i="28"/>
  <c r="AE100" i="28"/>
  <c r="AE92" i="28"/>
  <c r="AE85" i="28"/>
  <c r="AE55" i="28"/>
  <c r="AE77" i="28"/>
  <c r="AE40" i="28"/>
  <c r="AE32" i="28"/>
  <c r="AE62" i="28"/>
  <c r="AE47" i="28"/>
  <c r="AE70" i="28"/>
  <c r="AI122" i="28"/>
  <c r="AI130" i="28" s="1"/>
  <c r="AI115" i="28"/>
  <c r="AI107" i="28"/>
  <c r="AI100" i="28"/>
  <c r="AI92" i="28"/>
  <c r="AI85" i="28"/>
  <c r="AI55" i="28"/>
  <c r="AI70" i="28"/>
  <c r="AI40" i="28"/>
  <c r="AI32" i="28"/>
  <c r="AI47" i="28"/>
  <c r="AI77" i="28"/>
  <c r="AI62" i="28"/>
  <c r="AM122" i="28"/>
  <c r="AM130" i="28" s="1"/>
  <c r="AM115" i="28"/>
  <c r="AM107" i="28"/>
  <c r="AM100" i="28"/>
  <c r="AM92" i="28"/>
  <c r="AM85" i="28"/>
  <c r="AM55" i="28"/>
  <c r="AM62" i="28"/>
  <c r="AM40" i="28"/>
  <c r="AM32" i="28"/>
  <c r="AM77" i="28"/>
  <c r="AM47" i="28"/>
  <c r="AM70" i="28"/>
  <c r="AM33" i="28"/>
  <c r="AM34" i="28" s="1"/>
  <c r="AD36" i="28"/>
  <c r="AG131" i="28"/>
  <c r="AG123" i="28"/>
  <c r="AG116" i="28"/>
  <c r="AG108" i="28"/>
  <c r="AG101" i="28"/>
  <c r="AG93" i="28"/>
  <c r="AG78" i="28"/>
  <c r="AG71" i="28"/>
  <c r="AG63" i="28"/>
  <c r="AG64" i="28" s="1"/>
  <c r="AG48" i="28"/>
  <c r="AG49" i="28" s="1"/>
  <c r="AK131" i="28"/>
  <c r="AK123" i="28"/>
  <c r="AK116" i="28"/>
  <c r="AK108" i="28"/>
  <c r="AK109" i="28" s="1"/>
  <c r="AK101" i="28"/>
  <c r="AK93" i="28"/>
  <c r="AK94" i="28" s="1"/>
  <c r="AK78" i="28"/>
  <c r="AK79" i="28" s="1"/>
  <c r="AK71" i="28"/>
  <c r="AK72" i="28" s="1"/>
  <c r="AK63" i="28"/>
  <c r="AK64" i="28" s="1"/>
  <c r="AK86" i="28"/>
  <c r="AK87" i="28" s="1"/>
  <c r="AK48" i="28"/>
  <c r="AK49" i="28" s="1"/>
  <c r="AO131" i="28"/>
  <c r="AO123" i="28"/>
  <c r="AO116" i="28"/>
  <c r="AO108" i="28"/>
  <c r="AO101" i="28"/>
  <c r="AO93" i="28"/>
  <c r="AO78" i="28"/>
  <c r="AO71" i="28"/>
  <c r="AO63" i="28"/>
  <c r="AO48" i="28"/>
  <c r="AO86" i="28"/>
  <c r="AF19" i="28"/>
  <c r="AJ19" i="28"/>
  <c r="AN19" i="28"/>
  <c r="AF134" i="28"/>
  <c r="AF126" i="28"/>
  <c r="AF119" i="28"/>
  <c r="AF111" i="28"/>
  <c r="AF104" i="28"/>
  <c r="AF96" i="28"/>
  <c r="AF89" i="28"/>
  <c r="AF51" i="28"/>
  <c r="AJ134" i="28"/>
  <c r="AJ126" i="28"/>
  <c r="AJ119" i="28"/>
  <c r="AJ111" i="28"/>
  <c r="AJ104" i="28"/>
  <c r="AJ96" i="28"/>
  <c r="AJ89" i="28"/>
  <c r="AJ51" i="28"/>
  <c r="AN134" i="28"/>
  <c r="AN126" i="28"/>
  <c r="AN119" i="28"/>
  <c r="AN111" i="28"/>
  <c r="AN104" i="28"/>
  <c r="AN96" i="28"/>
  <c r="AN89" i="28"/>
  <c r="AN81" i="28"/>
  <c r="AN51" i="28"/>
  <c r="AG26" i="28"/>
  <c r="AG27" i="28" s="1"/>
  <c r="AK26" i="28"/>
  <c r="AK27" i="28" s="1"/>
  <c r="AO26" i="28"/>
  <c r="AG29" i="28"/>
  <c r="AK29" i="28"/>
  <c r="AO29" i="28"/>
  <c r="AG33" i="28"/>
  <c r="AG34" i="28" s="1"/>
  <c r="AK33" i="28"/>
  <c r="AK34" i="28" s="1"/>
  <c r="AO33" i="28"/>
  <c r="AF36" i="28"/>
  <c r="AJ36" i="28"/>
  <c r="AN36" i="28"/>
  <c r="AL41" i="28"/>
  <c r="AL42" i="28" s="1"/>
  <c r="AK44" i="28"/>
  <c r="AO44" i="28"/>
  <c r="AF48" i="28"/>
  <c r="AF49" i="28" s="1"/>
  <c r="AL49" i="28"/>
  <c r="AN66" i="28"/>
  <c r="AJ74" i="28"/>
  <c r="AF81" i="28"/>
  <c r="AN79" i="28"/>
  <c r="AF131" i="28"/>
  <c r="AF123" i="28"/>
  <c r="AF116" i="28"/>
  <c r="AF108" i="28"/>
  <c r="AF101" i="28"/>
  <c r="AF93" i="28"/>
  <c r="AF86" i="28"/>
  <c r="AF87" i="28" s="1"/>
  <c r="AF56" i="28"/>
  <c r="AF57" i="28" s="1"/>
  <c r="AJ131" i="28"/>
  <c r="AJ123" i="28"/>
  <c r="AJ116" i="28"/>
  <c r="AJ108" i="28"/>
  <c r="AJ101" i="28"/>
  <c r="AJ93" i="28"/>
  <c r="AJ94" i="28" s="1"/>
  <c r="AJ86" i="28"/>
  <c r="AJ87" i="28" s="1"/>
  <c r="AJ56" i="28"/>
  <c r="AJ57" i="28" s="1"/>
  <c r="AN131" i="28"/>
  <c r="AN123" i="28"/>
  <c r="AN124" i="28" s="1"/>
  <c r="AN116" i="28"/>
  <c r="AN117" i="28" s="1"/>
  <c r="AN108" i="28"/>
  <c r="AN109" i="28" s="1"/>
  <c r="AN101" i="28"/>
  <c r="AN102" i="28" s="1"/>
  <c r="AN93" i="28"/>
  <c r="AN94" i="28" s="1"/>
  <c r="AN86" i="28"/>
  <c r="AN87" i="28" s="1"/>
  <c r="AN56" i="28"/>
  <c r="AN57" i="28" s="1"/>
  <c r="AD93" i="28"/>
  <c r="AD56" i="28"/>
  <c r="AD86" i="28"/>
  <c r="AD78" i="28"/>
  <c r="AD71" i="28"/>
  <c r="AD63" i="28"/>
  <c r="AH131" i="28"/>
  <c r="AH123" i="28"/>
  <c r="AH116" i="28"/>
  <c r="AH108" i="28"/>
  <c r="AH101" i="28"/>
  <c r="AH86" i="28"/>
  <c r="AH87" i="28" s="1"/>
  <c r="AH56" i="28"/>
  <c r="AH57" i="28" s="1"/>
  <c r="AH93" i="28"/>
  <c r="AH78" i="28"/>
  <c r="AH71" i="28"/>
  <c r="AH63" i="28"/>
  <c r="AH64" i="28" s="1"/>
  <c r="AL93" i="28"/>
  <c r="AL94" i="28" s="1"/>
  <c r="AL56" i="28"/>
  <c r="AL57" i="28" s="1"/>
  <c r="AL131" i="28"/>
  <c r="AL123" i="28"/>
  <c r="AL116" i="28"/>
  <c r="AL117" i="28" s="1"/>
  <c r="AL108" i="28"/>
  <c r="AL109" i="28" s="1"/>
  <c r="AL101" i="28"/>
  <c r="AL102" i="28" s="1"/>
  <c r="AL78" i="28"/>
  <c r="AL79" i="28" s="1"/>
  <c r="AL71" i="28"/>
  <c r="AL72" i="28" s="1"/>
  <c r="AL63" i="28"/>
  <c r="AL64" i="28" s="1"/>
  <c r="AG19" i="28"/>
  <c r="AG134" i="28"/>
  <c r="AG126" i="28"/>
  <c r="AG119" i="28"/>
  <c r="AG111" i="28"/>
  <c r="AG104" i="28"/>
  <c r="AG96" i="28"/>
  <c r="AG81" i="28"/>
  <c r="AG74" i="28"/>
  <c r="AG66" i="28"/>
  <c r="AG59" i="28"/>
  <c r="AG89" i="28"/>
  <c r="AK134" i="28"/>
  <c r="AK126" i="28"/>
  <c r="AK119" i="28"/>
  <c r="AK111" i="28"/>
  <c r="AK104" i="28"/>
  <c r="AK96" i="28"/>
  <c r="AK89" i="28"/>
  <c r="AK81" i="28"/>
  <c r="AK74" i="28"/>
  <c r="AK66" i="28"/>
  <c r="AK59" i="28"/>
  <c r="AO134" i="28"/>
  <c r="AO126" i="28"/>
  <c r="AO119" i="28"/>
  <c r="AO111" i="28"/>
  <c r="AO104" i="28"/>
  <c r="AO96" i="28"/>
  <c r="AO74" i="28"/>
  <c r="AO66" i="28"/>
  <c r="AO59" i="28"/>
  <c r="AD26" i="28"/>
  <c r="AD27" i="28" s="1"/>
  <c r="AH26" i="28"/>
  <c r="AH27" i="28" s="1"/>
  <c r="AL26" i="28"/>
  <c r="AL27" i="28" s="1"/>
  <c r="AD33" i="28"/>
  <c r="AH33" i="28"/>
  <c r="AH34" i="28" s="1"/>
  <c r="AL33" i="28"/>
  <c r="AL34" i="28" s="1"/>
  <c r="AG36" i="28"/>
  <c r="AK36" i="28"/>
  <c r="AO36" i="28"/>
  <c r="AH48" i="28"/>
  <c r="AH49" i="28" s="1"/>
  <c r="AG56" i="28"/>
  <c r="AG57" i="28" s="1"/>
  <c r="AO56" i="28"/>
  <c r="AF59" i="28"/>
  <c r="AJ63" i="28"/>
  <c r="AJ64" i="28" s="1"/>
  <c r="AF71" i="28"/>
  <c r="AN74" i="28"/>
  <c r="AJ81" i="28"/>
  <c r="AD101" i="28"/>
  <c r="AD108" i="28"/>
  <c r="AD116" i="28"/>
  <c r="AD123" i="28"/>
  <c r="AD131" i="28"/>
  <c r="AE134" i="28"/>
  <c r="AE126" i="28"/>
  <c r="AE119" i="28"/>
  <c r="AE111" i="28"/>
  <c r="AE104" i="28"/>
  <c r="AE89" i="28"/>
  <c r="AE81" i="28"/>
  <c r="AE74" i="28"/>
  <c r="AE66" i="28"/>
  <c r="AE59" i="28"/>
  <c r="AE96" i="28"/>
  <c r="AI134" i="28"/>
  <c r="AI126" i="28"/>
  <c r="AI119" i="28"/>
  <c r="AI111" i="28"/>
  <c r="AI104" i="28"/>
  <c r="AI96" i="28"/>
  <c r="AI81" i="28"/>
  <c r="AI74" i="28"/>
  <c r="AI66" i="28"/>
  <c r="AI59" i="28"/>
  <c r="AM134" i="28"/>
  <c r="AM126" i="28"/>
  <c r="AM119" i="28"/>
  <c r="AM111" i="28"/>
  <c r="AM104" i="28"/>
  <c r="AM96" i="28"/>
  <c r="AM89" i="28"/>
  <c r="AM81" i="28"/>
  <c r="AM74" i="28"/>
  <c r="AM66" i="28"/>
  <c r="AM59" i="28"/>
  <c r="AF26" i="28"/>
  <c r="AF27" i="28" s="1"/>
  <c r="AJ26" i="28"/>
  <c r="AJ27" i="28" s="1"/>
  <c r="AN26" i="28"/>
  <c r="AN27" i="28" s="1"/>
  <c r="AF29" i="28"/>
  <c r="AJ29" i="28"/>
  <c r="AN29" i="28"/>
  <c r="AF33" i="28"/>
  <c r="AJ33" i="28"/>
  <c r="AJ34" i="28" s="1"/>
  <c r="AN33" i="28"/>
  <c r="AN34" i="28" s="1"/>
  <c r="AE36" i="28"/>
  <c r="AI36" i="28"/>
  <c r="AM36" i="28"/>
  <c r="AG41" i="28"/>
  <c r="AG42" i="28" s="1"/>
  <c r="AK41" i="28"/>
  <c r="AK42" i="28" s="1"/>
  <c r="AO41" i="28"/>
  <c r="AF44" i="28"/>
  <c r="AJ44" i="28"/>
  <c r="AN44" i="28"/>
  <c r="AJ48" i="28"/>
  <c r="AJ49" i="28" s="1"/>
  <c r="AI51" i="28"/>
  <c r="AK56" i="28"/>
  <c r="AK57" i="28" s="1"/>
  <c r="AN59" i="28"/>
  <c r="AJ66" i="28"/>
  <c r="AN71" i="28"/>
  <c r="AN72" i="28" s="1"/>
  <c r="AF74" i="28"/>
  <c r="AJ78" i="28"/>
  <c r="AJ79" i="28" s="1"/>
  <c r="AL86" i="28"/>
  <c r="AL87" i="28" s="1"/>
  <c r="AI89" i="28"/>
  <c r="AG87" i="28"/>
  <c r="AF64" i="28"/>
  <c r="AJ72" i="28"/>
  <c r="Z137" i="28"/>
  <c r="AJ29" i="25"/>
  <c r="AJ30" i="25"/>
  <c r="AJ31" i="25"/>
  <c r="AJ32" i="25"/>
  <c r="AJ33" i="25"/>
  <c r="AJ34" i="25"/>
  <c r="AJ35" i="25"/>
  <c r="AJ36" i="25"/>
  <c r="AJ37" i="25"/>
  <c r="AJ38" i="25"/>
  <c r="AJ39" i="25"/>
  <c r="AJ40" i="25"/>
  <c r="AJ41" i="25"/>
  <c r="AJ42" i="25"/>
  <c r="AJ43" i="25"/>
  <c r="AJ44" i="25"/>
  <c r="AI29" i="25"/>
  <c r="AI30" i="25"/>
  <c r="AI31" i="25"/>
  <c r="AI32" i="25"/>
  <c r="AI33" i="25"/>
  <c r="AI34" i="25"/>
  <c r="AI35" i="25"/>
  <c r="AI36" i="25"/>
  <c r="AI37" i="25"/>
  <c r="AI38" i="25"/>
  <c r="AI39" i="25"/>
  <c r="AI40" i="25"/>
  <c r="AI41" i="25"/>
  <c r="AI42" i="25"/>
  <c r="AI43" i="25"/>
  <c r="AI44" i="25"/>
  <c r="AH29" i="25"/>
  <c r="AK29" i="25" s="1"/>
  <c r="AH30" i="25"/>
  <c r="AK30" i="25" s="1"/>
  <c r="AH31" i="25"/>
  <c r="AK31" i="25" s="1"/>
  <c r="AH32" i="25"/>
  <c r="AK32" i="25" s="1"/>
  <c r="AH33" i="25"/>
  <c r="AK33" i="25" s="1"/>
  <c r="AH34" i="25"/>
  <c r="AK34" i="25" s="1"/>
  <c r="AH35" i="25"/>
  <c r="AK35" i="25" s="1"/>
  <c r="AH36" i="25"/>
  <c r="AK36" i="25" s="1"/>
  <c r="AH37" i="25"/>
  <c r="AK37" i="25" s="1"/>
  <c r="AH38" i="25"/>
  <c r="AK38" i="25" s="1"/>
  <c r="AH39" i="25"/>
  <c r="AK39" i="25" s="1"/>
  <c r="AH40" i="25"/>
  <c r="AK40" i="25" s="1"/>
  <c r="AH41" i="25"/>
  <c r="AK41" i="25" s="1"/>
  <c r="AH42" i="25"/>
  <c r="AK42" i="25" s="1"/>
  <c r="AH43" i="25"/>
  <c r="AK43" i="25" s="1"/>
  <c r="AH44" i="25"/>
  <c r="AK44" i="25" s="1"/>
  <c r="R116" i="17"/>
  <c r="S97" i="17"/>
  <c r="S116" i="17" s="1"/>
  <c r="T97" i="17"/>
  <c r="T116" i="17" s="1"/>
  <c r="U97" i="17"/>
  <c r="U116" i="17" s="1"/>
  <c r="R98" i="17"/>
  <c r="R117" i="17" s="1"/>
  <c r="S98" i="17"/>
  <c r="S117" i="17" s="1"/>
  <c r="T98" i="17"/>
  <c r="T117" i="17" s="1"/>
  <c r="U98" i="17"/>
  <c r="U117" i="17" s="1"/>
  <c r="R99" i="17"/>
  <c r="R118" i="17" s="1"/>
  <c r="S99" i="17"/>
  <c r="S118" i="17" s="1"/>
  <c r="T99" i="17"/>
  <c r="T118" i="17" s="1"/>
  <c r="U99" i="17"/>
  <c r="U118" i="17" s="1"/>
  <c r="R100" i="17"/>
  <c r="R119" i="17" s="1"/>
  <c r="S100" i="17"/>
  <c r="S119" i="17" s="1"/>
  <c r="T100" i="17"/>
  <c r="T119" i="17" s="1"/>
  <c r="U100" i="17"/>
  <c r="U119" i="17" s="1"/>
  <c r="R101" i="17"/>
  <c r="R120" i="17" s="1"/>
  <c r="S101" i="17"/>
  <c r="S120" i="17" s="1"/>
  <c r="T101" i="17"/>
  <c r="T120" i="17" s="1"/>
  <c r="U101" i="17"/>
  <c r="U120" i="17" s="1"/>
  <c r="R102" i="17"/>
  <c r="R121" i="17" s="1"/>
  <c r="S102" i="17"/>
  <c r="S121" i="17" s="1"/>
  <c r="T102" i="17"/>
  <c r="T121" i="17" s="1"/>
  <c r="U102" i="17"/>
  <c r="U121" i="17" s="1"/>
  <c r="R103" i="17"/>
  <c r="R122" i="17" s="1"/>
  <c r="S103" i="17"/>
  <c r="S122" i="17" s="1"/>
  <c r="T103" i="17"/>
  <c r="T122" i="17" s="1"/>
  <c r="U103" i="17"/>
  <c r="U122" i="17" s="1"/>
  <c r="R104" i="17"/>
  <c r="R123" i="17" s="1"/>
  <c r="S104" i="17"/>
  <c r="S123" i="17" s="1"/>
  <c r="T104" i="17"/>
  <c r="T123" i="17" s="1"/>
  <c r="U104" i="17"/>
  <c r="U123" i="17" s="1"/>
  <c r="R105" i="17"/>
  <c r="R124" i="17" s="1"/>
  <c r="S105" i="17"/>
  <c r="S124" i="17" s="1"/>
  <c r="T105" i="17"/>
  <c r="T124" i="17" s="1"/>
  <c r="U105" i="17"/>
  <c r="U124" i="17" s="1"/>
  <c r="R106" i="17"/>
  <c r="R125" i="17" s="1"/>
  <c r="S106" i="17"/>
  <c r="S125" i="17" s="1"/>
  <c r="T106" i="17"/>
  <c r="T125" i="17" s="1"/>
  <c r="U106" i="17"/>
  <c r="U125" i="17" s="1"/>
  <c r="R107" i="17"/>
  <c r="R126" i="17" s="1"/>
  <c r="S107" i="17"/>
  <c r="S126" i="17" s="1"/>
  <c r="T107" i="17"/>
  <c r="T126" i="17" s="1"/>
  <c r="U107" i="17"/>
  <c r="U126" i="17" s="1"/>
  <c r="R108" i="17"/>
  <c r="R127" i="17" s="1"/>
  <c r="S108" i="17"/>
  <c r="S127" i="17" s="1"/>
  <c r="T108" i="17"/>
  <c r="T127" i="17" s="1"/>
  <c r="U108" i="17"/>
  <c r="U127" i="17" s="1"/>
  <c r="R109" i="17"/>
  <c r="R128" i="17" s="1"/>
  <c r="S109" i="17"/>
  <c r="S128" i="17" s="1"/>
  <c r="T109" i="17"/>
  <c r="T128" i="17" s="1"/>
  <c r="U109" i="17"/>
  <c r="U128" i="17" s="1"/>
  <c r="R110" i="17"/>
  <c r="R129" i="17" s="1"/>
  <c r="S110" i="17"/>
  <c r="S129" i="17" s="1"/>
  <c r="T110" i="17"/>
  <c r="T129" i="17" s="1"/>
  <c r="U110" i="17"/>
  <c r="U129" i="17" s="1"/>
  <c r="R111" i="17"/>
  <c r="R130" i="17" s="1"/>
  <c r="S111" i="17"/>
  <c r="S130" i="17" s="1"/>
  <c r="T111" i="17"/>
  <c r="T130" i="17" s="1"/>
  <c r="U111" i="17"/>
  <c r="U130" i="17" s="1"/>
  <c r="R112" i="17"/>
  <c r="R131" i="17" s="1"/>
  <c r="S112" i="17"/>
  <c r="S131" i="17" s="1"/>
  <c r="T112" i="17"/>
  <c r="T131" i="17" s="1"/>
  <c r="U112" i="17"/>
  <c r="U131" i="17" s="1"/>
  <c r="R113" i="17"/>
  <c r="R132" i="17" s="1"/>
  <c r="S113" i="17"/>
  <c r="S132" i="17" s="1"/>
  <c r="T113" i="17"/>
  <c r="T132" i="17" s="1"/>
  <c r="U113" i="17"/>
  <c r="U132" i="17" s="1"/>
  <c r="V98" i="17"/>
  <c r="V117" i="17" s="1"/>
  <c r="V99" i="17"/>
  <c r="V118" i="17" s="1"/>
  <c r="V100" i="17"/>
  <c r="V119" i="17" s="1"/>
  <c r="V101" i="17"/>
  <c r="V120" i="17" s="1"/>
  <c r="V102" i="17"/>
  <c r="V121" i="17" s="1"/>
  <c r="V103" i="17"/>
  <c r="V122" i="17" s="1"/>
  <c r="V104" i="17"/>
  <c r="V123" i="17" s="1"/>
  <c r="V105" i="17"/>
  <c r="V124" i="17" s="1"/>
  <c r="V106" i="17"/>
  <c r="V125" i="17" s="1"/>
  <c r="V107" i="17"/>
  <c r="V126" i="17" s="1"/>
  <c r="V108" i="17"/>
  <c r="V127" i="17" s="1"/>
  <c r="V109" i="17"/>
  <c r="V128" i="17" s="1"/>
  <c r="V110" i="17"/>
  <c r="V129" i="17" s="1"/>
  <c r="V111" i="17"/>
  <c r="V130" i="17" s="1"/>
  <c r="V112" i="17"/>
  <c r="V131" i="17" s="1"/>
  <c r="V113" i="17"/>
  <c r="V132" i="17" s="1"/>
  <c r="V116" i="17"/>
  <c r="H114" i="17"/>
  <c r="I114" i="17"/>
  <c r="J114" i="17"/>
  <c r="K114" i="17"/>
  <c r="L114" i="17"/>
  <c r="M114" i="17"/>
  <c r="N114" i="17"/>
  <c r="G114" i="17"/>
  <c r="AE29" i="31" l="1"/>
  <c r="AE37" i="31"/>
  <c r="Z127" i="35"/>
  <c r="AN103" i="35"/>
  <c r="AO103" i="35" s="1"/>
  <c r="AI127" i="35"/>
  <c r="AM127" i="35" s="1"/>
  <c r="Z119" i="35"/>
  <c r="AN95" i="35"/>
  <c r="AO95" i="35" s="1"/>
  <c r="AI119" i="35"/>
  <c r="AM119" i="35" s="1"/>
  <c r="AI122" i="35"/>
  <c r="AM122" i="35" s="1"/>
  <c r="AN98" i="35"/>
  <c r="AO98" i="35" s="1"/>
  <c r="Z122" i="35"/>
  <c r="Z120" i="35"/>
  <c r="AN96" i="35"/>
  <c r="AO96" i="35" s="1"/>
  <c r="AI120" i="35"/>
  <c r="AM120" i="35" s="1"/>
  <c r="Z115" i="35"/>
  <c r="AN91" i="35"/>
  <c r="AO91" i="35" s="1"/>
  <c r="AI115" i="35"/>
  <c r="AM115" i="35" s="1"/>
  <c r="Z123" i="35"/>
  <c r="AN99" i="35"/>
  <c r="AO99" i="35" s="1"/>
  <c r="AI123" i="35"/>
  <c r="AM123" i="35" s="1"/>
  <c r="AI113" i="35"/>
  <c r="AM113" i="35" s="1"/>
  <c r="Z113" i="35"/>
  <c r="AN89" i="35"/>
  <c r="AO89" i="35" s="1"/>
  <c r="AI114" i="35"/>
  <c r="AM114" i="35" s="1"/>
  <c r="Z114" i="35"/>
  <c r="AN90" i="35"/>
  <c r="AO90" i="35" s="1"/>
  <c r="Z125" i="35"/>
  <c r="AN101" i="35"/>
  <c r="AO101" i="35" s="1"/>
  <c r="AI125" i="35"/>
  <c r="AM125" i="35" s="1"/>
  <c r="AI126" i="35"/>
  <c r="AM126" i="35" s="1"/>
  <c r="Z126" i="35"/>
  <c r="AN102" i="35"/>
  <c r="AO102" i="35" s="1"/>
  <c r="Z128" i="35"/>
  <c r="AN104" i="35"/>
  <c r="AO104" i="35" s="1"/>
  <c r="AI128" i="35"/>
  <c r="AM128" i="35" s="1"/>
  <c r="Z117" i="35"/>
  <c r="AN93" i="35"/>
  <c r="AO93" i="35" s="1"/>
  <c r="AI117" i="35"/>
  <c r="AM117" i="35" s="1"/>
  <c r="Z121" i="35"/>
  <c r="AN97" i="35"/>
  <c r="AO97" i="35" s="1"/>
  <c r="AI121" i="35"/>
  <c r="AM121" i="35" s="1"/>
  <c r="M116" i="35"/>
  <c r="K35" i="42"/>
  <c r="O35" i="42"/>
  <c r="C57" i="42"/>
  <c r="P57" i="42" s="1"/>
  <c r="C32" i="42"/>
  <c r="K32" i="42" s="1"/>
  <c r="AF66" i="35"/>
  <c r="C31" i="42"/>
  <c r="C53" i="42" s="1"/>
  <c r="Q53" i="42" s="1"/>
  <c r="AF65" i="35"/>
  <c r="C42" i="42"/>
  <c r="O42" i="42" s="1"/>
  <c r="AF76" i="35"/>
  <c r="AH67" i="35"/>
  <c r="AE162" i="35" s="1"/>
  <c r="D128" i="35"/>
  <c r="C34" i="42"/>
  <c r="M34" i="42" s="1"/>
  <c r="AF68" i="35"/>
  <c r="AH72" i="35"/>
  <c r="AE167" i="35" s="1"/>
  <c r="D124" i="35"/>
  <c r="AF75" i="35"/>
  <c r="C43" i="42"/>
  <c r="C65" i="42" s="1"/>
  <c r="Q65" i="42" s="1"/>
  <c r="AF77" i="35"/>
  <c r="D120" i="35"/>
  <c r="C44" i="42"/>
  <c r="C66" i="42" s="1"/>
  <c r="J66" i="42" s="1"/>
  <c r="AF78" i="35"/>
  <c r="AF70" i="35"/>
  <c r="AK74" i="35"/>
  <c r="AF73" i="35"/>
  <c r="L116" i="35"/>
  <c r="D118" i="35"/>
  <c r="D92" i="30"/>
  <c r="C38" i="42"/>
  <c r="M38" i="42" s="1"/>
  <c r="C37" i="42"/>
  <c r="O37" i="42" s="1"/>
  <c r="C39" i="42"/>
  <c r="K39" i="42" s="1"/>
  <c r="C40" i="42"/>
  <c r="C62" i="42" s="1"/>
  <c r="Q62" i="42" s="1"/>
  <c r="O25" i="42"/>
  <c r="AB80" i="35" s="1"/>
  <c r="AE94" i="31"/>
  <c r="H84" i="31"/>
  <c r="C45" i="42"/>
  <c r="M45" i="42" s="1"/>
  <c r="AK69" i="35"/>
  <c r="AH69" i="35"/>
  <c r="AE164" i="35" s="1"/>
  <c r="AD82" i="31"/>
  <c r="AD74" i="31"/>
  <c r="C55" i="42"/>
  <c r="Q55" i="42" s="1"/>
  <c r="M33" i="42"/>
  <c r="O33" i="42"/>
  <c r="C36" i="42"/>
  <c r="O36" i="42" s="1"/>
  <c r="O41" i="42"/>
  <c r="M41" i="42"/>
  <c r="W81" i="35"/>
  <c r="C63" i="42"/>
  <c r="Q63" i="42" s="1"/>
  <c r="W80" i="35"/>
  <c r="AF64" i="35"/>
  <c r="C30" i="42"/>
  <c r="Y81" i="35"/>
  <c r="AF117" i="31"/>
  <c r="AF29" i="31"/>
  <c r="AF124" i="28"/>
  <c r="AD37" i="31"/>
  <c r="AK102" i="28"/>
  <c r="AK132" i="28"/>
  <c r="AK124" i="28"/>
  <c r="AH94" i="28"/>
  <c r="AF94" i="28"/>
  <c r="AE117" i="28"/>
  <c r="AJ124" i="28"/>
  <c r="AI94" i="28"/>
  <c r="AD59" i="31"/>
  <c r="AM124" i="28"/>
  <c r="AH79" i="28"/>
  <c r="AE42" i="28"/>
  <c r="Z42" i="28" s="1"/>
  <c r="I43" i="28" s="1"/>
  <c r="K43" i="28" s="1"/>
  <c r="AK117" i="28"/>
  <c r="AF72" i="28"/>
  <c r="AG79" i="28"/>
  <c r="AH109" i="28"/>
  <c r="AI117" i="28"/>
  <c r="AD72" i="28"/>
  <c r="AE102" i="28"/>
  <c r="AE132" i="28"/>
  <c r="AG94" i="28"/>
  <c r="AI102" i="28"/>
  <c r="AI132" i="28"/>
  <c r="AD117" i="31"/>
  <c r="AD132" i="28"/>
  <c r="AD102" i="28"/>
  <c r="AD34" i="28"/>
  <c r="AG117" i="28"/>
  <c r="AL132" i="28"/>
  <c r="AH124" i="28"/>
  <c r="AE109" i="28"/>
  <c r="AM132" i="28"/>
  <c r="AD117" i="28"/>
  <c r="AJ117" i="28"/>
  <c r="AE132" i="31"/>
  <c r="AE117" i="31"/>
  <c r="AD79" i="28"/>
  <c r="AD109" i="28"/>
  <c r="AH117" i="28"/>
  <c r="AI82" i="31"/>
  <c r="AI117" i="31"/>
  <c r="AL74" i="31"/>
  <c r="AL44" i="31"/>
  <c r="AH132" i="31"/>
  <c r="AH44" i="31"/>
  <c r="AG29" i="31"/>
  <c r="AH109" i="31"/>
  <c r="AK74" i="31"/>
  <c r="AN37" i="31"/>
  <c r="AM29" i="31"/>
  <c r="AI22" i="31"/>
  <c r="AM59" i="31"/>
  <c r="AM22" i="31"/>
  <c r="AN109" i="31"/>
  <c r="AL94" i="31"/>
  <c r="AL52" i="31"/>
  <c r="AH82" i="31"/>
  <c r="AH22" i="31"/>
  <c r="AH52" i="31"/>
  <c r="AG52" i="31"/>
  <c r="AK37" i="31"/>
  <c r="AJ67" i="31"/>
  <c r="AH67" i="31"/>
  <c r="AI94" i="31"/>
  <c r="AL102" i="31"/>
  <c r="AH29" i="31"/>
  <c r="AK29" i="31"/>
  <c r="AG102" i="31"/>
  <c r="AG132" i="31"/>
  <c r="AN102" i="31"/>
  <c r="AI74" i="31"/>
  <c r="AJ117" i="31"/>
  <c r="AL132" i="31"/>
  <c r="AL67" i="31"/>
  <c r="AL37" i="31"/>
  <c r="AH117" i="31"/>
  <c r="AH37" i="31"/>
  <c r="AG117" i="31"/>
  <c r="AK67" i="31"/>
  <c r="AK109" i="31"/>
  <c r="AK82" i="31"/>
  <c r="AF109" i="31"/>
  <c r="AF94" i="31"/>
  <c r="AE109" i="31"/>
  <c r="AE124" i="31"/>
  <c r="AD67" i="31"/>
  <c r="AD22" i="31"/>
  <c r="AE102" i="31"/>
  <c r="AE74" i="31"/>
  <c r="AD52" i="31"/>
  <c r="AF117" i="28"/>
  <c r="AN132" i="28"/>
  <c r="AJ102" i="28"/>
  <c r="AJ132" i="28"/>
  <c r="AF102" i="28"/>
  <c r="AF132" i="28"/>
  <c r="AL124" i="28"/>
  <c r="AH102" i="28"/>
  <c r="AH132" i="28"/>
  <c r="AD124" i="28"/>
  <c r="AG72" i="28"/>
  <c r="AE94" i="28"/>
  <c r="AE87" i="28"/>
  <c r="AI124" i="28"/>
  <c r="AI109" i="28"/>
  <c r="AD64" i="28"/>
  <c r="Z64" i="28" s="1"/>
  <c r="I46" i="28" s="1"/>
  <c r="D84" i="31"/>
  <c r="E84" i="31"/>
  <c r="U44" i="30"/>
  <c r="L55" i="30"/>
  <c r="T52" i="30"/>
  <c r="R55" i="30"/>
  <c r="P55" i="30"/>
  <c r="N114" i="32"/>
  <c r="F84" i="31"/>
  <c r="AI109" i="31"/>
  <c r="AD102" i="31"/>
  <c r="AK132" i="31"/>
  <c r="AG74" i="31"/>
  <c r="AF74" i="31"/>
  <c r="AK102" i="31"/>
  <c r="AD132" i="31"/>
  <c r="AD44" i="31"/>
  <c r="Z14" i="31"/>
  <c r="AK117" i="31"/>
  <c r="C84" i="31"/>
  <c r="AF124" i="31"/>
  <c r="G84" i="31"/>
  <c r="AD124" i="31"/>
  <c r="AD109" i="31"/>
  <c r="AF102" i="31"/>
  <c r="AF132" i="31"/>
  <c r="AE67" i="31"/>
  <c r="AL124" i="31"/>
  <c r="AH102" i="31"/>
  <c r="AD29" i="31"/>
  <c r="AD94" i="31"/>
  <c r="AK124" i="31"/>
  <c r="AF67" i="31"/>
  <c r="AE82" i="31"/>
  <c r="M55" i="30"/>
  <c r="J55" i="30"/>
  <c r="O55" i="30"/>
  <c r="E55" i="30"/>
  <c r="I55" i="30"/>
  <c r="Q55" i="30"/>
  <c r="N55" i="30"/>
  <c r="K55" i="30"/>
  <c r="G55" i="30"/>
  <c r="D55" i="30"/>
  <c r="F55" i="30"/>
  <c r="H55" i="30"/>
  <c r="U43" i="30"/>
  <c r="S55" i="30"/>
  <c r="T54" i="30"/>
  <c r="D44" i="29"/>
  <c r="D51" i="29" s="1"/>
  <c r="F44" i="29"/>
  <c r="F51" i="29" s="1"/>
  <c r="M44" i="29"/>
  <c r="M51" i="29" s="1"/>
  <c r="I44" i="29"/>
  <c r="I51" i="29" s="1"/>
  <c r="G44" i="29"/>
  <c r="G51" i="29" s="1"/>
  <c r="S44" i="29"/>
  <c r="S51" i="29" s="1"/>
  <c r="P44" i="29"/>
  <c r="P51" i="29" s="1"/>
  <c r="R44" i="29"/>
  <c r="R51" i="29" s="1"/>
  <c r="Q44" i="29"/>
  <c r="Q51" i="29" s="1"/>
  <c r="P63" i="29"/>
  <c r="P67" i="29" s="1"/>
  <c r="P68" i="29" s="1"/>
  <c r="K44" i="29"/>
  <c r="K51" i="29" s="1"/>
  <c r="L44" i="29"/>
  <c r="L51" i="29" s="1"/>
  <c r="N44" i="29"/>
  <c r="N51" i="29" s="1"/>
  <c r="H44" i="29"/>
  <c r="H51" i="29" s="1"/>
  <c r="J44" i="29"/>
  <c r="J51" i="29" s="1"/>
  <c r="K63" i="29"/>
  <c r="K67" i="29" s="1"/>
  <c r="K68" i="29" s="1"/>
  <c r="O44" i="29"/>
  <c r="O51" i="29" s="1"/>
  <c r="E63" i="29"/>
  <c r="E67" i="29" s="1"/>
  <c r="E68" i="29" s="1"/>
  <c r="I63" i="29"/>
  <c r="I67" i="29" s="1"/>
  <c r="I68" i="29" s="1"/>
  <c r="S63" i="29"/>
  <c r="S67" i="29" s="1"/>
  <c r="S68" i="29" s="1"/>
  <c r="M63" i="29"/>
  <c r="M67" i="29" s="1"/>
  <c r="M68" i="29" s="1"/>
  <c r="O63" i="29"/>
  <c r="O67" i="29" s="1"/>
  <c r="O68" i="29" s="1"/>
  <c r="J68" i="29"/>
  <c r="E165" i="29"/>
  <c r="H68" i="29"/>
  <c r="E163" i="29"/>
  <c r="R68" i="29"/>
  <c r="E173" i="29"/>
  <c r="E169" i="29"/>
  <c r="N68" i="29"/>
  <c r="E167" i="29"/>
  <c r="L68" i="29"/>
  <c r="G68" i="29"/>
  <c r="E162" i="29"/>
  <c r="E161" i="29"/>
  <c r="F68" i="29"/>
  <c r="E159" i="29"/>
  <c r="D68" i="29"/>
  <c r="Q68" i="29"/>
  <c r="E172" i="29"/>
  <c r="AJ109" i="28"/>
  <c r="AG102" i="28"/>
  <c r="AG132" i="28"/>
  <c r="AE72" i="28"/>
  <c r="AE34" i="28"/>
  <c r="AF109" i="28"/>
  <c r="AE124" i="28"/>
  <c r="AD57" i="28"/>
  <c r="Z57" i="28" s="1"/>
  <c r="I45" i="28" s="1"/>
  <c r="AF79" i="28"/>
  <c r="AH72" i="28"/>
  <c r="AD94" i="28"/>
  <c r="AG109" i="28"/>
  <c r="AD49" i="28"/>
  <c r="Z49" i="28" s="1"/>
  <c r="I44" i="28" s="1"/>
  <c r="AE79" i="28"/>
  <c r="AF34" i="28"/>
  <c r="AD87" i="28"/>
  <c r="AG124" i="28"/>
  <c r="Z19" i="28"/>
  <c r="I40" i="28" s="1"/>
  <c r="AE27" i="28"/>
  <c r="Z27" i="28" s="1"/>
  <c r="I41" i="28" s="1"/>
  <c r="G47" i="27"/>
  <c r="T72" i="27" s="1"/>
  <c r="W72" i="27" s="1"/>
  <c r="Y72" i="27" s="1"/>
  <c r="R81" i="27"/>
  <c r="R77" i="27"/>
  <c r="R73" i="27"/>
  <c r="Z129" i="35" l="1"/>
  <c r="AN105" i="35"/>
  <c r="AO105" i="35" s="1"/>
  <c r="AI129" i="35"/>
  <c r="AM129" i="35" s="1"/>
  <c r="AK71" i="35"/>
  <c r="L118" i="35"/>
  <c r="L124" i="35"/>
  <c r="M128" i="35"/>
  <c r="AC116" i="35"/>
  <c r="AA116" i="35"/>
  <c r="AC120" i="35"/>
  <c r="AA120" i="35"/>
  <c r="AK79" i="35"/>
  <c r="C56" i="42"/>
  <c r="P56" i="42" s="1"/>
  <c r="P53" i="42"/>
  <c r="C54" i="42"/>
  <c r="P54" i="42" s="1"/>
  <c r="AH79" i="35"/>
  <c r="AE174" i="35" s="1"/>
  <c r="C64" i="42"/>
  <c r="P64" i="42" s="1"/>
  <c r="O32" i="42"/>
  <c r="M42" i="42"/>
  <c r="D119" i="35"/>
  <c r="AF72" i="35"/>
  <c r="AF79" i="35"/>
  <c r="AK72" i="35"/>
  <c r="K42" i="42"/>
  <c r="D121" i="35"/>
  <c r="M32" i="42"/>
  <c r="AH70" i="35"/>
  <c r="AE165" i="35" s="1"/>
  <c r="AK70" i="35"/>
  <c r="Q57" i="42"/>
  <c r="J57" i="42"/>
  <c r="M44" i="42"/>
  <c r="P66" i="42"/>
  <c r="K31" i="42"/>
  <c r="AF74" i="35"/>
  <c r="Q66" i="42"/>
  <c r="M31" i="42"/>
  <c r="AH74" i="35"/>
  <c r="AE169" i="35" s="1"/>
  <c r="O34" i="42"/>
  <c r="D123" i="35"/>
  <c r="K34" i="42"/>
  <c r="M124" i="35"/>
  <c r="O44" i="42"/>
  <c r="P65" i="42"/>
  <c r="K44" i="42"/>
  <c r="O43" i="42"/>
  <c r="M43" i="42"/>
  <c r="AF71" i="35"/>
  <c r="J53" i="42"/>
  <c r="J65" i="42"/>
  <c r="K43" i="42"/>
  <c r="O31" i="42"/>
  <c r="AH80" i="35"/>
  <c r="AE175" i="35" s="1"/>
  <c r="AH71" i="35"/>
  <c r="AE166" i="35" s="1"/>
  <c r="H182" i="30"/>
  <c r="H184" i="30" s="1"/>
  <c r="L182" i="30"/>
  <c r="L184" i="30" s="1"/>
  <c r="P182" i="30"/>
  <c r="P184" i="30" s="1"/>
  <c r="D182" i="30"/>
  <c r="D184" i="30" s="1"/>
  <c r="E182" i="30"/>
  <c r="E184" i="30" s="1"/>
  <c r="I182" i="30"/>
  <c r="I184" i="30" s="1"/>
  <c r="M182" i="30"/>
  <c r="M184" i="30" s="1"/>
  <c r="Q182" i="30"/>
  <c r="Q184" i="30" s="1"/>
  <c r="F182" i="30"/>
  <c r="F184" i="30" s="1"/>
  <c r="J182" i="30"/>
  <c r="J184" i="30" s="1"/>
  <c r="N182" i="30"/>
  <c r="N184" i="30" s="1"/>
  <c r="R182" i="30"/>
  <c r="R184" i="30" s="1"/>
  <c r="G182" i="30"/>
  <c r="G184" i="30" s="1"/>
  <c r="K182" i="30"/>
  <c r="K184" i="30" s="1"/>
  <c r="O182" i="30"/>
  <c r="O184" i="30" s="1"/>
  <c r="S182" i="30"/>
  <c r="S184" i="30" s="1"/>
  <c r="M118" i="35"/>
  <c r="D122" i="35"/>
  <c r="AH73" i="35"/>
  <c r="AE168" i="35" s="1"/>
  <c r="AK73" i="35"/>
  <c r="D114" i="35"/>
  <c r="D115" i="35"/>
  <c r="L128" i="35"/>
  <c r="D126" i="35"/>
  <c r="D127" i="35"/>
  <c r="D113" i="35"/>
  <c r="M120" i="35"/>
  <c r="L120" i="35"/>
  <c r="K92" i="30"/>
  <c r="AB61" i="35" s="1"/>
  <c r="D95" i="30"/>
  <c r="D97" i="30" s="1"/>
  <c r="K94" i="30"/>
  <c r="AH68" i="35"/>
  <c r="AE163" i="35" s="1"/>
  <c r="D117" i="35"/>
  <c r="AK76" i="35"/>
  <c r="D125" i="35"/>
  <c r="O39" i="42"/>
  <c r="O38" i="42"/>
  <c r="C60" i="42"/>
  <c r="Q60" i="42" s="1"/>
  <c r="K38" i="42"/>
  <c r="C59" i="42"/>
  <c r="P59" i="42" s="1"/>
  <c r="AK68" i="35"/>
  <c r="M37" i="42"/>
  <c r="K37" i="42"/>
  <c r="AH76" i="35"/>
  <c r="AE171" i="35" s="1"/>
  <c r="C61" i="42"/>
  <c r="Q61" i="42" s="1"/>
  <c r="M39" i="42"/>
  <c r="O40" i="42"/>
  <c r="K40" i="42"/>
  <c r="P62" i="42"/>
  <c r="M40" i="42"/>
  <c r="J62" i="42"/>
  <c r="Z52" i="31"/>
  <c r="I40" i="31" s="1"/>
  <c r="E40" i="31" s="1"/>
  <c r="Z59" i="31"/>
  <c r="I41" i="31" s="1"/>
  <c r="E41" i="31" s="1"/>
  <c r="AK65" i="35"/>
  <c r="AH65" i="35"/>
  <c r="AE160" i="35" s="1"/>
  <c r="O45" i="42"/>
  <c r="J55" i="42"/>
  <c r="C67" i="42"/>
  <c r="Q67" i="42" s="1"/>
  <c r="K45" i="42"/>
  <c r="R71" i="27"/>
  <c r="V71" i="27" s="1"/>
  <c r="X71" i="27" s="1"/>
  <c r="AK78" i="35"/>
  <c r="AK77" i="35"/>
  <c r="R79" i="27"/>
  <c r="R65" i="27"/>
  <c r="R69" i="27"/>
  <c r="V69" i="27" s="1"/>
  <c r="X69" i="27" s="1"/>
  <c r="AH64" i="35"/>
  <c r="AE159" i="35" s="1"/>
  <c r="AK64" i="35"/>
  <c r="AH66" i="35"/>
  <c r="AE161" i="35" s="1"/>
  <c r="AK66" i="35"/>
  <c r="AH77" i="35"/>
  <c r="AE172" i="35" s="1"/>
  <c r="AH78" i="35"/>
  <c r="AE173" i="35" s="1"/>
  <c r="C47" i="42"/>
  <c r="O47" i="42" s="1"/>
  <c r="P55" i="42"/>
  <c r="K36" i="42"/>
  <c r="C58" i="42"/>
  <c r="Q58" i="42" s="1"/>
  <c r="M36" i="42"/>
  <c r="AB81" i="35"/>
  <c r="P63" i="42"/>
  <c r="J63" i="42"/>
  <c r="AC81" i="35"/>
  <c r="C52" i="42"/>
  <c r="M30" i="42"/>
  <c r="O30" i="42"/>
  <c r="K30" i="42"/>
  <c r="Z94" i="28"/>
  <c r="I50" i="28" s="1"/>
  <c r="M50" i="28" s="1"/>
  <c r="Z94" i="31"/>
  <c r="Z117" i="28"/>
  <c r="I53" i="28" s="1"/>
  <c r="K53" i="28" s="1"/>
  <c r="Z37" i="31"/>
  <c r="I38" i="31" s="1"/>
  <c r="Z79" i="28"/>
  <c r="I48" i="28" s="1"/>
  <c r="M48" i="28" s="1"/>
  <c r="Z132" i="28"/>
  <c r="I55" i="28" s="1"/>
  <c r="M55" i="28" s="1"/>
  <c r="Z82" i="31"/>
  <c r="Z29" i="31"/>
  <c r="I37" i="31" s="1"/>
  <c r="Z117" i="31"/>
  <c r="Z44" i="31"/>
  <c r="I39" i="31" s="1"/>
  <c r="E39" i="31" s="1"/>
  <c r="Z74" i="31"/>
  <c r="Z22" i="31"/>
  <c r="I36" i="31" s="1"/>
  <c r="E36" i="31" s="1"/>
  <c r="Z102" i="28"/>
  <c r="I51" i="28" s="1"/>
  <c r="K51" i="28" s="1"/>
  <c r="Z87" i="28"/>
  <c r="I49" i="28" s="1"/>
  <c r="K49" i="28" s="1"/>
  <c r="U69" i="28"/>
  <c r="E171" i="29"/>
  <c r="I172" i="29"/>
  <c r="G22" i="33"/>
  <c r="X56" i="35" s="1"/>
  <c r="I167" i="29"/>
  <c r="G17" i="33"/>
  <c r="X51" i="35" s="1"/>
  <c r="I162" i="29"/>
  <c r="G12" i="33"/>
  <c r="X46" i="35" s="1"/>
  <c r="I173" i="29"/>
  <c r="G23" i="33"/>
  <c r="X57" i="35" s="1"/>
  <c r="I159" i="29"/>
  <c r="G9" i="33"/>
  <c r="X43" i="35" s="1"/>
  <c r="I169" i="29"/>
  <c r="G19" i="33"/>
  <c r="X53" i="35" s="1"/>
  <c r="I163" i="29"/>
  <c r="G13" i="33"/>
  <c r="X47" i="35" s="1"/>
  <c r="I161" i="29"/>
  <c r="G11" i="33"/>
  <c r="X45" i="35" s="1"/>
  <c r="I165" i="29"/>
  <c r="G15" i="33"/>
  <c r="X49" i="35" s="1"/>
  <c r="Z124" i="31"/>
  <c r="Z67" i="31"/>
  <c r="Z132" i="31"/>
  <c r="Z109" i="31"/>
  <c r="Z102" i="31"/>
  <c r="E166" i="29"/>
  <c r="E168" i="29"/>
  <c r="E164" i="29"/>
  <c r="E174" i="29"/>
  <c r="E170" i="29"/>
  <c r="U67" i="29"/>
  <c r="U68" i="29" s="1"/>
  <c r="E160" i="29"/>
  <c r="Z72" i="28"/>
  <c r="I47" i="28" s="1"/>
  <c r="H69" i="28" s="1"/>
  <c r="Z124" i="28"/>
  <c r="I54" i="28" s="1"/>
  <c r="M54" i="28" s="1"/>
  <c r="Z34" i="28"/>
  <c r="I42" i="28" s="1"/>
  <c r="J69" i="28" s="1"/>
  <c r="M43" i="28"/>
  <c r="Z109" i="28"/>
  <c r="I52" i="28" s="1"/>
  <c r="G69" i="28"/>
  <c r="M41" i="28"/>
  <c r="K41" i="28"/>
  <c r="S69" i="28"/>
  <c r="M45" i="28"/>
  <c r="K45" i="28"/>
  <c r="N69" i="28"/>
  <c r="K44" i="28"/>
  <c r="M44" i="28"/>
  <c r="O69" i="28"/>
  <c r="M46" i="28"/>
  <c r="K46" i="28"/>
  <c r="K69" i="28"/>
  <c r="K40" i="28"/>
  <c r="M40" i="28"/>
  <c r="E72" i="27"/>
  <c r="E80" i="27"/>
  <c r="E78" i="27"/>
  <c r="E65" i="27"/>
  <c r="E68" i="27"/>
  <c r="E73" i="27"/>
  <c r="E76" i="27"/>
  <c r="E67" i="27"/>
  <c r="E69" i="27"/>
  <c r="V73" i="27"/>
  <c r="X73" i="27" s="1"/>
  <c r="E74" i="27"/>
  <c r="E75" i="27"/>
  <c r="E77" i="27"/>
  <c r="V79" i="27"/>
  <c r="X79" i="27" s="1"/>
  <c r="R67" i="27"/>
  <c r="V67" i="27" s="1"/>
  <c r="X67" i="27" s="1"/>
  <c r="R75" i="27"/>
  <c r="R68" i="27"/>
  <c r="V68" i="27" s="1"/>
  <c r="X68" i="27" s="1"/>
  <c r="V75" i="27"/>
  <c r="X75" i="27" s="1"/>
  <c r="T76" i="27"/>
  <c r="W76" i="27" s="1"/>
  <c r="Y76" i="27" s="1"/>
  <c r="R80" i="27"/>
  <c r="V80" i="27" s="1"/>
  <c r="X80" i="27" s="1"/>
  <c r="T77" i="27"/>
  <c r="W77" i="27" s="1"/>
  <c r="Y77" i="27" s="1"/>
  <c r="T65" i="27"/>
  <c r="W65" i="27" s="1"/>
  <c r="Y65" i="27" s="1"/>
  <c r="T69" i="27"/>
  <c r="W69" i="27" s="1"/>
  <c r="Y69" i="27" s="1"/>
  <c r="T67" i="27"/>
  <c r="W67" i="27" s="1"/>
  <c r="Y67" i="27" s="1"/>
  <c r="T73" i="27"/>
  <c r="W73" i="27" s="1"/>
  <c r="Y73" i="27" s="1"/>
  <c r="T80" i="27"/>
  <c r="W80" i="27" s="1"/>
  <c r="Y80" i="27" s="1"/>
  <c r="T66" i="27"/>
  <c r="W66" i="27" s="1"/>
  <c r="Y66" i="27" s="1"/>
  <c r="T74" i="27"/>
  <c r="W74" i="27" s="1"/>
  <c r="Y74" i="27" s="1"/>
  <c r="R66" i="27"/>
  <c r="V66" i="27" s="1"/>
  <c r="X66" i="27" s="1"/>
  <c r="T68" i="27"/>
  <c r="W68" i="27" s="1"/>
  <c r="Y68" i="27" s="1"/>
  <c r="V77" i="27"/>
  <c r="X77" i="27" s="1"/>
  <c r="T71" i="27"/>
  <c r="W71" i="27" s="1"/>
  <c r="Y71" i="27" s="1"/>
  <c r="R76" i="27"/>
  <c r="V76" i="27" s="1"/>
  <c r="X76" i="27" s="1"/>
  <c r="T79" i="27"/>
  <c r="W79" i="27" s="1"/>
  <c r="Y79" i="27" s="1"/>
  <c r="T70" i="27"/>
  <c r="W70" i="27" s="1"/>
  <c r="Y70" i="27" s="1"/>
  <c r="E70" i="27"/>
  <c r="T78" i="27"/>
  <c r="W78" i="27" s="1"/>
  <c r="Y78" i="27" s="1"/>
  <c r="R78" i="27"/>
  <c r="V78" i="27" s="1"/>
  <c r="X78" i="27" s="1"/>
  <c r="V65" i="27"/>
  <c r="X65" i="27" s="1"/>
  <c r="R72" i="27"/>
  <c r="V72" i="27" s="1"/>
  <c r="X72" i="27" s="1"/>
  <c r="R74" i="27"/>
  <c r="V74" i="27" s="1"/>
  <c r="X74" i="27" s="1"/>
  <c r="E71" i="27"/>
  <c r="E79" i="27"/>
  <c r="R70" i="27"/>
  <c r="V70" i="27" s="1"/>
  <c r="X70" i="27" s="1"/>
  <c r="T75" i="27"/>
  <c r="W75" i="27" s="1"/>
  <c r="Y75" i="27" s="1"/>
  <c r="AM15" i="24"/>
  <c r="AM16" i="24"/>
  <c r="AM17" i="24"/>
  <c r="AM18" i="24"/>
  <c r="AM19" i="24"/>
  <c r="AM20" i="24"/>
  <c r="AM21" i="24"/>
  <c r="AM22" i="24"/>
  <c r="AM23" i="24"/>
  <c r="AM24" i="24"/>
  <c r="AM25" i="24"/>
  <c r="AM26" i="24"/>
  <c r="AM27" i="24"/>
  <c r="AM28" i="24"/>
  <c r="AM30" i="24"/>
  <c r="AM14" i="24"/>
  <c r="AL32" i="24"/>
  <c r="AJ32" i="24"/>
  <c r="AI32" i="24"/>
  <c r="M37" i="31" l="1"/>
  <c r="E37" i="31"/>
  <c r="K38" i="31"/>
  <c r="E38" i="31"/>
  <c r="Q54" i="42"/>
  <c r="L115" i="35"/>
  <c r="L126" i="35"/>
  <c r="AA124" i="35"/>
  <c r="AC124" i="35"/>
  <c r="L119" i="35"/>
  <c r="L122" i="35"/>
  <c r="L123" i="35"/>
  <c r="AC128" i="35"/>
  <c r="AA128" i="35"/>
  <c r="AC118" i="35"/>
  <c r="AA118" i="35"/>
  <c r="J64" i="42"/>
  <c r="AC117" i="35"/>
  <c r="AA117" i="35"/>
  <c r="M114" i="35"/>
  <c r="M127" i="35"/>
  <c r="L121" i="35"/>
  <c r="L113" i="35"/>
  <c r="AC113" i="35"/>
  <c r="AA125" i="35"/>
  <c r="AC125" i="35"/>
  <c r="Q56" i="42"/>
  <c r="J56" i="42"/>
  <c r="M123" i="35"/>
  <c r="Q64" i="42"/>
  <c r="J54" i="42"/>
  <c r="M121" i="35"/>
  <c r="M119" i="35"/>
  <c r="AE14" i="35"/>
  <c r="AD70" i="35" s="1"/>
  <c r="D129" i="35"/>
  <c r="AK80" i="35"/>
  <c r="AC84" i="35"/>
  <c r="AF80" i="35"/>
  <c r="M122" i="35"/>
  <c r="L114" i="35"/>
  <c r="L127" i="35"/>
  <c r="M115" i="35"/>
  <c r="M126" i="35"/>
  <c r="M113" i="35"/>
  <c r="L125" i="35"/>
  <c r="M125" i="35"/>
  <c r="M117" i="35"/>
  <c r="L117" i="35"/>
  <c r="T182" i="30"/>
  <c r="V182" i="30" s="1"/>
  <c r="J187" i="30"/>
  <c r="J186" i="30"/>
  <c r="P186" i="30"/>
  <c r="P187" i="30"/>
  <c r="I186" i="30"/>
  <c r="I187" i="30"/>
  <c r="M186" i="30"/>
  <c r="M187" i="30"/>
  <c r="F187" i="30"/>
  <c r="F186" i="30"/>
  <c r="K187" i="30"/>
  <c r="K186" i="30"/>
  <c r="G187" i="30"/>
  <c r="G186" i="30"/>
  <c r="H186" i="30"/>
  <c r="H187" i="30"/>
  <c r="N187" i="30"/>
  <c r="N186" i="30"/>
  <c r="Q186" i="30"/>
  <c r="Q187" i="30"/>
  <c r="E186" i="30"/>
  <c r="E187" i="30"/>
  <c r="D187" i="30"/>
  <c r="D186" i="30"/>
  <c r="R187" i="30"/>
  <c r="R186" i="30"/>
  <c r="L186" i="30"/>
  <c r="L187" i="30"/>
  <c r="O187" i="30"/>
  <c r="O186" i="30"/>
  <c r="S187" i="30"/>
  <c r="S186" i="30"/>
  <c r="M39" i="31"/>
  <c r="F106" i="31"/>
  <c r="R106" i="31"/>
  <c r="K21" i="33" s="1"/>
  <c r="Z55" i="35" s="1"/>
  <c r="M41" i="31"/>
  <c r="P60" i="42"/>
  <c r="J60" i="42"/>
  <c r="J59" i="42"/>
  <c r="Q59" i="42"/>
  <c r="P61" i="42"/>
  <c r="J61" i="42"/>
  <c r="E200" i="30"/>
  <c r="I14" i="33" s="1"/>
  <c r="Y48" i="35" s="1"/>
  <c r="K47" i="42"/>
  <c r="P67" i="42"/>
  <c r="J67" i="42"/>
  <c r="C69" i="42"/>
  <c r="Q69" i="42" s="1"/>
  <c r="M47" i="42"/>
  <c r="J58" i="42"/>
  <c r="P58" i="42"/>
  <c r="E17" i="33"/>
  <c r="W51" i="35" s="1"/>
  <c r="E21" i="33"/>
  <c r="W55" i="35" s="1"/>
  <c r="E10" i="33"/>
  <c r="W44" i="35" s="1"/>
  <c r="E23" i="33"/>
  <c r="W57" i="35" s="1"/>
  <c r="E16" i="33"/>
  <c r="W50" i="35" s="1"/>
  <c r="E12" i="33"/>
  <c r="W46" i="35" s="1"/>
  <c r="E13" i="33"/>
  <c r="W47" i="35" s="1"/>
  <c r="E9" i="33"/>
  <c r="W43" i="35" s="1"/>
  <c r="I171" i="29"/>
  <c r="P52" i="42"/>
  <c r="J52" i="42"/>
  <c r="Q52" i="42"/>
  <c r="K50" i="28"/>
  <c r="L69" i="28"/>
  <c r="T106" i="31"/>
  <c r="I106" i="31"/>
  <c r="M38" i="31"/>
  <c r="V69" i="28"/>
  <c r="M53" i="28"/>
  <c r="T69" i="28"/>
  <c r="K55" i="28"/>
  <c r="I69" i="28"/>
  <c r="Q69" i="28"/>
  <c r="M49" i="28"/>
  <c r="M51" i="28"/>
  <c r="K48" i="28"/>
  <c r="P69" i="28"/>
  <c r="K37" i="31"/>
  <c r="G21" i="33"/>
  <c r="X55" i="35" s="1"/>
  <c r="K54" i="28"/>
  <c r="M69" i="28"/>
  <c r="M47" i="28"/>
  <c r="I166" i="29"/>
  <c r="G16" i="33"/>
  <c r="X50" i="35" s="1"/>
  <c r="I160" i="29"/>
  <c r="G10" i="33"/>
  <c r="X44" i="35" s="1"/>
  <c r="I164" i="29"/>
  <c r="G14" i="33"/>
  <c r="X48" i="35" s="1"/>
  <c r="I168" i="29"/>
  <c r="G18" i="33"/>
  <c r="X52" i="35" s="1"/>
  <c r="I170" i="29"/>
  <c r="G20" i="33"/>
  <c r="X54" i="35" s="1"/>
  <c r="I174" i="29"/>
  <c r="G24" i="33"/>
  <c r="X58" i="35" s="1"/>
  <c r="K47" i="28"/>
  <c r="K42" i="28"/>
  <c r="I57" i="28"/>
  <c r="M57" i="28" s="1"/>
  <c r="M42" i="28"/>
  <c r="M52" i="28"/>
  <c r="R69" i="28"/>
  <c r="K52" i="28"/>
  <c r="X81" i="27"/>
  <c r="Y81" i="27"/>
  <c r="C94" i="16"/>
  <c r="AJ70" i="35" l="1"/>
  <c r="AE119" i="35"/>
  <c r="AD78" i="35"/>
  <c r="E201" i="30"/>
  <c r="I15" i="33" s="1"/>
  <c r="Y49" i="35" s="1"/>
  <c r="AC122" i="35"/>
  <c r="AA122" i="35"/>
  <c r="AC115" i="35"/>
  <c r="AA115" i="35"/>
  <c r="AC123" i="35"/>
  <c r="AA123" i="35"/>
  <c r="AA119" i="35"/>
  <c r="AC119" i="35"/>
  <c r="AA126" i="35"/>
  <c r="AC126" i="35"/>
  <c r="AA114" i="35"/>
  <c r="AC114" i="35"/>
  <c r="AA121" i="35"/>
  <c r="AC121" i="35"/>
  <c r="AA113" i="35"/>
  <c r="AC127" i="35"/>
  <c r="AA127" i="35"/>
  <c r="M129" i="35"/>
  <c r="AD76" i="35"/>
  <c r="AD77" i="35"/>
  <c r="AD65" i="35"/>
  <c r="AD72" i="35"/>
  <c r="AD66" i="35"/>
  <c r="L129" i="35"/>
  <c r="AD80" i="35"/>
  <c r="AD67" i="35"/>
  <c r="AD75" i="35"/>
  <c r="AD64" i="35"/>
  <c r="AD69" i="35"/>
  <c r="AD74" i="35"/>
  <c r="AD79" i="35"/>
  <c r="AD71" i="35"/>
  <c r="AD73" i="35"/>
  <c r="AD68" i="35"/>
  <c r="E195" i="30"/>
  <c r="I9" i="33" s="1"/>
  <c r="M106" i="31"/>
  <c r="K16" i="33" s="1"/>
  <c r="Z50" i="35" s="1"/>
  <c r="E196" i="30"/>
  <c r="I10" i="33" s="1"/>
  <c r="Y44" i="35" s="1"/>
  <c r="E207" i="30"/>
  <c r="I21" i="33" s="1"/>
  <c r="Y55" i="35" s="1"/>
  <c r="E199" i="30"/>
  <c r="I13" i="33" s="1"/>
  <c r="Y47" i="35" s="1"/>
  <c r="E208" i="30"/>
  <c r="I22" i="33" s="1"/>
  <c r="Y56" i="35" s="1"/>
  <c r="K40" i="31"/>
  <c r="E204" i="30"/>
  <c r="I18" i="33" s="1"/>
  <c r="Y52" i="35" s="1"/>
  <c r="E203" i="30"/>
  <c r="I17" i="33" s="1"/>
  <c r="Y51" i="35" s="1"/>
  <c r="E206" i="30"/>
  <c r="I20" i="33" s="1"/>
  <c r="Y54" i="35" s="1"/>
  <c r="E210" i="30"/>
  <c r="I24" i="33" s="1"/>
  <c r="Y58" i="35" s="1"/>
  <c r="E202" i="30"/>
  <c r="I16" i="33" s="1"/>
  <c r="Y50" i="35" s="1"/>
  <c r="T184" i="30"/>
  <c r="E209" i="30"/>
  <c r="I23" i="33" s="1"/>
  <c r="Y57" i="35" s="1"/>
  <c r="E205" i="30"/>
  <c r="I19" i="33" s="1"/>
  <c r="Y53" i="35" s="1"/>
  <c r="E197" i="30"/>
  <c r="I11" i="33" s="1"/>
  <c r="Y45" i="35" s="1"/>
  <c r="E198" i="30"/>
  <c r="I12" i="33" s="1"/>
  <c r="Y46" i="35" s="1"/>
  <c r="K39" i="31"/>
  <c r="M40" i="31"/>
  <c r="I52" i="31"/>
  <c r="M52" i="31" s="1"/>
  <c r="N106" i="31"/>
  <c r="K17" i="33" s="1"/>
  <c r="Z51" i="35" s="1"/>
  <c r="K41" i="31"/>
  <c r="M36" i="31"/>
  <c r="K36" i="31"/>
  <c r="C186" i="35"/>
  <c r="G211" i="35" s="1"/>
  <c r="I211" i="35" s="1"/>
  <c r="AG70" i="35"/>
  <c r="K9" i="33"/>
  <c r="Z43" i="35" s="1"/>
  <c r="K12" i="33"/>
  <c r="Z46" i="35" s="1"/>
  <c r="K23" i="33"/>
  <c r="Z57" i="35" s="1"/>
  <c r="E15" i="33"/>
  <c r="W49" i="35" s="1"/>
  <c r="E22" i="33"/>
  <c r="W56" i="35" s="1"/>
  <c r="E18" i="33"/>
  <c r="W52" i="35" s="1"/>
  <c r="E19" i="33"/>
  <c r="W53" i="35" s="1"/>
  <c r="E11" i="33"/>
  <c r="W45" i="35" s="1"/>
  <c r="E24" i="33"/>
  <c r="W58" i="35" s="1"/>
  <c r="E14" i="33"/>
  <c r="W48" i="35" s="1"/>
  <c r="E20" i="33"/>
  <c r="W54" i="35" s="1"/>
  <c r="X60" i="35"/>
  <c r="D99" i="16"/>
  <c r="H99" i="16"/>
  <c r="G25" i="33"/>
  <c r="X59" i="35" s="1"/>
  <c r="K57" i="28"/>
  <c r="E81" i="27"/>
  <c r="G54" i="27"/>
  <c r="G55" i="27" s="1"/>
  <c r="G50" i="27"/>
  <c r="F136" i="23"/>
  <c r="N24" i="13" s="1"/>
  <c r="AA35" i="35" s="1"/>
  <c r="L23" i="26"/>
  <c r="L22" i="26"/>
  <c r="E22" i="26"/>
  <c r="E8" i="26"/>
  <c r="E14" i="26"/>
  <c r="E13" i="26"/>
  <c r="H22" i="26"/>
  <c r="G22" i="26"/>
  <c r="E7" i="26"/>
  <c r="E10" i="26"/>
  <c r="E11" i="26"/>
  <c r="E12" i="26"/>
  <c r="E15" i="26"/>
  <c r="E16" i="26"/>
  <c r="E17" i="26"/>
  <c r="E19" i="26"/>
  <c r="E21" i="26"/>
  <c r="H7" i="26"/>
  <c r="H8" i="26"/>
  <c r="H9" i="26"/>
  <c r="H10" i="26"/>
  <c r="H11" i="26"/>
  <c r="H12" i="26"/>
  <c r="H13" i="26"/>
  <c r="H14" i="26"/>
  <c r="H15" i="26"/>
  <c r="H16" i="26"/>
  <c r="H17" i="26"/>
  <c r="H18" i="26"/>
  <c r="H19" i="26"/>
  <c r="H20" i="26"/>
  <c r="H21" i="26"/>
  <c r="H6" i="26"/>
  <c r="AJ69" i="35" l="1"/>
  <c r="AE118" i="35"/>
  <c r="AJ80" i="35"/>
  <c r="AE129" i="35"/>
  <c r="AJ65" i="35"/>
  <c r="AE114" i="35"/>
  <c r="AJ71" i="35"/>
  <c r="AE120" i="35"/>
  <c r="AJ64" i="35"/>
  <c r="AE113" i="35"/>
  <c r="AJ77" i="35"/>
  <c r="AE126" i="35"/>
  <c r="AJ79" i="35"/>
  <c r="AE128" i="35"/>
  <c r="AJ75" i="35"/>
  <c r="AE124" i="35"/>
  <c r="AJ66" i="35"/>
  <c r="AE115" i="35"/>
  <c r="AJ76" i="35"/>
  <c r="AE125" i="35"/>
  <c r="AJ68" i="35"/>
  <c r="AE117" i="35"/>
  <c r="AJ74" i="35"/>
  <c r="AE123" i="35"/>
  <c r="AJ67" i="35"/>
  <c r="AE116" i="35"/>
  <c r="AJ72" i="35"/>
  <c r="AE121" i="35"/>
  <c r="AJ78" i="35"/>
  <c r="AE127" i="35"/>
  <c r="AJ73" i="35"/>
  <c r="AE122" i="35"/>
  <c r="AG67" i="35"/>
  <c r="AG65" i="35"/>
  <c r="AG64" i="35"/>
  <c r="AG78" i="35"/>
  <c r="AG72" i="35"/>
  <c r="AG71" i="35"/>
  <c r="AG77" i="35"/>
  <c r="AC129" i="35"/>
  <c r="AA129" i="35"/>
  <c r="AG76" i="35"/>
  <c r="AG68" i="35"/>
  <c r="AG73" i="35"/>
  <c r="AG80" i="35"/>
  <c r="AG66" i="35"/>
  <c r="AG69" i="35"/>
  <c r="AG75" i="35"/>
  <c r="AG74" i="35"/>
  <c r="AG79" i="35"/>
  <c r="K52" i="31"/>
  <c r="E211" i="30"/>
  <c r="I25" i="33" s="1"/>
  <c r="Y59" i="35" s="1"/>
  <c r="H186" i="35"/>
  <c r="F186" i="35"/>
  <c r="J127" i="35"/>
  <c r="G127" i="35"/>
  <c r="Q127" i="35" s="1"/>
  <c r="R127" i="35"/>
  <c r="J186" i="35"/>
  <c r="C189" i="35"/>
  <c r="G214" i="35" s="1"/>
  <c r="I214" i="35" s="1"/>
  <c r="R129" i="35"/>
  <c r="G129" i="35"/>
  <c r="Q129" i="35" s="1"/>
  <c r="J129" i="35"/>
  <c r="C184" i="35"/>
  <c r="G209" i="35" s="1"/>
  <c r="I209" i="35" s="1"/>
  <c r="R125" i="35"/>
  <c r="J125" i="35"/>
  <c r="G125" i="35"/>
  <c r="Q125" i="35" s="1"/>
  <c r="C183" i="35"/>
  <c r="G208" i="35" s="1"/>
  <c r="I208" i="35" s="1"/>
  <c r="G124" i="35"/>
  <c r="Q124" i="35" s="1"/>
  <c r="J124" i="35"/>
  <c r="R124" i="35"/>
  <c r="C180" i="35"/>
  <c r="G205" i="35" s="1"/>
  <c r="I205" i="35" s="1"/>
  <c r="R121" i="35"/>
  <c r="J121" i="35"/>
  <c r="G121" i="35"/>
  <c r="Q121" i="35" s="1"/>
  <c r="C173" i="35"/>
  <c r="G198" i="35" s="1"/>
  <c r="I198" i="35" s="1"/>
  <c r="J114" i="35"/>
  <c r="R114" i="35"/>
  <c r="G114" i="35"/>
  <c r="Q114" i="35" s="1"/>
  <c r="C185" i="35"/>
  <c r="G210" i="35" s="1"/>
  <c r="I210" i="35" s="1"/>
  <c r="J126" i="35"/>
  <c r="G126" i="35"/>
  <c r="Q126" i="35" s="1"/>
  <c r="R126" i="35"/>
  <c r="C182" i="35"/>
  <c r="G207" i="35" s="1"/>
  <c r="I207" i="35" s="1"/>
  <c r="G123" i="35"/>
  <c r="Q123" i="35" s="1"/>
  <c r="R123" i="35"/>
  <c r="J123" i="35"/>
  <c r="C177" i="35"/>
  <c r="G202" i="35" s="1"/>
  <c r="I202" i="35" s="1"/>
  <c r="J118" i="35"/>
  <c r="R118" i="35"/>
  <c r="G118" i="35"/>
  <c r="Q118" i="35" s="1"/>
  <c r="C179" i="35"/>
  <c r="G204" i="35" s="1"/>
  <c r="I204" i="35" s="1"/>
  <c r="J120" i="35"/>
  <c r="R120" i="35"/>
  <c r="G120" i="35"/>
  <c r="Q120" i="35" s="1"/>
  <c r="C178" i="35"/>
  <c r="G203" i="35" s="1"/>
  <c r="I203" i="35" s="1"/>
  <c r="J119" i="35"/>
  <c r="G119" i="35"/>
  <c r="Q119" i="35" s="1"/>
  <c r="R119" i="35"/>
  <c r="C187" i="35"/>
  <c r="R128" i="35"/>
  <c r="J128" i="35"/>
  <c r="G128" i="35"/>
  <c r="Q128" i="35" s="1"/>
  <c r="C176" i="35"/>
  <c r="G201" i="35" s="1"/>
  <c r="I201" i="35" s="1"/>
  <c r="J117" i="35"/>
  <c r="R117" i="35"/>
  <c r="G117" i="35"/>
  <c r="Q117" i="35" s="1"/>
  <c r="C174" i="35"/>
  <c r="G199" i="35" s="1"/>
  <c r="I199" i="35" s="1"/>
  <c r="J115" i="35"/>
  <c r="G115" i="35"/>
  <c r="Q115" i="35" s="1"/>
  <c r="R115" i="35"/>
  <c r="C172" i="35"/>
  <c r="G197" i="35" s="1"/>
  <c r="I197" i="35" s="1"/>
  <c r="R113" i="35"/>
  <c r="G113" i="35"/>
  <c r="Q113" i="35" s="1"/>
  <c r="J113" i="35"/>
  <c r="D130" i="35"/>
  <c r="C181" i="35"/>
  <c r="G206" i="35" s="1"/>
  <c r="I206" i="35" s="1"/>
  <c r="G122" i="35"/>
  <c r="Q122" i="35" s="1"/>
  <c r="R122" i="35"/>
  <c r="J122" i="35"/>
  <c r="C175" i="35"/>
  <c r="G200" i="35" s="1"/>
  <c r="I200" i="35" s="1"/>
  <c r="G116" i="35"/>
  <c r="Q116" i="35" s="1"/>
  <c r="J116" i="35"/>
  <c r="R116" i="35"/>
  <c r="Y43" i="35"/>
  <c r="Y60" i="35" s="1"/>
  <c r="Z60" i="35"/>
  <c r="K25" i="33"/>
  <c r="Z59" i="35" s="1"/>
  <c r="W60" i="35"/>
  <c r="E25" i="33"/>
  <c r="W59" i="35" s="1"/>
  <c r="G81" i="27"/>
  <c r="G77" i="27"/>
  <c r="J77" i="27" s="1"/>
  <c r="N77" i="27" s="1"/>
  <c r="G73" i="27"/>
  <c r="J73" i="27" s="1"/>
  <c r="N73" i="27" s="1"/>
  <c r="G69" i="27"/>
  <c r="J69" i="27" s="1"/>
  <c r="N69" i="27" s="1"/>
  <c r="G65" i="27"/>
  <c r="J65" i="27" s="1"/>
  <c r="N65" i="27" s="1"/>
  <c r="G80" i="27"/>
  <c r="J80" i="27" s="1"/>
  <c r="N80" i="27" s="1"/>
  <c r="G76" i="27"/>
  <c r="J76" i="27" s="1"/>
  <c r="N76" i="27" s="1"/>
  <c r="G78" i="27"/>
  <c r="J78" i="27" s="1"/>
  <c r="N78" i="27" s="1"/>
  <c r="G75" i="27"/>
  <c r="J75" i="27" s="1"/>
  <c r="N75" i="27" s="1"/>
  <c r="G68" i="27"/>
  <c r="J68" i="27" s="1"/>
  <c r="N68" i="27" s="1"/>
  <c r="G79" i="27"/>
  <c r="J79" i="27" s="1"/>
  <c r="N79" i="27" s="1"/>
  <c r="G72" i="27"/>
  <c r="J72" i="27" s="1"/>
  <c r="N72" i="27" s="1"/>
  <c r="G70" i="27"/>
  <c r="J70" i="27" s="1"/>
  <c r="N70" i="27" s="1"/>
  <c r="G74" i="27"/>
  <c r="J74" i="27" s="1"/>
  <c r="N74" i="27" s="1"/>
  <c r="G67" i="27"/>
  <c r="J67" i="27" s="1"/>
  <c r="N67" i="27" s="1"/>
  <c r="G71" i="27"/>
  <c r="J71" i="27" s="1"/>
  <c r="N71" i="27" s="1"/>
  <c r="F122" i="23"/>
  <c r="N10" i="13" s="1"/>
  <c r="AA21" i="35" s="1"/>
  <c r="F123" i="23"/>
  <c r="N11" i="13" s="1"/>
  <c r="AA22" i="35" s="1"/>
  <c r="F126" i="23"/>
  <c r="N14" i="13" s="1"/>
  <c r="AA25" i="35" s="1"/>
  <c r="F128" i="23"/>
  <c r="N16" i="13" s="1"/>
  <c r="AA27" i="35" s="1"/>
  <c r="F130" i="23"/>
  <c r="N18" i="13" s="1"/>
  <c r="AA29" i="35" s="1"/>
  <c r="F134" i="23"/>
  <c r="N22" i="13" s="1"/>
  <c r="AA33" i="35" s="1"/>
  <c r="F121" i="23"/>
  <c r="N9" i="13" s="1"/>
  <c r="AA20" i="35" s="1"/>
  <c r="F124" i="23"/>
  <c r="N12" i="13" s="1"/>
  <c r="AA23" i="35" s="1"/>
  <c r="F125" i="23"/>
  <c r="N13" i="13" s="1"/>
  <c r="AA24" i="35" s="1"/>
  <c r="F127" i="23"/>
  <c r="N15" i="13" s="1"/>
  <c r="AA26" i="35" s="1"/>
  <c r="F129" i="23"/>
  <c r="N17" i="13" s="1"/>
  <c r="AA28" i="35" s="1"/>
  <c r="F131" i="23"/>
  <c r="N19" i="13" s="1"/>
  <c r="AA30" i="35" s="1"/>
  <c r="F132" i="23"/>
  <c r="N20" i="13" s="1"/>
  <c r="AA31" i="35" s="1"/>
  <c r="F133" i="23"/>
  <c r="N21" i="13" s="1"/>
  <c r="AA32" i="35" s="1"/>
  <c r="F135" i="23"/>
  <c r="N23" i="13" s="1"/>
  <c r="AA34" i="35" s="1"/>
  <c r="D22" i="26"/>
  <c r="C22" i="26"/>
  <c r="G212" i="35" l="1"/>
  <c r="I212" i="35" s="1"/>
  <c r="F187" i="35"/>
  <c r="J178" i="35"/>
  <c r="F178" i="35"/>
  <c r="H178" i="35"/>
  <c r="J185" i="35"/>
  <c r="F185" i="35"/>
  <c r="H185" i="35"/>
  <c r="J181" i="35"/>
  <c r="F181" i="35"/>
  <c r="H181" i="35"/>
  <c r="J176" i="35"/>
  <c r="F176" i="35"/>
  <c r="H176" i="35"/>
  <c r="F177" i="35"/>
  <c r="J177" i="35"/>
  <c r="H177" i="35"/>
  <c r="F180" i="35"/>
  <c r="J180" i="35"/>
  <c r="H180" i="35"/>
  <c r="J187" i="35"/>
  <c r="H187" i="35"/>
  <c r="J182" i="35"/>
  <c r="F182" i="35"/>
  <c r="H182" i="35"/>
  <c r="J183" i="35"/>
  <c r="F183" i="35"/>
  <c r="H183" i="35"/>
  <c r="J184" i="35"/>
  <c r="F184" i="35"/>
  <c r="H184" i="35"/>
  <c r="F175" i="35"/>
  <c r="J175" i="35"/>
  <c r="H175" i="35"/>
  <c r="J174" i="35"/>
  <c r="F174" i="35"/>
  <c r="H174" i="35"/>
  <c r="F179" i="35"/>
  <c r="J179" i="35"/>
  <c r="H179" i="35"/>
  <c r="J173" i="35"/>
  <c r="F173" i="35"/>
  <c r="H173" i="35"/>
  <c r="J189" i="35"/>
  <c r="F189" i="35"/>
  <c r="H189" i="35"/>
  <c r="AA37" i="35"/>
  <c r="I80" i="27"/>
  <c r="I76" i="27"/>
  <c r="I72" i="27"/>
  <c r="I68" i="27"/>
  <c r="I79" i="27"/>
  <c r="I81" i="27"/>
  <c r="I70" i="27"/>
  <c r="I74" i="27"/>
  <c r="I67" i="27"/>
  <c r="I65" i="27"/>
  <c r="I77" i="27"/>
  <c r="I71" i="27"/>
  <c r="I69" i="27"/>
  <c r="I78" i="27"/>
  <c r="I75" i="27"/>
  <c r="I73" i="27"/>
  <c r="N25" i="13"/>
  <c r="F137" i="23"/>
  <c r="G137" i="23" s="1"/>
  <c r="L73" i="27" l="1"/>
  <c r="O73" i="27" s="1"/>
  <c r="D17" i="33" s="1"/>
  <c r="V51" i="35" s="1"/>
  <c r="L74" i="27"/>
  <c r="O74" i="27" s="1"/>
  <c r="D18" i="33" s="1"/>
  <c r="L75" i="27"/>
  <c r="O75" i="27" s="1"/>
  <c r="D19" i="33" s="1"/>
  <c r="L70" i="27"/>
  <c r="O70" i="27" s="1"/>
  <c r="D14" i="33" s="1"/>
  <c r="L78" i="27"/>
  <c r="O78" i="27" s="1"/>
  <c r="D22" i="33" s="1"/>
  <c r="L76" i="27"/>
  <c r="O76" i="27" s="1"/>
  <c r="D20" i="33" s="1"/>
  <c r="L71" i="27"/>
  <c r="O71" i="27" s="1"/>
  <c r="D15" i="33" s="1"/>
  <c r="O15" i="33" s="1"/>
  <c r="AB49" i="35" s="1"/>
  <c r="L68" i="27"/>
  <c r="O68" i="27" s="1"/>
  <c r="D12" i="33" s="1"/>
  <c r="L77" i="27"/>
  <c r="O77" i="27" s="1"/>
  <c r="D21" i="33" s="1"/>
  <c r="O21" i="33" s="1"/>
  <c r="AB55" i="35" s="1"/>
  <c r="L72" i="27"/>
  <c r="O72" i="27" s="1"/>
  <c r="D16" i="33" s="1"/>
  <c r="L65" i="27"/>
  <c r="O65" i="27" s="1"/>
  <c r="D9" i="33" s="1"/>
  <c r="O9" i="33" s="1"/>
  <c r="AB43" i="35" s="1"/>
  <c r="L69" i="27"/>
  <c r="O69" i="27" s="1"/>
  <c r="D13" i="33" s="1"/>
  <c r="L67" i="27"/>
  <c r="O67" i="27" s="1"/>
  <c r="D11" i="33" s="1"/>
  <c r="L79" i="27"/>
  <c r="O79" i="27" s="1"/>
  <c r="D23" i="33" s="1"/>
  <c r="L80" i="27"/>
  <c r="O80" i="27" s="1"/>
  <c r="D24" i="33" s="1"/>
  <c r="C158" i="24"/>
  <c r="E138" i="24"/>
  <c r="E146" i="24"/>
  <c r="C159" i="24"/>
  <c r="C160" i="24"/>
  <c r="C161" i="24"/>
  <c r="C162" i="24"/>
  <c r="C163" i="24"/>
  <c r="C164" i="24"/>
  <c r="C165" i="24"/>
  <c r="C166" i="24"/>
  <c r="C167" i="24"/>
  <c r="C168" i="24"/>
  <c r="C169" i="24"/>
  <c r="C170" i="24"/>
  <c r="C171" i="24"/>
  <c r="C172" i="24"/>
  <c r="C173" i="24"/>
  <c r="C174" i="24"/>
  <c r="AD42" i="24"/>
  <c r="AD43" i="24"/>
  <c r="AD44" i="24"/>
  <c r="AD45" i="24"/>
  <c r="AD46" i="24"/>
  <c r="AD47" i="24"/>
  <c r="AD48" i="24"/>
  <c r="AD49" i="24"/>
  <c r="AD50" i="24"/>
  <c r="AD51" i="24"/>
  <c r="AD52" i="24"/>
  <c r="AD53" i="24"/>
  <c r="AD54" i="24"/>
  <c r="AD55" i="24"/>
  <c r="AD57" i="24"/>
  <c r="AD41" i="24"/>
  <c r="O42" i="24"/>
  <c r="O43" i="24"/>
  <c r="O44" i="24"/>
  <c r="O45" i="24"/>
  <c r="O46" i="24"/>
  <c r="O47" i="24"/>
  <c r="O48" i="24"/>
  <c r="O49" i="24"/>
  <c r="O50" i="24"/>
  <c r="O51" i="24"/>
  <c r="O52" i="24"/>
  <c r="O53" i="24"/>
  <c r="O54" i="24"/>
  <c r="O55" i="24"/>
  <c r="O57" i="24"/>
  <c r="O41" i="24"/>
  <c r="AD16" i="24"/>
  <c r="AD17" i="24"/>
  <c r="AD18" i="24"/>
  <c r="AD19" i="24"/>
  <c r="AD20" i="24"/>
  <c r="AD21" i="24"/>
  <c r="AD22" i="24"/>
  <c r="AD23" i="24"/>
  <c r="AD24" i="24"/>
  <c r="AD25" i="24"/>
  <c r="AD26" i="24"/>
  <c r="AD27" i="24"/>
  <c r="AD28" i="24"/>
  <c r="AD29" i="24"/>
  <c r="AD30" i="24"/>
  <c r="AD31" i="24"/>
  <c r="AD15" i="24"/>
  <c r="AC16" i="24"/>
  <c r="AC17" i="24"/>
  <c r="AC18" i="24"/>
  <c r="AC19" i="24"/>
  <c r="AC20" i="24"/>
  <c r="AC21" i="24"/>
  <c r="AC22" i="24"/>
  <c r="AC23" i="24"/>
  <c r="AC24" i="24"/>
  <c r="AC25" i="24"/>
  <c r="AC26" i="24"/>
  <c r="AC27" i="24"/>
  <c r="AC28" i="24"/>
  <c r="AC29" i="24"/>
  <c r="AC30" i="24"/>
  <c r="AC31" i="24"/>
  <c r="AC15" i="24"/>
  <c r="AF55" i="35" l="1"/>
  <c r="AF43" i="35"/>
  <c r="AF49" i="35"/>
  <c r="O17" i="33"/>
  <c r="AB51" i="35" s="1"/>
  <c r="V53" i="35"/>
  <c r="O19" i="33"/>
  <c r="AB53" i="35" s="1"/>
  <c r="V47" i="35"/>
  <c r="O13" i="33"/>
  <c r="AB47" i="35" s="1"/>
  <c r="V57" i="35"/>
  <c r="O23" i="33"/>
  <c r="AB57" i="35" s="1"/>
  <c r="V56" i="35"/>
  <c r="O22" i="33"/>
  <c r="AB56" i="35" s="1"/>
  <c r="V45" i="35"/>
  <c r="O11" i="33"/>
  <c r="AB45" i="35" s="1"/>
  <c r="V46" i="35"/>
  <c r="O12" i="33"/>
  <c r="AB46" i="35" s="1"/>
  <c r="V50" i="35"/>
  <c r="O16" i="33"/>
  <c r="AB50" i="35" s="1"/>
  <c r="V52" i="35"/>
  <c r="O18" i="33"/>
  <c r="AB52" i="35" s="1"/>
  <c r="V54" i="35"/>
  <c r="O20" i="33"/>
  <c r="AB54" i="35" s="1"/>
  <c r="O24" i="33"/>
  <c r="AB58" i="35" s="1"/>
  <c r="V58" i="35"/>
  <c r="V48" i="35"/>
  <c r="O14" i="33"/>
  <c r="AB48" i="35" s="1"/>
  <c r="V43" i="35"/>
  <c r="V55" i="35"/>
  <c r="V49" i="35"/>
  <c r="AK43" i="35"/>
  <c r="AK49" i="35"/>
  <c r="C42" i="33"/>
  <c r="O42" i="33" s="1"/>
  <c r="C36" i="33"/>
  <c r="O36" i="33" s="1"/>
  <c r="C30" i="33"/>
  <c r="O30" i="33" s="1"/>
  <c r="R79" i="25"/>
  <c r="V79" i="25" s="1"/>
  <c r="X79" i="25" s="1"/>
  <c r="R75" i="25"/>
  <c r="V75" i="25" s="1"/>
  <c r="X75" i="25" s="1"/>
  <c r="E73" i="25"/>
  <c r="R70" i="25"/>
  <c r="V70" i="25" s="1"/>
  <c r="X70" i="25" s="1"/>
  <c r="E144" i="24"/>
  <c r="E142" i="24"/>
  <c r="I134" i="24"/>
  <c r="J134" i="24" s="1"/>
  <c r="G134" i="24" s="1"/>
  <c r="F134" i="24"/>
  <c r="E134" i="24"/>
  <c r="D134" i="24"/>
  <c r="C134" i="24"/>
  <c r="F133" i="24"/>
  <c r="E133" i="24"/>
  <c r="D133" i="24"/>
  <c r="C133" i="24"/>
  <c r="F132" i="24"/>
  <c r="E132" i="24"/>
  <c r="D132" i="24"/>
  <c r="C132" i="24"/>
  <c r="I131" i="24"/>
  <c r="J131" i="24" s="1"/>
  <c r="F131" i="24"/>
  <c r="G131" i="24" s="1"/>
  <c r="E131" i="24"/>
  <c r="D131" i="24"/>
  <c r="C131" i="24"/>
  <c r="I130" i="24"/>
  <c r="J130" i="24" s="1"/>
  <c r="G130" i="24" s="1"/>
  <c r="F130" i="24"/>
  <c r="E130" i="24"/>
  <c r="D130" i="24"/>
  <c r="C130" i="24"/>
  <c r="F129" i="24"/>
  <c r="E129" i="24"/>
  <c r="D129" i="24"/>
  <c r="C129" i="24"/>
  <c r="F128" i="24"/>
  <c r="E128" i="24"/>
  <c r="D128" i="24"/>
  <c r="C128" i="24"/>
  <c r="I127" i="24"/>
  <c r="J127" i="24" s="1"/>
  <c r="F127" i="24"/>
  <c r="E127" i="24"/>
  <c r="D127" i="24"/>
  <c r="C127" i="24"/>
  <c r="I126" i="24"/>
  <c r="J126" i="24" s="1"/>
  <c r="G126" i="24" s="1"/>
  <c r="F126" i="24"/>
  <c r="E126" i="24"/>
  <c r="D126" i="24"/>
  <c r="C126" i="24"/>
  <c r="F125" i="24"/>
  <c r="E125" i="24"/>
  <c r="D125" i="24"/>
  <c r="C125" i="24"/>
  <c r="F124" i="24"/>
  <c r="E124" i="24"/>
  <c r="D124" i="24"/>
  <c r="C124" i="24"/>
  <c r="I123" i="24"/>
  <c r="J123" i="24" s="1"/>
  <c r="F123" i="24"/>
  <c r="G123" i="24" s="1"/>
  <c r="E123" i="24"/>
  <c r="D123" i="24"/>
  <c r="C123" i="24"/>
  <c r="I122" i="24"/>
  <c r="J122" i="24" s="1"/>
  <c r="G122" i="24" s="1"/>
  <c r="F122" i="24"/>
  <c r="E122" i="24"/>
  <c r="D122" i="24"/>
  <c r="C122" i="24"/>
  <c r="F121" i="24"/>
  <c r="E121" i="24"/>
  <c r="D121" i="24"/>
  <c r="C121" i="24"/>
  <c r="F120" i="24"/>
  <c r="E120" i="24"/>
  <c r="D120" i="24"/>
  <c r="C120" i="24"/>
  <c r="I119" i="24"/>
  <c r="J119" i="24" s="1"/>
  <c r="F119" i="24"/>
  <c r="E119" i="24"/>
  <c r="D119" i="24"/>
  <c r="C119" i="24"/>
  <c r="M118" i="24"/>
  <c r="I118" i="24"/>
  <c r="J118" i="24" s="1"/>
  <c r="F118" i="24"/>
  <c r="G118" i="24" s="1"/>
  <c r="E118" i="24"/>
  <c r="D118" i="24"/>
  <c r="C118" i="24"/>
  <c r="R112" i="24"/>
  <c r="I132" i="24" s="1"/>
  <c r="J132" i="24" s="1"/>
  <c r="L112" i="24"/>
  <c r="R111" i="24"/>
  <c r="L111" i="24"/>
  <c r="R110" i="24"/>
  <c r="L110" i="24"/>
  <c r="R109" i="24"/>
  <c r="L109" i="24"/>
  <c r="R108" i="24"/>
  <c r="L108" i="24"/>
  <c r="R107" i="24"/>
  <c r="L107" i="24"/>
  <c r="R106" i="24"/>
  <c r="L106" i="24"/>
  <c r="R105" i="24"/>
  <c r="L105" i="24"/>
  <c r="R104" i="24"/>
  <c r="L104" i="24"/>
  <c r="R103" i="24"/>
  <c r="L103" i="24"/>
  <c r="R102" i="24"/>
  <c r="L102" i="24"/>
  <c r="R101" i="24"/>
  <c r="L101" i="24"/>
  <c r="R100" i="24"/>
  <c r="L100" i="24"/>
  <c r="R99" i="24"/>
  <c r="L99" i="24"/>
  <c r="R98" i="24"/>
  <c r="L98" i="24"/>
  <c r="R97" i="24"/>
  <c r="L97" i="24"/>
  <c r="R96" i="24"/>
  <c r="L96" i="24"/>
  <c r="F93" i="24"/>
  <c r="AH55" i="35" l="1"/>
  <c r="AE148" i="35" s="1"/>
  <c r="C35" i="33"/>
  <c r="K35" i="33" s="1"/>
  <c r="AF48" i="35"/>
  <c r="C41" i="33"/>
  <c r="K41" i="33" s="1"/>
  <c r="AF54" i="35"/>
  <c r="AF50" i="35"/>
  <c r="C32" i="33"/>
  <c r="O32" i="33" s="1"/>
  <c r="AF45" i="35"/>
  <c r="AF57" i="35"/>
  <c r="C40" i="33"/>
  <c r="O40" i="33" s="1"/>
  <c r="AF53" i="35"/>
  <c r="D98" i="35"/>
  <c r="Z142" i="35" s="1"/>
  <c r="AH43" i="35"/>
  <c r="AE136" i="35" s="1"/>
  <c r="D92" i="35"/>
  <c r="Z136" i="35" s="1"/>
  <c r="C39" i="33"/>
  <c r="C61" i="33" s="1"/>
  <c r="P61" i="33" s="1"/>
  <c r="AF52" i="35"/>
  <c r="AK46" i="35"/>
  <c r="C43" i="33"/>
  <c r="K43" i="33" s="1"/>
  <c r="AF56" i="35"/>
  <c r="AF47" i="35"/>
  <c r="AF51" i="35"/>
  <c r="AH49" i="35"/>
  <c r="AE142" i="35" s="1"/>
  <c r="AK55" i="35"/>
  <c r="D107" i="35"/>
  <c r="Z151" i="35" s="1"/>
  <c r="D104" i="35"/>
  <c r="Z148" i="35" s="1"/>
  <c r="C44" i="33"/>
  <c r="C66" i="33" s="1"/>
  <c r="Q66" i="33" s="1"/>
  <c r="C38" i="33"/>
  <c r="C60" i="33" s="1"/>
  <c r="Q60" i="33" s="1"/>
  <c r="C37" i="33"/>
  <c r="O37" i="33" s="1"/>
  <c r="C33" i="33"/>
  <c r="M33" i="33" s="1"/>
  <c r="C45" i="33"/>
  <c r="M45" i="33" s="1"/>
  <c r="C34" i="33"/>
  <c r="M34" i="33" s="1"/>
  <c r="T68" i="25"/>
  <c r="W68" i="25" s="1"/>
  <c r="Y68" i="25" s="1"/>
  <c r="T71" i="25"/>
  <c r="W71" i="25" s="1"/>
  <c r="Y71" i="25" s="1"/>
  <c r="T73" i="25"/>
  <c r="W73" i="25" s="1"/>
  <c r="Y73" i="25" s="1"/>
  <c r="T77" i="25"/>
  <c r="W77" i="25" s="1"/>
  <c r="Y77" i="25" s="1"/>
  <c r="T81" i="25"/>
  <c r="W81" i="25" s="1"/>
  <c r="Y81" i="25" s="1"/>
  <c r="T69" i="25"/>
  <c r="W69" i="25" s="1"/>
  <c r="Y69" i="25" s="1"/>
  <c r="T76" i="25"/>
  <c r="W76" i="25" s="1"/>
  <c r="Y76" i="25" s="1"/>
  <c r="T80" i="25"/>
  <c r="W80" i="25" s="1"/>
  <c r="Y80" i="25" s="1"/>
  <c r="R68" i="25"/>
  <c r="V68" i="25" s="1"/>
  <c r="X68" i="25" s="1"/>
  <c r="T67" i="25"/>
  <c r="W67" i="25" s="1"/>
  <c r="Y67" i="25" s="1"/>
  <c r="T72" i="25"/>
  <c r="W72" i="25" s="1"/>
  <c r="Y72" i="25" s="1"/>
  <c r="R74" i="25"/>
  <c r="V74" i="25" s="1"/>
  <c r="X74" i="25" s="1"/>
  <c r="R78" i="25"/>
  <c r="V78" i="25" s="1"/>
  <c r="X78" i="25" s="1"/>
  <c r="R82" i="25"/>
  <c r="V82" i="25" s="1"/>
  <c r="X82" i="25" s="1"/>
  <c r="C58" i="33"/>
  <c r="Q58" i="33" s="1"/>
  <c r="M36" i="33"/>
  <c r="K36" i="33"/>
  <c r="K42" i="33"/>
  <c r="C52" i="33"/>
  <c r="J52" i="33" s="1"/>
  <c r="C64" i="33"/>
  <c r="M42" i="33"/>
  <c r="M30" i="33"/>
  <c r="K30" i="33"/>
  <c r="E71" i="25"/>
  <c r="E68" i="25"/>
  <c r="T74" i="25"/>
  <c r="W74" i="25" s="1"/>
  <c r="Y74" i="25" s="1"/>
  <c r="T75" i="25"/>
  <c r="W75" i="25" s="1"/>
  <c r="Y75" i="25" s="1"/>
  <c r="E75" i="25"/>
  <c r="T79" i="25"/>
  <c r="W79" i="25" s="1"/>
  <c r="Y79" i="25" s="1"/>
  <c r="E79" i="25"/>
  <c r="R76" i="25"/>
  <c r="V76" i="25" s="1"/>
  <c r="X76" i="25" s="1"/>
  <c r="R72" i="25"/>
  <c r="V72" i="25" s="1"/>
  <c r="X72" i="25" s="1"/>
  <c r="R83" i="25"/>
  <c r="R80" i="25"/>
  <c r="V80" i="25" s="1"/>
  <c r="X80" i="25" s="1"/>
  <c r="R67" i="25"/>
  <c r="V67" i="25" s="1"/>
  <c r="X67" i="25" s="1"/>
  <c r="T70" i="25"/>
  <c r="W70" i="25" s="1"/>
  <c r="Y70" i="25" s="1"/>
  <c r="T78" i="25"/>
  <c r="W78" i="25" s="1"/>
  <c r="Y78" i="25" s="1"/>
  <c r="E70" i="25"/>
  <c r="E74" i="25"/>
  <c r="E82" i="25"/>
  <c r="R71" i="25"/>
  <c r="V71" i="25" s="1"/>
  <c r="X71" i="25" s="1"/>
  <c r="T82" i="25"/>
  <c r="W82" i="25" s="1"/>
  <c r="Y82" i="25" s="1"/>
  <c r="R69" i="25"/>
  <c r="V69" i="25" s="1"/>
  <c r="X69" i="25" s="1"/>
  <c r="E72" i="25"/>
  <c r="R73" i="25"/>
  <c r="V73" i="25" s="1"/>
  <c r="X73" i="25" s="1"/>
  <c r="E76" i="25"/>
  <c r="R77" i="25"/>
  <c r="V77" i="25" s="1"/>
  <c r="X77" i="25" s="1"/>
  <c r="E80" i="25"/>
  <c r="R81" i="25"/>
  <c r="V81" i="25" s="1"/>
  <c r="X81" i="25" s="1"/>
  <c r="E69" i="25"/>
  <c r="E77" i="25"/>
  <c r="E81" i="25"/>
  <c r="G128" i="24"/>
  <c r="G132" i="24"/>
  <c r="G119" i="24"/>
  <c r="G127" i="24"/>
  <c r="E139" i="24"/>
  <c r="I121" i="24"/>
  <c r="J121" i="24" s="1"/>
  <c r="G121" i="24" s="1"/>
  <c r="I125" i="24"/>
  <c r="J125" i="24" s="1"/>
  <c r="G125" i="24" s="1"/>
  <c r="I129" i="24"/>
  <c r="J129" i="24" s="1"/>
  <c r="G129" i="24" s="1"/>
  <c r="I133" i="24"/>
  <c r="J133" i="24" s="1"/>
  <c r="G133" i="24" s="1"/>
  <c r="I120" i="24"/>
  <c r="J120" i="24" s="1"/>
  <c r="G120" i="24" s="1"/>
  <c r="I124" i="24"/>
  <c r="J124" i="24" s="1"/>
  <c r="G124" i="24" s="1"/>
  <c r="I128" i="24"/>
  <c r="J128" i="24" s="1"/>
  <c r="AB136" i="35" l="1"/>
  <c r="AA136" i="35"/>
  <c r="AA151" i="35"/>
  <c r="AB151" i="35"/>
  <c r="AA142" i="35"/>
  <c r="AB142" i="35"/>
  <c r="AA148" i="35"/>
  <c r="AB148" i="35"/>
  <c r="M39" i="33"/>
  <c r="M32" i="33"/>
  <c r="AK50" i="35"/>
  <c r="C65" i="33"/>
  <c r="P65" i="33" s="1"/>
  <c r="M43" i="33"/>
  <c r="Q61" i="33"/>
  <c r="K39" i="33"/>
  <c r="M35" i="33"/>
  <c r="O35" i="33"/>
  <c r="C57" i="33"/>
  <c r="P57" i="33" s="1"/>
  <c r="AH50" i="35"/>
  <c r="AE143" i="35" s="1"/>
  <c r="AH58" i="35"/>
  <c r="AE151" i="35" s="1"/>
  <c r="O43" i="33"/>
  <c r="O41" i="33"/>
  <c r="AH57" i="35"/>
  <c r="AE150" i="35" s="1"/>
  <c r="D100" i="35"/>
  <c r="Z144" i="35" s="1"/>
  <c r="J61" i="33"/>
  <c r="AH46" i="35"/>
  <c r="AE139" i="35" s="1"/>
  <c r="AK58" i="35"/>
  <c r="AK51" i="35"/>
  <c r="AK57" i="35"/>
  <c r="D99" i="35"/>
  <c r="Z143" i="35" s="1"/>
  <c r="D95" i="35"/>
  <c r="Z139" i="35" s="1"/>
  <c r="O39" i="33"/>
  <c r="AH51" i="35"/>
  <c r="AE144" i="35" s="1"/>
  <c r="D106" i="35"/>
  <c r="Z150" i="35" s="1"/>
  <c r="AH47" i="35"/>
  <c r="AE140" i="35" s="1"/>
  <c r="M41" i="33"/>
  <c r="C54" i="33"/>
  <c r="J54" i="33" s="1"/>
  <c r="D96" i="35"/>
  <c r="Z140" i="35" s="1"/>
  <c r="AF58" i="35"/>
  <c r="AK47" i="35"/>
  <c r="C62" i="33"/>
  <c r="J62" i="33" s="1"/>
  <c r="M40" i="33"/>
  <c r="K40" i="33"/>
  <c r="AF46" i="35"/>
  <c r="C63" i="33"/>
  <c r="Q63" i="33" s="1"/>
  <c r="K32" i="33"/>
  <c r="D101" i="35"/>
  <c r="Z145" i="35" s="1"/>
  <c r="D102" i="35"/>
  <c r="Z146" i="35" s="1"/>
  <c r="D105" i="35"/>
  <c r="Z149" i="35" s="1"/>
  <c r="D103" i="35"/>
  <c r="Z147" i="35" s="1"/>
  <c r="D94" i="35"/>
  <c r="Z138" i="35" s="1"/>
  <c r="D97" i="35"/>
  <c r="Z141" i="35" s="1"/>
  <c r="J172" i="35"/>
  <c r="F172" i="35"/>
  <c r="H172" i="35"/>
  <c r="K44" i="33"/>
  <c r="AH45" i="35"/>
  <c r="AE138" i="35" s="1"/>
  <c r="O44" i="33"/>
  <c r="P66" i="33"/>
  <c r="M44" i="33"/>
  <c r="J66" i="33"/>
  <c r="AK45" i="35"/>
  <c r="M38" i="33"/>
  <c r="K37" i="33"/>
  <c r="AH56" i="35"/>
  <c r="AE149" i="35" s="1"/>
  <c r="AH52" i="35"/>
  <c r="AE145" i="35" s="1"/>
  <c r="O38" i="33"/>
  <c r="AK54" i="35"/>
  <c r="AH54" i="35"/>
  <c r="AE147" i="35" s="1"/>
  <c r="K33" i="33"/>
  <c r="AH53" i="35"/>
  <c r="AE146" i="35" s="1"/>
  <c r="AK56" i="35"/>
  <c r="K45" i="33"/>
  <c r="O33" i="33"/>
  <c r="P60" i="33"/>
  <c r="J60" i="33"/>
  <c r="C67" i="33"/>
  <c r="J67" i="33" s="1"/>
  <c r="M37" i="33"/>
  <c r="O45" i="33"/>
  <c r="C55" i="33"/>
  <c r="J55" i="33" s="1"/>
  <c r="K38" i="33"/>
  <c r="C59" i="33"/>
  <c r="J59" i="33" s="1"/>
  <c r="AK53" i="35"/>
  <c r="AK52" i="35"/>
  <c r="C56" i="33"/>
  <c r="O34" i="33"/>
  <c r="K34" i="33"/>
  <c r="AK48" i="35"/>
  <c r="AH48" i="35"/>
  <c r="AE141" i="35" s="1"/>
  <c r="Y83" i="25"/>
  <c r="J58" i="33"/>
  <c r="P58" i="33"/>
  <c r="Q52" i="33"/>
  <c r="P52" i="33"/>
  <c r="P64" i="33"/>
  <c r="Q64" i="33"/>
  <c r="J64" i="33"/>
  <c r="E78" i="25"/>
  <c r="E67" i="25"/>
  <c r="G56" i="25"/>
  <c r="X83" i="25"/>
  <c r="E173" i="24"/>
  <c r="H173" i="24" s="1"/>
  <c r="L173" i="24" s="1"/>
  <c r="E169" i="24"/>
  <c r="H169" i="24" s="1"/>
  <c r="L169" i="24" s="1"/>
  <c r="E165" i="24"/>
  <c r="H165" i="24" s="1"/>
  <c r="L165" i="24" s="1"/>
  <c r="E161" i="24"/>
  <c r="H161" i="24" s="1"/>
  <c r="L161" i="24" s="1"/>
  <c r="E167" i="24"/>
  <c r="H167" i="24" s="1"/>
  <c r="L167" i="24" s="1"/>
  <c r="E172" i="24"/>
  <c r="H172" i="24" s="1"/>
  <c r="L172" i="24" s="1"/>
  <c r="E168" i="24"/>
  <c r="H168" i="24" s="1"/>
  <c r="L168" i="24" s="1"/>
  <c r="E160" i="24"/>
  <c r="H160" i="24" s="1"/>
  <c r="L160" i="24" s="1"/>
  <c r="E147" i="24"/>
  <c r="E174" i="24"/>
  <c r="E170" i="24"/>
  <c r="H170" i="24" s="1"/>
  <c r="L170" i="24" s="1"/>
  <c r="E166" i="24"/>
  <c r="H166" i="24" s="1"/>
  <c r="L166" i="24" s="1"/>
  <c r="E162" i="24"/>
  <c r="H162" i="24" s="1"/>
  <c r="L162" i="24" s="1"/>
  <c r="E158" i="24"/>
  <c r="H158" i="24" s="1"/>
  <c r="L158" i="24" s="1"/>
  <c r="E171" i="24"/>
  <c r="H171" i="24" s="1"/>
  <c r="L171" i="24" s="1"/>
  <c r="E163" i="24"/>
  <c r="H163" i="24" s="1"/>
  <c r="L163" i="24" s="1"/>
  <c r="E159" i="24"/>
  <c r="H159" i="24" s="1"/>
  <c r="L159" i="24" s="1"/>
  <c r="E164" i="24"/>
  <c r="H164" i="24" s="1"/>
  <c r="L164" i="24" s="1"/>
  <c r="AB140" i="35" l="1"/>
  <c r="AA140" i="35"/>
  <c r="AA143" i="35"/>
  <c r="AB143" i="35"/>
  <c r="AB149" i="35"/>
  <c r="AA149" i="35"/>
  <c r="AB141" i="35"/>
  <c r="AA141" i="35"/>
  <c r="AA146" i="35"/>
  <c r="AB146" i="35"/>
  <c r="AA144" i="35"/>
  <c r="AB144" i="35"/>
  <c r="AA138" i="35"/>
  <c r="AB138" i="35"/>
  <c r="AB145" i="35"/>
  <c r="AA145" i="35"/>
  <c r="AA139" i="35"/>
  <c r="AB139" i="35"/>
  <c r="AA147" i="35"/>
  <c r="AB147" i="35"/>
  <c r="AA150" i="35"/>
  <c r="AB150" i="35"/>
  <c r="Q65" i="33"/>
  <c r="J65" i="33"/>
  <c r="P62" i="33"/>
  <c r="Q57" i="33"/>
  <c r="J57" i="33"/>
  <c r="Q62" i="33"/>
  <c r="P63" i="33"/>
  <c r="J63" i="33"/>
  <c r="P54" i="33"/>
  <c r="Q54" i="33"/>
  <c r="P67" i="33"/>
  <c r="Q55" i="33"/>
  <c r="P55" i="33"/>
  <c r="Q67" i="33"/>
  <c r="P59" i="33"/>
  <c r="Q59" i="33"/>
  <c r="Q56" i="33"/>
  <c r="P56" i="33"/>
  <c r="J56" i="33"/>
  <c r="G52" i="25"/>
  <c r="E83" i="25"/>
  <c r="G57" i="25"/>
  <c r="L174" i="24"/>
  <c r="G174" i="24"/>
  <c r="G170" i="24"/>
  <c r="J170" i="24" s="1"/>
  <c r="M170" i="24" s="1"/>
  <c r="G166" i="24"/>
  <c r="J166" i="24" s="1"/>
  <c r="M166" i="24" s="1"/>
  <c r="G162" i="24"/>
  <c r="J162" i="24" s="1"/>
  <c r="M162" i="24" s="1"/>
  <c r="G158" i="24"/>
  <c r="J158" i="24" s="1"/>
  <c r="M158" i="24" s="1"/>
  <c r="G168" i="24"/>
  <c r="J168" i="24" s="1"/>
  <c r="M168" i="24" s="1"/>
  <c r="G169" i="24"/>
  <c r="J169" i="24" s="1"/>
  <c r="M169" i="24" s="1"/>
  <c r="G161" i="24"/>
  <c r="J161" i="24" s="1"/>
  <c r="M161" i="24" s="1"/>
  <c r="G171" i="24"/>
  <c r="J171" i="24" s="1"/>
  <c r="M171" i="24" s="1"/>
  <c r="G167" i="24"/>
  <c r="J167" i="24" s="1"/>
  <c r="M167" i="24" s="1"/>
  <c r="G163" i="24"/>
  <c r="J163" i="24" s="1"/>
  <c r="M163" i="24" s="1"/>
  <c r="G159" i="24"/>
  <c r="J159" i="24" s="1"/>
  <c r="M159" i="24" s="1"/>
  <c r="G172" i="24"/>
  <c r="J172" i="24" s="1"/>
  <c r="M172" i="24" s="1"/>
  <c r="G164" i="24"/>
  <c r="J164" i="24" s="1"/>
  <c r="M164" i="24" s="1"/>
  <c r="G160" i="24"/>
  <c r="J160" i="24" s="1"/>
  <c r="M160" i="24" s="1"/>
  <c r="G173" i="24"/>
  <c r="J173" i="24" s="1"/>
  <c r="M173" i="24" s="1"/>
  <c r="G165" i="24"/>
  <c r="J165" i="24" s="1"/>
  <c r="M165" i="24" s="1"/>
  <c r="G72" i="25" l="1"/>
  <c r="J72" i="25" s="1"/>
  <c r="N72" i="25" s="1"/>
  <c r="G79" i="25"/>
  <c r="J79" i="25" s="1"/>
  <c r="N79" i="25" s="1"/>
  <c r="G78" i="25"/>
  <c r="J78" i="25" s="1"/>
  <c r="N78" i="25" s="1"/>
  <c r="G77" i="25"/>
  <c r="J77" i="25" s="1"/>
  <c r="N77" i="25" s="1"/>
  <c r="G68" i="25"/>
  <c r="J68" i="25" s="1"/>
  <c r="N68" i="25" s="1"/>
  <c r="G75" i="25"/>
  <c r="J75" i="25" s="1"/>
  <c r="N75" i="25" s="1"/>
  <c r="G74" i="25"/>
  <c r="J74" i="25" s="1"/>
  <c r="N74" i="25" s="1"/>
  <c r="G73" i="25"/>
  <c r="J73" i="25" s="1"/>
  <c r="N73" i="25" s="1"/>
  <c r="G80" i="25"/>
  <c r="J80" i="25" s="1"/>
  <c r="N80" i="25" s="1"/>
  <c r="G83" i="25"/>
  <c r="G71" i="25"/>
  <c r="J71" i="25" s="1"/>
  <c r="N71" i="25" s="1"/>
  <c r="G70" i="25"/>
  <c r="J70" i="25" s="1"/>
  <c r="N70" i="25" s="1"/>
  <c r="G69" i="25"/>
  <c r="J69" i="25" s="1"/>
  <c r="N69" i="25" s="1"/>
  <c r="G76" i="25"/>
  <c r="J76" i="25" s="1"/>
  <c r="N76" i="25" s="1"/>
  <c r="G82" i="25"/>
  <c r="J82" i="25" s="1"/>
  <c r="N82" i="25" s="1"/>
  <c r="G67" i="25"/>
  <c r="J67" i="25" s="1"/>
  <c r="N67" i="25" s="1"/>
  <c r="G81" i="25"/>
  <c r="J81" i="25" s="1"/>
  <c r="N81" i="25" s="1"/>
  <c r="M174" i="24"/>
  <c r="N83" i="25" l="1"/>
  <c r="I79" i="25"/>
  <c r="I77" i="25"/>
  <c r="I78" i="25"/>
  <c r="I80" i="25"/>
  <c r="I69" i="25"/>
  <c r="I73" i="25"/>
  <c r="L73" i="25" s="1"/>
  <c r="I74" i="25"/>
  <c r="I71" i="25"/>
  <c r="I70" i="25"/>
  <c r="I68" i="25"/>
  <c r="I67" i="25"/>
  <c r="I82" i="25"/>
  <c r="I81" i="25"/>
  <c r="I72" i="25"/>
  <c r="I75" i="25"/>
  <c r="I76" i="25"/>
  <c r="I83" i="25"/>
  <c r="L76" i="25" l="1"/>
  <c r="O76" i="25" s="1"/>
  <c r="D18" i="13" s="1"/>
  <c r="V29" i="35" s="1"/>
  <c r="L82" i="25"/>
  <c r="O82" i="25" s="1"/>
  <c r="D24" i="13" s="1"/>
  <c r="V35" i="35" s="1"/>
  <c r="L71" i="25"/>
  <c r="O71" i="25" s="1"/>
  <c r="D13" i="13" s="1"/>
  <c r="V24" i="35" s="1"/>
  <c r="L80" i="25"/>
  <c r="O80" i="25" s="1"/>
  <c r="D22" i="13" s="1"/>
  <c r="V33" i="35" s="1"/>
  <c r="L75" i="25"/>
  <c r="O75" i="25" s="1"/>
  <c r="D17" i="13" s="1"/>
  <c r="V28" i="35" s="1"/>
  <c r="L67" i="25"/>
  <c r="O67" i="25" s="1"/>
  <c r="L74" i="25"/>
  <c r="O74" i="25" s="1"/>
  <c r="D16" i="13" s="1"/>
  <c r="V27" i="35" s="1"/>
  <c r="L78" i="25"/>
  <c r="O78" i="25" s="1"/>
  <c r="D20" i="13" s="1"/>
  <c r="V31" i="35" s="1"/>
  <c r="L72" i="25"/>
  <c r="O72" i="25" s="1"/>
  <c r="D14" i="13" s="1"/>
  <c r="V25" i="35" s="1"/>
  <c r="L68" i="25"/>
  <c r="O68" i="25" s="1"/>
  <c r="D10" i="13" s="1"/>
  <c r="V21" i="35" s="1"/>
  <c r="O73" i="25"/>
  <c r="D15" i="13" s="1"/>
  <c r="V26" i="35" s="1"/>
  <c r="L77" i="25"/>
  <c r="O77" i="25" s="1"/>
  <c r="D19" i="13" s="1"/>
  <c r="V30" i="35" s="1"/>
  <c r="L81" i="25"/>
  <c r="O81" i="25" s="1"/>
  <c r="D23" i="13" s="1"/>
  <c r="V34" i="35" s="1"/>
  <c r="L70" i="25"/>
  <c r="O70" i="25" s="1"/>
  <c r="D12" i="13" s="1"/>
  <c r="V23" i="35" s="1"/>
  <c r="L69" i="25"/>
  <c r="O69" i="25" s="1"/>
  <c r="D11" i="13" s="1"/>
  <c r="V22" i="35" s="1"/>
  <c r="L79" i="25"/>
  <c r="O79" i="25" s="1"/>
  <c r="D21" i="13" s="1"/>
  <c r="V32" i="35" s="1"/>
  <c r="G69" i="13"/>
  <c r="O52" i="13"/>
  <c r="O53" i="13"/>
  <c r="E69" i="13"/>
  <c r="K69" i="13"/>
  <c r="O54" i="13"/>
  <c r="O55" i="13"/>
  <c r="O56" i="13"/>
  <c r="O57" i="13"/>
  <c r="O58" i="13"/>
  <c r="O59" i="13"/>
  <c r="O60" i="13"/>
  <c r="O61" i="13"/>
  <c r="O62" i="13"/>
  <c r="O63" i="13"/>
  <c r="O64" i="13"/>
  <c r="O65" i="13"/>
  <c r="O66" i="13"/>
  <c r="O67" i="13"/>
  <c r="O69" i="13"/>
  <c r="O83" i="25" l="1"/>
  <c r="D25" i="13" s="1"/>
  <c r="V36" i="35" s="1"/>
  <c r="D9" i="13"/>
  <c r="V20" i="35" s="1"/>
  <c r="V37" i="35" s="1"/>
  <c r="E41" i="23"/>
  <c r="U31" i="3" l="1"/>
  <c r="U32" i="3"/>
  <c r="U33" i="3"/>
  <c r="U34" i="3"/>
  <c r="U30" i="3"/>
  <c r="U5" i="3"/>
  <c r="U6" i="3"/>
  <c r="U7" i="3"/>
  <c r="U9" i="3" l="1"/>
  <c r="U10" i="3"/>
  <c r="U11" i="3"/>
  <c r="U12" i="3"/>
  <c r="U13" i="3"/>
  <c r="U14" i="3"/>
  <c r="U15" i="3"/>
  <c r="U16" i="3"/>
  <c r="U17" i="3"/>
  <c r="U18" i="3"/>
  <c r="U19" i="3"/>
  <c r="U8" i="3"/>
  <c r="U99" i="23" l="1"/>
  <c r="V99" i="23" s="1"/>
  <c r="W99" i="23" s="1"/>
  <c r="X99" i="23" s="1"/>
  <c r="Y99" i="23" s="1"/>
  <c r="Z99" i="23" s="1"/>
  <c r="AA99" i="23" s="1"/>
  <c r="AB99" i="23" s="1"/>
  <c r="U103" i="23"/>
  <c r="V103" i="23" s="1"/>
  <c r="W103" i="23" s="1"/>
  <c r="X103" i="23" s="1"/>
  <c r="Y103" i="23" s="1"/>
  <c r="Z103" i="23" s="1"/>
  <c r="AA103" i="23" s="1"/>
  <c r="AB103" i="23" s="1"/>
  <c r="U107" i="23"/>
  <c r="V107" i="23" s="1"/>
  <c r="W107" i="23" s="1"/>
  <c r="X107" i="23" s="1"/>
  <c r="Y107" i="23" s="1"/>
  <c r="Z107" i="23" s="1"/>
  <c r="AA107" i="23" s="1"/>
  <c r="AB107" i="23" s="1"/>
  <c r="U111" i="23"/>
  <c r="V111" i="23" s="1"/>
  <c r="W111" i="23" s="1"/>
  <c r="X111" i="23" s="1"/>
  <c r="Y111" i="23" s="1"/>
  <c r="Z111" i="23" s="1"/>
  <c r="AA111" i="23" s="1"/>
  <c r="AB111" i="23" s="1"/>
  <c r="U112" i="23"/>
  <c r="V112" i="23" s="1"/>
  <c r="W112" i="23" s="1"/>
  <c r="X112" i="23" s="1"/>
  <c r="Y112" i="23" s="1"/>
  <c r="Z112" i="23" s="1"/>
  <c r="AA112" i="23" s="1"/>
  <c r="AB112" i="23" s="1"/>
  <c r="T99" i="23"/>
  <c r="T100" i="23"/>
  <c r="U100" i="23" s="1"/>
  <c r="V100" i="23" s="1"/>
  <c r="W100" i="23" s="1"/>
  <c r="X100" i="23" s="1"/>
  <c r="Y100" i="23" s="1"/>
  <c r="Z100" i="23" s="1"/>
  <c r="AA100" i="23" s="1"/>
  <c r="AB100" i="23" s="1"/>
  <c r="T101" i="23"/>
  <c r="U101" i="23" s="1"/>
  <c r="V101" i="23" s="1"/>
  <c r="W101" i="23" s="1"/>
  <c r="X101" i="23" s="1"/>
  <c r="Y101" i="23" s="1"/>
  <c r="Z101" i="23" s="1"/>
  <c r="AA101" i="23" s="1"/>
  <c r="AB101" i="23" s="1"/>
  <c r="T102" i="23"/>
  <c r="U102" i="23" s="1"/>
  <c r="V102" i="23" s="1"/>
  <c r="W102" i="23" s="1"/>
  <c r="X102" i="23" s="1"/>
  <c r="Y102" i="23" s="1"/>
  <c r="Z102" i="23" s="1"/>
  <c r="AA102" i="23" s="1"/>
  <c r="AB102" i="23" s="1"/>
  <c r="T103" i="23"/>
  <c r="T104" i="23"/>
  <c r="U104" i="23" s="1"/>
  <c r="V104" i="23" s="1"/>
  <c r="W104" i="23" s="1"/>
  <c r="X104" i="23" s="1"/>
  <c r="Y104" i="23" s="1"/>
  <c r="Z104" i="23" s="1"/>
  <c r="AA104" i="23" s="1"/>
  <c r="AB104" i="23" s="1"/>
  <c r="T105" i="23"/>
  <c r="U105" i="23" s="1"/>
  <c r="V105" i="23" s="1"/>
  <c r="W105" i="23" s="1"/>
  <c r="X105" i="23" s="1"/>
  <c r="Y105" i="23" s="1"/>
  <c r="Z105" i="23" s="1"/>
  <c r="AA105" i="23" s="1"/>
  <c r="AB105" i="23" s="1"/>
  <c r="T106" i="23"/>
  <c r="U106" i="23" s="1"/>
  <c r="V106" i="23" s="1"/>
  <c r="W106" i="23" s="1"/>
  <c r="X106" i="23" s="1"/>
  <c r="Y106" i="23" s="1"/>
  <c r="Z106" i="23" s="1"/>
  <c r="AA106" i="23" s="1"/>
  <c r="AB106" i="23" s="1"/>
  <c r="T107" i="23"/>
  <c r="T108" i="23"/>
  <c r="U108" i="23" s="1"/>
  <c r="V108" i="23" s="1"/>
  <c r="W108" i="23" s="1"/>
  <c r="X108" i="23" s="1"/>
  <c r="Y108" i="23" s="1"/>
  <c r="Z108" i="23" s="1"/>
  <c r="AA108" i="23" s="1"/>
  <c r="AB108" i="23" s="1"/>
  <c r="T109" i="23"/>
  <c r="U109" i="23" s="1"/>
  <c r="V109" i="23" s="1"/>
  <c r="W109" i="23" s="1"/>
  <c r="X109" i="23" s="1"/>
  <c r="Y109" i="23" s="1"/>
  <c r="Z109" i="23" s="1"/>
  <c r="AA109" i="23" s="1"/>
  <c r="AB109" i="23" s="1"/>
  <c r="T110" i="23"/>
  <c r="U110" i="23" s="1"/>
  <c r="V110" i="23" s="1"/>
  <c r="W110" i="23" s="1"/>
  <c r="X110" i="23" s="1"/>
  <c r="Y110" i="23" s="1"/>
  <c r="Z110" i="23" s="1"/>
  <c r="AA110" i="23" s="1"/>
  <c r="AB110" i="23" s="1"/>
  <c r="T111" i="23"/>
  <c r="T112" i="23"/>
  <c r="T113" i="23"/>
  <c r="U113" i="23" s="1"/>
  <c r="V113" i="23" s="1"/>
  <c r="W113" i="23" s="1"/>
  <c r="X113" i="23" s="1"/>
  <c r="Y113" i="23" s="1"/>
  <c r="Z113" i="23" s="1"/>
  <c r="AA113" i="23" s="1"/>
  <c r="AB113" i="23" s="1"/>
  <c r="T98" i="23"/>
  <c r="U98" i="23" s="1"/>
  <c r="V98" i="23" s="1"/>
  <c r="W98" i="23" s="1"/>
  <c r="X98" i="23" s="1"/>
  <c r="Y98" i="23" s="1"/>
  <c r="Z98" i="23" s="1"/>
  <c r="AA98" i="23" s="1"/>
  <c r="AB98" i="23" s="1"/>
  <c r="F81" i="23"/>
  <c r="F100" i="23" s="1"/>
  <c r="F83" i="23"/>
  <c r="F102" i="23" s="1"/>
  <c r="F85" i="23"/>
  <c r="F104" i="23" s="1"/>
  <c r="F87" i="23"/>
  <c r="F106" i="23" s="1"/>
  <c r="E60" i="23"/>
  <c r="E61" i="23"/>
  <c r="F61" i="23"/>
  <c r="F80" i="23" s="1"/>
  <c r="F99" i="23" s="1"/>
  <c r="E62" i="23"/>
  <c r="E81" i="23" s="1"/>
  <c r="E100" i="23" s="1"/>
  <c r="F62" i="23"/>
  <c r="G62" i="23"/>
  <c r="G63" i="23"/>
  <c r="E65" i="23"/>
  <c r="E84" i="23" s="1"/>
  <c r="E103" i="23" s="1"/>
  <c r="F65" i="23"/>
  <c r="F84" i="23" s="1"/>
  <c r="F103" i="23" s="1"/>
  <c r="F66" i="23"/>
  <c r="G66" i="23"/>
  <c r="F67" i="23"/>
  <c r="F86" i="23" s="1"/>
  <c r="F105" i="23" s="1"/>
  <c r="G67" i="23"/>
  <c r="E68" i="23"/>
  <c r="E69" i="23"/>
  <c r="E88" i="23" s="1"/>
  <c r="E107" i="23" s="1"/>
  <c r="F70" i="23"/>
  <c r="F89" i="23" s="1"/>
  <c r="F108" i="23" s="1"/>
  <c r="G70" i="23"/>
  <c r="G71" i="23"/>
  <c r="E72" i="23"/>
  <c r="G72" i="23"/>
  <c r="G91" i="23" s="1"/>
  <c r="G110" i="23" s="1"/>
  <c r="E73" i="23"/>
  <c r="F73" i="23"/>
  <c r="F74" i="23"/>
  <c r="F93" i="23" s="1"/>
  <c r="F112" i="23" s="1"/>
  <c r="G75" i="23"/>
  <c r="G94" i="23" s="1"/>
  <c r="G113" i="23" s="1"/>
  <c r="E76" i="23"/>
  <c r="E95" i="23" s="1"/>
  <c r="F41" i="23"/>
  <c r="F60" i="23" s="1"/>
  <c r="F79" i="23" s="1"/>
  <c r="F98" i="23" s="1"/>
  <c r="G41" i="23"/>
  <c r="G60" i="23" s="1"/>
  <c r="E42" i="23"/>
  <c r="F42" i="23"/>
  <c r="G42" i="23"/>
  <c r="G61" i="23" s="1"/>
  <c r="G80" i="23" s="1"/>
  <c r="G99" i="23" s="1"/>
  <c r="E43" i="23"/>
  <c r="F43" i="23"/>
  <c r="G43" i="23"/>
  <c r="E44" i="23"/>
  <c r="E63" i="23" s="1"/>
  <c r="F44" i="23"/>
  <c r="F63" i="23" s="1"/>
  <c r="F82" i="23" s="1"/>
  <c r="F101" i="23" s="1"/>
  <c r="G44" i="23"/>
  <c r="E45" i="23"/>
  <c r="E64" i="23" s="1"/>
  <c r="E83" i="23" s="1"/>
  <c r="E102" i="23" s="1"/>
  <c r="F45" i="23"/>
  <c r="F64" i="23" s="1"/>
  <c r="G45" i="23"/>
  <c r="G64" i="23" s="1"/>
  <c r="E46" i="23"/>
  <c r="F46" i="23"/>
  <c r="G46" i="23"/>
  <c r="G65" i="23" s="1"/>
  <c r="G84" i="23" s="1"/>
  <c r="G103" i="23" s="1"/>
  <c r="E47" i="23"/>
  <c r="E66" i="23" s="1"/>
  <c r="E85" i="23" s="1"/>
  <c r="E104" i="23" s="1"/>
  <c r="F47" i="23"/>
  <c r="G47" i="23"/>
  <c r="E48" i="23"/>
  <c r="E67" i="23" s="1"/>
  <c r="E86" i="23" s="1"/>
  <c r="E105" i="23" s="1"/>
  <c r="F48" i="23"/>
  <c r="G48" i="23"/>
  <c r="E49" i="23"/>
  <c r="F49" i="23"/>
  <c r="F68" i="23" s="1"/>
  <c r="G49" i="23"/>
  <c r="G68" i="23" s="1"/>
  <c r="E50" i="23"/>
  <c r="F50" i="23"/>
  <c r="F69" i="23" s="1"/>
  <c r="F88" i="23" s="1"/>
  <c r="F107" i="23" s="1"/>
  <c r="G50" i="23"/>
  <c r="G69" i="23" s="1"/>
  <c r="E51" i="23"/>
  <c r="E70" i="23" s="1"/>
  <c r="E89" i="23" s="1"/>
  <c r="E108" i="23" s="1"/>
  <c r="F51" i="23"/>
  <c r="G51" i="23"/>
  <c r="E52" i="23"/>
  <c r="E71" i="23" s="1"/>
  <c r="E90" i="23" s="1"/>
  <c r="E109" i="23" s="1"/>
  <c r="F52" i="23"/>
  <c r="F71" i="23" s="1"/>
  <c r="F90" i="23" s="1"/>
  <c r="F109" i="23" s="1"/>
  <c r="G52" i="23"/>
  <c r="E53" i="23"/>
  <c r="F53" i="23"/>
  <c r="F72" i="23" s="1"/>
  <c r="F91" i="23" s="1"/>
  <c r="F110" i="23" s="1"/>
  <c r="G53" i="23"/>
  <c r="E54" i="23"/>
  <c r="F54" i="23"/>
  <c r="G54" i="23"/>
  <c r="G73" i="23" s="1"/>
  <c r="E55" i="23"/>
  <c r="E74" i="23" s="1"/>
  <c r="E93" i="23" s="1"/>
  <c r="E112" i="23" s="1"/>
  <c r="F55" i="23"/>
  <c r="G55" i="23"/>
  <c r="G74" i="23" s="1"/>
  <c r="G93" i="23" s="1"/>
  <c r="G112" i="23" s="1"/>
  <c r="E56" i="23"/>
  <c r="E75" i="23" s="1"/>
  <c r="F56" i="23"/>
  <c r="F75" i="23" s="1"/>
  <c r="F94" i="23" s="1"/>
  <c r="F113" i="23" s="1"/>
  <c r="G56" i="23"/>
  <c r="E57" i="23"/>
  <c r="F57" i="23"/>
  <c r="F76" i="23" s="1"/>
  <c r="F95" i="23" s="1"/>
  <c r="G57" i="23"/>
  <c r="G76" i="23" s="1"/>
  <c r="G86" i="23" l="1"/>
  <c r="G105" i="23" s="1"/>
  <c r="G88" i="23"/>
  <c r="G107" i="23" s="1"/>
  <c r="G95" i="23"/>
  <c r="G90" i="23"/>
  <c r="G109" i="23" s="1"/>
  <c r="G92" i="23"/>
  <c r="G111" i="23" s="1"/>
  <c r="G87" i="23"/>
  <c r="G106" i="23" s="1"/>
  <c r="G83" i="23"/>
  <c r="G102" i="23" s="1"/>
  <c r="G79" i="23"/>
  <c r="G98" i="23" s="1"/>
  <c r="G114" i="23" s="1"/>
  <c r="G82" i="23"/>
  <c r="G101" i="23" s="1"/>
  <c r="F114" i="23"/>
  <c r="G89" i="23"/>
  <c r="G108" i="23" s="1"/>
  <c r="E79" i="23"/>
  <c r="E98" i="23" s="1"/>
  <c r="E82" i="23"/>
  <c r="E101" i="23" s="1"/>
  <c r="E80" i="23"/>
  <c r="E99" i="23" s="1"/>
  <c r="E91" i="23"/>
  <c r="E110" i="23" s="1"/>
  <c r="G85" i="23"/>
  <c r="G104" i="23" s="1"/>
  <c r="E94" i="23"/>
  <c r="E113" i="23" s="1"/>
  <c r="E92" i="23"/>
  <c r="E111" i="23" s="1"/>
  <c r="F92" i="23"/>
  <c r="F111" i="23" s="1"/>
  <c r="E87" i="23"/>
  <c r="E106" i="23" s="1"/>
  <c r="G81" i="23"/>
  <c r="G100" i="23" s="1"/>
  <c r="I61" i="23"/>
  <c r="K63" i="23"/>
  <c r="M65" i="23"/>
  <c r="H68" i="23"/>
  <c r="J70" i="23"/>
  <c r="L72" i="23"/>
  <c r="N74" i="23"/>
  <c r="M75" i="23"/>
  <c r="J76" i="23"/>
  <c r="J95" i="23" s="1"/>
  <c r="N76" i="23"/>
  <c r="N95" i="23" s="1"/>
  <c r="L60" i="23"/>
  <c r="H42" i="23"/>
  <c r="H61" i="23" s="1"/>
  <c r="I42" i="23"/>
  <c r="J42" i="23"/>
  <c r="J61" i="23" s="1"/>
  <c r="J80" i="23" s="1"/>
  <c r="J99" i="23" s="1"/>
  <c r="K42" i="23"/>
  <c r="K61" i="23" s="1"/>
  <c r="L42" i="23"/>
  <c r="L61" i="23" s="1"/>
  <c r="M42" i="23"/>
  <c r="M61" i="23" s="1"/>
  <c r="N42" i="23"/>
  <c r="N61" i="23" s="1"/>
  <c r="N80" i="23" s="1"/>
  <c r="N99" i="23" s="1"/>
  <c r="H43" i="23"/>
  <c r="H62" i="23" s="1"/>
  <c r="I43" i="23"/>
  <c r="I62" i="23" s="1"/>
  <c r="J43" i="23"/>
  <c r="J62" i="23" s="1"/>
  <c r="K43" i="23"/>
  <c r="K62" i="23" s="1"/>
  <c r="L43" i="23"/>
  <c r="L62" i="23" s="1"/>
  <c r="M43" i="23"/>
  <c r="M62" i="23" s="1"/>
  <c r="N43" i="23"/>
  <c r="N62" i="23" s="1"/>
  <c r="H44" i="23"/>
  <c r="H63" i="23" s="1"/>
  <c r="I44" i="23"/>
  <c r="I63" i="23" s="1"/>
  <c r="J44" i="23"/>
  <c r="J63" i="23" s="1"/>
  <c r="K44" i="23"/>
  <c r="L44" i="23"/>
  <c r="L63" i="23" s="1"/>
  <c r="M44" i="23"/>
  <c r="M63" i="23" s="1"/>
  <c r="N44" i="23"/>
  <c r="N63" i="23" s="1"/>
  <c r="N82" i="23" s="1"/>
  <c r="N101" i="23" s="1"/>
  <c r="H45" i="23"/>
  <c r="H64" i="23" s="1"/>
  <c r="I45" i="23"/>
  <c r="I64" i="23" s="1"/>
  <c r="J45" i="23"/>
  <c r="J64" i="23" s="1"/>
  <c r="K45" i="23"/>
  <c r="K64" i="23" s="1"/>
  <c r="L45" i="23"/>
  <c r="L64" i="23" s="1"/>
  <c r="M45" i="23"/>
  <c r="M64" i="23" s="1"/>
  <c r="N45" i="23"/>
  <c r="N64" i="23" s="1"/>
  <c r="H46" i="23"/>
  <c r="H65" i="23" s="1"/>
  <c r="I46" i="23"/>
  <c r="I65" i="23" s="1"/>
  <c r="J46" i="23"/>
  <c r="J65" i="23" s="1"/>
  <c r="J84" i="23" s="1"/>
  <c r="J103" i="23" s="1"/>
  <c r="K46" i="23"/>
  <c r="K65" i="23" s="1"/>
  <c r="L46" i="23"/>
  <c r="L65" i="23" s="1"/>
  <c r="M46" i="23"/>
  <c r="N46" i="23"/>
  <c r="N65" i="23" s="1"/>
  <c r="N84" i="23" s="1"/>
  <c r="N103" i="23" s="1"/>
  <c r="H47" i="23"/>
  <c r="H66" i="23" s="1"/>
  <c r="I47" i="23"/>
  <c r="I66" i="23" s="1"/>
  <c r="J47" i="23"/>
  <c r="J66" i="23" s="1"/>
  <c r="K47" i="23"/>
  <c r="K66" i="23" s="1"/>
  <c r="L47" i="23"/>
  <c r="L66" i="23" s="1"/>
  <c r="M47" i="23"/>
  <c r="M66" i="23" s="1"/>
  <c r="N47" i="23"/>
  <c r="N66" i="23" s="1"/>
  <c r="H48" i="23"/>
  <c r="H67" i="23" s="1"/>
  <c r="I48" i="23"/>
  <c r="I67" i="23" s="1"/>
  <c r="J48" i="23"/>
  <c r="J67" i="23" s="1"/>
  <c r="K48" i="23"/>
  <c r="K67" i="23" s="1"/>
  <c r="L48" i="23"/>
  <c r="L67" i="23" s="1"/>
  <c r="M48" i="23"/>
  <c r="M67" i="23" s="1"/>
  <c r="N48" i="23"/>
  <c r="N67" i="23" s="1"/>
  <c r="N86" i="23" s="1"/>
  <c r="N105" i="23" s="1"/>
  <c r="H49" i="23"/>
  <c r="I49" i="23"/>
  <c r="I68" i="23" s="1"/>
  <c r="J49" i="23"/>
  <c r="J68" i="23" s="1"/>
  <c r="K49" i="23"/>
  <c r="K68" i="23" s="1"/>
  <c r="L49" i="23"/>
  <c r="L68" i="23" s="1"/>
  <c r="M49" i="23"/>
  <c r="M68" i="23" s="1"/>
  <c r="N49" i="23"/>
  <c r="N68" i="23" s="1"/>
  <c r="H50" i="23"/>
  <c r="H69" i="23" s="1"/>
  <c r="I50" i="23"/>
  <c r="I69" i="23" s="1"/>
  <c r="J50" i="23"/>
  <c r="J69" i="23" s="1"/>
  <c r="J88" i="23" s="1"/>
  <c r="J107" i="23" s="1"/>
  <c r="K50" i="23"/>
  <c r="K69" i="23" s="1"/>
  <c r="L50" i="23"/>
  <c r="L69" i="23" s="1"/>
  <c r="M50" i="23"/>
  <c r="M69" i="23" s="1"/>
  <c r="N50" i="23"/>
  <c r="N69" i="23" s="1"/>
  <c r="N88" i="23" s="1"/>
  <c r="N107" i="23" s="1"/>
  <c r="H51" i="23"/>
  <c r="H70" i="23" s="1"/>
  <c r="I51" i="23"/>
  <c r="I70" i="23" s="1"/>
  <c r="J51" i="23"/>
  <c r="K51" i="23"/>
  <c r="K70" i="23" s="1"/>
  <c r="L51" i="23"/>
  <c r="L70" i="23" s="1"/>
  <c r="M51" i="23"/>
  <c r="M70" i="23" s="1"/>
  <c r="N51" i="23"/>
  <c r="N70" i="23" s="1"/>
  <c r="H52" i="23"/>
  <c r="H71" i="23" s="1"/>
  <c r="I52" i="23"/>
  <c r="I71" i="23" s="1"/>
  <c r="J52" i="23"/>
  <c r="J71" i="23" s="1"/>
  <c r="K52" i="23"/>
  <c r="K71" i="23" s="1"/>
  <c r="L52" i="23"/>
  <c r="L71" i="23" s="1"/>
  <c r="M52" i="23"/>
  <c r="M71" i="23" s="1"/>
  <c r="N52" i="23"/>
  <c r="N71" i="23" s="1"/>
  <c r="N90" i="23" s="1"/>
  <c r="N109" i="23" s="1"/>
  <c r="H53" i="23"/>
  <c r="H72" i="23" s="1"/>
  <c r="I53" i="23"/>
  <c r="I72" i="23" s="1"/>
  <c r="J53" i="23"/>
  <c r="J72" i="23" s="1"/>
  <c r="K53" i="23"/>
  <c r="K72" i="23" s="1"/>
  <c r="L53" i="23"/>
  <c r="M53" i="23"/>
  <c r="M72" i="23" s="1"/>
  <c r="N53" i="23"/>
  <c r="N72" i="23" s="1"/>
  <c r="H54" i="23"/>
  <c r="H73" i="23" s="1"/>
  <c r="I54" i="23"/>
  <c r="I73" i="23" s="1"/>
  <c r="J54" i="23"/>
  <c r="J73" i="23" s="1"/>
  <c r="J92" i="23" s="1"/>
  <c r="J111" i="23" s="1"/>
  <c r="K54" i="23"/>
  <c r="K73" i="23" s="1"/>
  <c r="L54" i="23"/>
  <c r="L73" i="23" s="1"/>
  <c r="M54" i="23"/>
  <c r="M73" i="23" s="1"/>
  <c r="N54" i="23"/>
  <c r="N73" i="23" s="1"/>
  <c r="N92" i="23" s="1"/>
  <c r="N111" i="23" s="1"/>
  <c r="H55" i="23"/>
  <c r="H74" i="23" s="1"/>
  <c r="I55" i="23"/>
  <c r="I74" i="23" s="1"/>
  <c r="J55" i="23"/>
  <c r="J74" i="23" s="1"/>
  <c r="J93" i="23" s="1"/>
  <c r="J112" i="23" s="1"/>
  <c r="K55" i="23"/>
  <c r="K74" i="23" s="1"/>
  <c r="L55" i="23"/>
  <c r="L74" i="23" s="1"/>
  <c r="M55" i="23"/>
  <c r="M74" i="23" s="1"/>
  <c r="N55" i="23"/>
  <c r="H56" i="23"/>
  <c r="H75" i="23" s="1"/>
  <c r="I56" i="23"/>
  <c r="I75" i="23" s="1"/>
  <c r="J56" i="23"/>
  <c r="J75" i="23" s="1"/>
  <c r="K56" i="23"/>
  <c r="K75" i="23" s="1"/>
  <c r="L56" i="23"/>
  <c r="L75" i="23" s="1"/>
  <c r="M56" i="23"/>
  <c r="N56" i="23"/>
  <c r="N75" i="23" s="1"/>
  <c r="N94" i="23" s="1"/>
  <c r="N113" i="23" s="1"/>
  <c r="H57" i="23"/>
  <c r="H76" i="23" s="1"/>
  <c r="H95" i="23" s="1"/>
  <c r="I57" i="23"/>
  <c r="I76" i="23" s="1"/>
  <c r="I95" i="23" s="1"/>
  <c r="J57" i="23"/>
  <c r="K57" i="23"/>
  <c r="K76" i="23" s="1"/>
  <c r="K95" i="23" s="1"/>
  <c r="L57" i="23"/>
  <c r="L76" i="23" s="1"/>
  <c r="L95" i="23" s="1"/>
  <c r="M57" i="23"/>
  <c r="M76" i="23" s="1"/>
  <c r="M95" i="23" s="1"/>
  <c r="N57" i="23"/>
  <c r="I41" i="23"/>
  <c r="I60" i="23" s="1"/>
  <c r="J41" i="23"/>
  <c r="J60" i="23" s="1"/>
  <c r="J79" i="23" s="1"/>
  <c r="J98" i="23" s="1"/>
  <c r="K41" i="23"/>
  <c r="K60" i="23" s="1"/>
  <c r="L41" i="23"/>
  <c r="M41" i="23"/>
  <c r="M60" i="23" s="1"/>
  <c r="N41" i="23"/>
  <c r="N60" i="23" s="1"/>
  <c r="N79" i="23" s="1"/>
  <c r="N98" i="23" s="1"/>
  <c r="H41" i="23"/>
  <c r="H60" i="23" s="1"/>
  <c r="H79" i="23" l="1"/>
  <c r="H98" i="23" s="1"/>
  <c r="L94" i="23"/>
  <c r="L113" i="23" s="1"/>
  <c r="H94" i="23"/>
  <c r="H113" i="23" s="1"/>
  <c r="L90" i="23"/>
  <c r="L109" i="23" s="1"/>
  <c r="H90" i="23"/>
  <c r="H109" i="23" s="1"/>
  <c r="L86" i="23"/>
  <c r="L105" i="23" s="1"/>
  <c r="H86" i="23"/>
  <c r="H105" i="23" s="1"/>
  <c r="L82" i="23"/>
  <c r="L101" i="23" s="1"/>
  <c r="H82" i="23"/>
  <c r="H101" i="23" s="1"/>
  <c r="M79" i="23"/>
  <c r="M98" i="23" s="1"/>
  <c r="I79" i="23"/>
  <c r="I98" i="23" s="1"/>
  <c r="J94" i="23"/>
  <c r="J113" i="23" s="1"/>
  <c r="M93" i="23"/>
  <c r="M112" i="23" s="1"/>
  <c r="I93" i="23"/>
  <c r="I112" i="23" s="1"/>
  <c r="L92" i="23"/>
  <c r="L111" i="23" s="1"/>
  <c r="H92" i="23"/>
  <c r="H111" i="23" s="1"/>
  <c r="J90" i="23"/>
  <c r="J109" i="23" s="1"/>
  <c r="M89" i="23"/>
  <c r="M108" i="23" s="1"/>
  <c r="I89" i="23"/>
  <c r="I108" i="23" s="1"/>
  <c r="L88" i="23"/>
  <c r="L107" i="23" s="1"/>
  <c r="H88" i="23"/>
  <c r="H107" i="23" s="1"/>
  <c r="J86" i="23"/>
  <c r="J105" i="23" s="1"/>
  <c r="M85" i="23"/>
  <c r="M104" i="23" s="1"/>
  <c r="I85" i="23"/>
  <c r="I104" i="23" s="1"/>
  <c r="L84" i="23"/>
  <c r="L103" i="23" s="1"/>
  <c r="H84" i="23"/>
  <c r="H103" i="23" s="1"/>
  <c r="J82" i="23"/>
  <c r="J101" i="23" s="1"/>
  <c r="M81" i="23"/>
  <c r="M100" i="23" s="1"/>
  <c r="I81" i="23"/>
  <c r="I100" i="23" s="1"/>
  <c r="L80" i="23"/>
  <c r="L99" i="23" s="1"/>
  <c r="H80" i="23"/>
  <c r="H99" i="23" s="1"/>
  <c r="E114" i="23"/>
  <c r="M25" i="13"/>
  <c r="AA36" i="35" s="1"/>
  <c r="L93" i="23"/>
  <c r="L112" i="23" s="1"/>
  <c r="H93" i="23"/>
  <c r="H112" i="23" s="1"/>
  <c r="N91" i="23"/>
  <c r="N110" i="23" s="1"/>
  <c r="J91" i="23"/>
  <c r="J110" i="23" s="1"/>
  <c r="L89" i="23"/>
  <c r="L108" i="23" s="1"/>
  <c r="H89" i="23"/>
  <c r="H108" i="23" s="1"/>
  <c r="N87" i="23"/>
  <c r="N106" i="23" s="1"/>
  <c r="J87" i="23"/>
  <c r="J106" i="23" s="1"/>
  <c r="L85" i="23"/>
  <c r="L104" i="23" s="1"/>
  <c r="H85" i="23"/>
  <c r="H104" i="23" s="1"/>
  <c r="N83" i="23"/>
  <c r="N102" i="23" s="1"/>
  <c r="N114" i="23" s="1"/>
  <c r="J83" i="23"/>
  <c r="J102" i="23" s="1"/>
  <c r="J114" i="23" s="1"/>
  <c r="L81" i="23"/>
  <c r="L100" i="23" s="1"/>
  <c r="H81" i="23"/>
  <c r="H100" i="23" s="1"/>
  <c r="K91" i="23"/>
  <c r="K110" i="23" s="1"/>
  <c r="K87" i="23"/>
  <c r="K106" i="23" s="1"/>
  <c r="I94" i="23"/>
  <c r="I113" i="23" s="1"/>
  <c r="K92" i="23"/>
  <c r="K111" i="23" s="1"/>
  <c r="M90" i="23"/>
  <c r="M109" i="23" s="1"/>
  <c r="I90" i="23"/>
  <c r="I109" i="23" s="1"/>
  <c r="K88" i="23"/>
  <c r="K107" i="23" s="1"/>
  <c r="M86" i="23"/>
  <c r="M105" i="23" s="1"/>
  <c r="I86" i="23"/>
  <c r="I105" i="23" s="1"/>
  <c r="K84" i="23"/>
  <c r="K103" i="23" s="1"/>
  <c r="M82" i="23"/>
  <c r="M101" i="23" s="1"/>
  <c r="I82" i="23"/>
  <c r="I101" i="23" s="1"/>
  <c r="K80" i="23"/>
  <c r="K99" i="23" s="1"/>
  <c r="K83" i="23"/>
  <c r="K102" i="23" s="1"/>
  <c r="K79" i="23"/>
  <c r="K98" i="23" s="1"/>
  <c r="K93" i="23"/>
  <c r="K112" i="23" s="1"/>
  <c r="M91" i="23"/>
  <c r="M110" i="23" s="1"/>
  <c r="I91" i="23"/>
  <c r="I110" i="23" s="1"/>
  <c r="K89" i="23"/>
  <c r="K108" i="23" s="1"/>
  <c r="M87" i="23"/>
  <c r="M106" i="23" s="1"/>
  <c r="I87" i="23"/>
  <c r="I106" i="23" s="1"/>
  <c r="K85" i="23"/>
  <c r="K104" i="23" s="1"/>
  <c r="M83" i="23"/>
  <c r="M102" i="23" s="1"/>
  <c r="I83" i="23"/>
  <c r="I102" i="23" s="1"/>
  <c r="K81" i="23"/>
  <c r="K100" i="23" s="1"/>
  <c r="L79" i="23"/>
  <c r="L98" i="23" s="1"/>
  <c r="M94" i="23"/>
  <c r="M113" i="23" s="1"/>
  <c r="N93" i="23"/>
  <c r="N112" i="23" s="1"/>
  <c r="M92" i="23"/>
  <c r="M111" i="23" s="1"/>
  <c r="L91" i="23"/>
  <c r="L110" i="23" s="1"/>
  <c r="K90" i="23"/>
  <c r="K109" i="23" s="1"/>
  <c r="J89" i="23"/>
  <c r="J108" i="23" s="1"/>
  <c r="I88" i="23"/>
  <c r="I107" i="23" s="1"/>
  <c r="H87" i="23"/>
  <c r="H106" i="23" s="1"/>
  <c r="N85" i="23"/>
  <c r="N104" i="23" s="1"/>
  <c r="M84" i="23"/>
  <c r="M103" i="23" s="1"/>
  <c r="L83" i="23"/>
  <c r="L102" i="23" s="1"/>
  <c r="K82" i="23"/>
  <c r="K101" i="23" s="1"/>
  <c r="J81" i="23"/>
  <c r="J100" i="23" s="1"/>
  <c r="I80" i="23"/>
  <c r="I99" i="23" s="1"/>
  <c r="K94" i="23"/>
  <c r="K113" i="23" s="1"/>
  <c r="I92" i="23"/>
  <c r="I111" i="23" s="1"/>
  <c r="H91" i="23"/>
  <c r="H110" i="23" s="1"/>
  <c r="N89" i="23"/>
  <c r="N108" i="23" s="1"/>
  <c r="M88" i="23"/>
  <c r="M107" i="23" s="1"/>
  <c r="L87" i="23"/>
  <c r="L106" i="23" s="1"/>
  <c r="K86" i="23"/>
  <c r="K105" i="23" s="1"/>
  <c r="J85" i="23"/>
  <c r="J104" i="23" s="1"/>
  <c r="I84" i="23"/>
  <c r="I103" i="23" s="1"/>
  <c r="H83" i="23"/>
  <c r="H102" i="23" s="1"/>
  <c r="N81" i="23"/>
  <c r="N100" i="23" s="1"/>
  <c r="M80" i="23"/>
  <c r="M99" i="23" s="1"/>
  <c r="G183" i="22"/>
  <c r="G181" i="22"/>
  <c r="G179" i="22"/>
  <c r="G176" i="22"/>
  <c r="G175" i="22"/>
  <c r="G172" i="22"/>
  <c r="G171" i="22"/>
  <c r="G167" i="22"/>
  <c r="G165" i="22"/>
  <c r="G163" i="22"/>
  <c r="G160" i="22"/>
  <c r="G159" i="22"/>
  <c r="G156" i="22"/>
  <c r="G155" i="22"/>
  <c r="G151" i="22"/>
  <c r="G149" i="22"/>
  <c r="G147" i="22"/>
  <c r="G144" i="22"/>
  <c r="G143" i="22"/>
  <c r="G140" i="22"/>
  <c r="G139" i="22"/>
  <c r="G135" i="22"/>
  <c r="G133" i="22"/>
  <c r="G131" i="22"/>
  <c r="G128" i="22"/>
  <c r="G127" i="22"/>
  <c r="G124" i="22"/>
  <c r="G123" i="22"/>
  <c r="G115" i="22"/>
  <c r="G114" i="22"/>
  <c r="G113" i="22"/>
  <c r="G112" i="22"/>
  <c r="G111" i="22"/>
  <c r="G110" i="22"/>
  <c r="G109" i="22"/>
  <c r="G108" i="22"/>
  <c r="G107" i="22"/>
  <c r="G106" i="22"/>
  <c r="G105" i="22"/>
  <c r="G104" i="22"/>
  <c r="G103" i="22"/>
  <c r="G102" i="22"/>
  <c r="G101" i="22"/>
  <c r="G100" i="22"/>
  <c r="G99" i="22"/>
  <c r="G98" i="22"/>
  <c r="G97" i="22"/>
  <c r="G96" i="22"/>
  <c r="G95" i="22"/>
  <c r="G94" i="22"/>
  <c r="G93" i="22"/>
  <c r="G92" i="22"/>
  <c r="G91" i="22"/>
  <c r="G90" i="22"/>
  <c r="G89" i="22"/>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K55" i="22"/>
  <c r="G55" i="22"/>
  <c r="G54" i="22"/>
  <c r="G53" i="22"/>
  <c r="G52" i="22"/>
  <c r="T46" i="22"/>
  <c r="S46" i="22"/>
  <c r="R46" i="22"/>
  <c r="Q46" i="22"/>
  <c r="P46" i="22"/>
  <c r="O46" i="22"/>
  <c r="N46" i="22"/>
  <c r="M46" i="22"/>
  <c r="L46" i="22"/>
  <c r="K46" i="22"/>
  <c r="J46" i="22"/>
  <c r="I46" i="22"/>
  <c r="H46" i="22"/>
  <c r="G46" i="22"/>
  <c r="F46" i="22"/>
  <c r="E46" i="22"/>
  <c r="T45" i="22"/>
  <c r="S45" i="22"/>
  <c r="R45" i="22"/>
  <c r="Q45" i="22"/>
  <c r="P45" i="22"/>
  <c r="O45" i="22"/>
  <c r="N45" i="22"/>
  <c r="M45" i="22"/>
  <c r="L45" i="22"/>
  <c r="K45" i="22"/>
  <c r="J45" i="22"/>
  <c r="I45" i="22"/>
  <c r="H45" i="22"/>
  <c r="G45" i="22"/>
  <c r="F45" i="22"/>
  <c r="E45" i="22"/>
  <c r="R44" i="22"/>
  <c r="Q44" i="22"/>
  <c r="P44" i="22"/>
  <c r="O44" i="22"/>
  <c r="N44" i="22"/>
  <c r="M44" i="22"/>
  <c r="L44" i="22"/>
  <c r="J44" i="22"/>
  <c r="I44" i="22"/>
  <c r="H44" i="22"/>
  <c r="F44" i="22"/>
  <c r="E44" i="22"/>
  <c r="S43" i="22"/>
  <c r="R43" i="22"/>
  <c r="Q43" i="22"/>
  <c r="O43" i="22"/>
  <c r="N43" i="22"/>
  <c r="M43" i="22"/>
  <c r="L43" i="22"/>
  <c r="J43" i="22"/>
  <c r="I43" i="22"/>
  <c r="H43" i="22"/>
  <c r="G43" i="22"/>
  <c r="E43" i="22"/>
  <c r="U36" i="22"/>
  <c r="U46" i="22" s="1"/>
  <c r="U35" i="22"/>
  <c r="K54" i="22" s="1"/>
  <c r="T34" i="22"/>
  <c r="T44" i="22" s="1"/>
  <c r="S34" i="22"/>
  <c r="S44" i="22" s="1"/>
  <c r="P34" i="22"/>
  <c r="K34" i="22"/>
  <c r="K44" i="22" s="1"/>
  <c r="G34" i="22"/>
  <c r="G44" i="22" s="1"/>
  <c r="T33" i="22"/>
  <c r="T43" i="22" s="1"/>
  <c r="S33" i="22"/>
  <c r="P33" i="22"/>
  <c r="P43" i="22" s="1"/>
  <c r="K33" i="22"/>
  <c r="K43" i="22" s="1"/>
  <c r="F33" i="22"/>
  <c r="U33" i="22" s="1"/>
  <c r="N10" i="22"/>
  <c r="E126" i="21"/>
  <c r="D126" i="21"/>
  <c r="C126" i="21"/>
  <c r="H125" i="21"/>
  <c r="G125" i="21"/>
  <c r="H124" i="21"/>
  <c r="G124" i="21"/>
  <c r="H123" i="21"/>
  <c r="G123" i="21"/>
  <c r="H122" i="21"/>
  <c r="G122" i="21"/>
  <c r="H121" i="21"/>
  <c r="G121" i="21"/>
  <c r="H120" i="21"/>
  <c r="G120" i="21"/>
  <c r="H119" i="21"/>
  <c r="G119" i="21"/>
  <c r="H118" i="21"/>
  <c r="G118" i="21"/>
  <c r="H117" i="21"/>
  <c r="G117" i="21"/>
  <c r="H116" i="21"/>
  <c r="G116" i="21"/>
  <c r="H115" i="21"/>
  <c r="G115" i="21"/>
  <c r="H114" i="21"/>
  <c r="G114" i="21"/>
  <c r="H113" i="21"/>
  <c r="G113" i="21"/>
  <c r="H112" i="21"/>
  <c r="G112" i="21"/>
  <c r="H111" i="21"/>
  <c r="G111" i="21"/>
  <c r="H110" i="21"/>
  <c r="G110" i="21"/>
  <c r="H109" i="21"/>
  <c r="G109" i="21"/>
  <c r="H108" i="21"/>
  <c r="G108" i="21"/>
  <c r="H107" i="21"/>
  <c r="G107" i="21"/>
  <c r="G106" i="21"/>
  <c r="H105" i="21"/>
  <c r="G105" i="21"/>
  <c r="H104" i="21"/>
  <c r="G104" i="21"/>
  <c r="H103" i="21"/>
  <c r="G103" i="21"/>
  <c r="H102" i="21"/>
  <c r="G102" i="21"/>
  <c r="H101" i="21"/>
  <c r="G101" i="21"/>
  <c r="H100" i="21"/>
  <c r="G100" i="21"/>
  <c r="H99" i="21"/>
  <c r="G99" i="21"/>
  <c r="H98" i="21"/>
  <c r="G98" i="21"/>
  <c r="H97" i="21"/>
  <c r="G97" i="21"/>
  <c r="H96" i="21"/>
  <c r="G96" i="21"/>
  <c r="H95" i="21"/>
  <c r="G95" i="21"/>
  <c r="H94" i="21"/>
  <c r="G94" i="21"/>
  <c r="H93" i="21"/>
  <c r="G93" i="21"/>
  <c r="H92" i="21"/>
  <c r="G92" i="21"/>
  <c r="H91" i="21"/>
  <c r="G91" i="21"/>
  <c r="H90" i="21"/>
  <c r="G90" i="21"/>
  <c r="H89" i="21"/>
  <c r="G89" i="21"/>
  <c r="H88" i="21"/>
  <c r="G88" i="21"/>
  <c r="H87" i="21"/>
  <c r="G87" i="21"/>
  <c r="H86" i="21"/>
  <c r="G86" i="21"/>
  <c r="H85" i="21"/>
  <c r="G85" i="21"/>
  <c r="H84" i="21"/>
  <c r="G84" i="21"/>
  <c r="H83" i="21"/>
  <c r="G83" i="21"/>
  <c r="H82" i="21"/>
  <c r="G82" i="21"/>
  <c r="H81" i="21"/>
  <c r="G81" i="21"/>
  <c r="H80" i="21"/>
  <c r="G80" i="21"/>
  <c r="H79" i="21"/>
  <c r="G79" i="21"/>
  <c r="H78" i="21"/>
  <c r="G78" i="21"/>
  <c r="H77" i="21"/>
  <c r="G77" i="21"/>
  <c r="H76" i="21"/>
  <c r="G76" i="21"/>
  <c r="H75" i="21"/>
  <c r="G75" i="21"/>
  <c r="G74" i="21"/>
  <c r="H73" i="21"/>
  <c r="G73" i="21"/>
  <c r="H72" i="21"/>
  <c r="G72" i="21"/>
  <c r="H71" i="21"/>
  <c r="G71" i="21"/>
  <c r="H70" i="21"/>
  <c r="G70" i="21"/>
  <c r="H69" i="21"/>
  <c r="G69" i="21"/>
  <c r="H68" i="21"/>
  <c r="G68" i="21"/>
  <c r="H67" i="21"/>
  <c r="G67" i="21"/>
  <c r="H66" i="21"/>
  <c r="G66" i="21"/>
  <c r="H65" i="21"/>
  <c r="G65" i="21"/>
  <c r="H64" i="21"/>
  <c r="G64" i="21"/>
  <c r="H63" i="21"/>
  <c r="G63" i="21"/>
  <c r="H62" i="21"/>
  <c r="G62" i="21"/>
  <c r="S56" i="21"/>
  <c r="S55" i="21"/>
  <c r="S54" i="21"/>
  <c r="S53" i="21"/>
  <c r="R47" i="21"/>
  <c r="Q47" i="21"/>
  <c r="P47" i="21"/>
  <c r="O47" i="21"/>
  <c r="N47" i="21"/>
  <c r="M47" i="21"/>
  <c r="L47" i="21"/>
  <c r="K47" i="21"/>
  <c r="J47" i="21"/>
  <c r="I47" i="21"/>
  <c r="H47" i="21"/>
  <c r="G47" i="21"/>
  <c r="F47" i="21"/>
  <c r="E47" i="21"/>
  <c r="D47" i="21"/>
  <c r="C47" i="21"/>
  <c r="R46" i="21"/>
  <c r="Q46" i="21"/>
  <c r="P46" i="21"/>
  <c r="O46" i="21"/>
  <c r="N46" i="21"/>
  <c r="M46" i="21"/>
  <c r="L46" i="21"/>
  <c r="K46" i="21"/>
  <c r="J46" i="21"/>
  <c r="I46" i="21"/>
  <c r="H46" i="21"/>
  <c r="G46" i="21"/>
  <c r="F46" i="21"/>
  <c r="E46" i="21"/>
  <c r="D46" i="21"/>
  <c r="C46" i="21"/>
  <c r="R45" i="21"/>
  <c r="Q45" i="21"/>
  <c r="P45" i="21"/>
  <c r="O45" i="21"/>
  <c r="N45" i="21"/>
  <c r="M45" i="21"/>
  <c r="L45" i="21"/>
  <c r="K45" i="21"/>
  <c r="J45" i="21"/>
  <c r="I45" i="21"/>
  <c r="H45" i="21"/>
  <c r="G45" i="21"/>
  <c r="F45" i="21"/>
  <c r="E45" i="21"/>
  <c r="D45" i="21"/>
  <c r="C45" i="21"/>
  <c r="R44" i="21"/>
  <c r="Q44" i="21"/>
  <c r="P44" i="21"/>
  <c r="O44" i="21"/>
  <c r="N44" i="21"/>
  <c r="M44" i="21"/>
  <c r="L44" i="21"/>
  <c r="K44" i="21"/>
  <c r="J44" i="21"/>
  <c r="I44" i="21"/>
  <c r="H44" i="21"/>
  <c r="G44" i="21"/>
  <c r="F44" i="21"/>
  <c r="E44" i="21"/>
  <c r="D44" i="21"/>
  <c r="C44" i="21"/>
  <c r="S41" i="21"/>
  <c r="S40" i="21"/>
  <c r="S39" i="21"/>
  <c r="S38" i="21"/>
  <c r="S35" i="21"/>
  <c r="S34" i="21"/>
  <c r="S33" i="21"/>
  <c r="S32" i="21"/>
  <c r="S27" i="21"/>
  <c r="S26" i="21"/>
  <c r="S25" i="21"/>
  <c r="S24" i="21"/>
  <c r="S19" i="21"/>
  <c r="S18" i="21"/>
  <c r="S17" i="21"/>
  <c r="S16" i="21"/>
  <c r="J221" i="20"/>
  <c r="J219" i="20"/>
  <c r="J217" i="20"/>
  <c r="J216" i="20"/>
  <c r="J215" i="20"/>
  <c r="J212" i="20"/>
  <c r="J211" i="20"/>
  <c r="J210" i="20"/>
  <c r="J208" i="20"/>
  <c r="J207" i="20"/>
  <c r="J205" i="20"/>
  <c r="J203" i="20"/>
  <c r="J201" i="20"/>
  <c r="J200" i="20"/>
  <c r="J199" i="20"/>
  <c r="J196" i="20"/>
  <c r="J195" i="20"/>
  <c r="J194" i="20"/>
  <c r="J192" i="20"/>
  <c r="J191" i="20"/>
  <c r="J189" i="20"/>
  <c r="J187" i="20"/>
  <c r="J185" i="20"/>
  <c r="J184" i="20"/>
  <c r="J183" i="20"/>
  <c r="J180" i="20"/>
  <c r="J179" i="20"/>
  <c r="J178" i="20"/>
  <c r="J176" i="20"/>
  <c r="J175" i="20"/>
  <c r="J173" i="20"/>
  <c r="J169" i="20"/>
  <c r="J168" i="20"/>
  <c r="J167" i="20"/>
  <c r="J165" i="20"/>
  <c r="J164" i="20"/>
  <c r="J163" i="20"/>
  <c r="J162" i="20"/>
  <c r="J160" i="20"/>
  <c r="J159" i="20"/>
  <c r="F102" i="20"/>
  <c r="F101" i="20"/>
  <c r="F100" i="20"/>
  <c r="F99" i="20"/>
  <c r="F98" i="20"/>
  <c r="F97" i="20"/>
  <c r="F96" i="20"/>
  <c r="F95" i="20"/>
  <c r="F94" i="20"/>
  <c r="F93" i="20"/>
  <c r="F92" i="20"/>
  <c r="F91" i="20"/>
  <c r="F90" i="20"/>
  <c r="F89" i="20"/>
  <c r="F88" i="20"/>
  <c r="B88" i="20"/>
  <c r="F87" i="20"/>
  <c r="F86" i="20"/>
  <c r="F85" i="20"/>
  <c r="F84" i="20"/>
  <c r="F83" i="20"/>
  <c r="F82" i="20"/>
  <c r="F81" i="20"/>
  <c r="F80" i="20"/>
  <c r="F79" i="20"/>
  <c r="F78" i="20"/>
  <c r="F77" i="20"/>
  <c r="F76" i="20"/>
  <c r="F75" i="20"/>
  <c r="F74" i="20"/>
  <c r="F73" i="20"/>
  <c r="F72" i="20"/>
  <c r="B72" i="20"/>
  <c r="F71" i="20"/>
  <c r="F70" i="20"/>
  <c r="F69" i="20"/>
  <c r="F68" i="20"/>
  <c r="F67" i="20"/>
  <c r="F66" i="20"/>
  <c r="F65" i="20"/>
  <c r="F64" i="20"/>
  <c r="F63" i="20"/>
  <c r="F62" i="20"/>
  <c r="F61" i="20"/>
  <c r="F60" i="20"/>
  <c r="F59" i="20"/>
  <c r="F58" i="20"/>
  <c r="F57" i="20"/>
  <c r="F56" i="20"/>
  <c r="B56" i="20"/>
  <c r="F55" i="20"/>
  <c r="F54" i="20"/>
  <c r="F53" i="20"/>
  <c r="F52" i="20"/>
  <c r="F51" i="20"/>
  <c r="F50" i="20"/>
  <c r="F49" i="20"/>
  <c r="F48" i="20"/>
  <c r="F47" i="20"/>
  <c r="F46" i="20"/>
  <c r="F45" i="20"/>
  <c r="F44" i="20"/>
  <c r="F43" i="20"/>
  <c r="F42" i="20"/>
  <c r="F41" i="20"/>
  <c r="F40" i="20"/>
  <c r="B40" i="20"/>
  <c r="F39" i="20"/>
  <c r="U34" i="20"/>
  <c r="U33" i="20"/>
  <c r="U32" i="20"/>
  <c r="U31" i="20"/>
  <c r="S27" i="20"/>
  <c r="Q27" i="20"/>
  <c r="P27" i="20"/>
  <c r="O27" i="20"/>
  <c r="N27" i="20"/>
  <c r="M27" i="20"/>
  <c r="L27" i="20"/>
  <c r="K27" i="20"/>
  <c r="J27" i="20"/>
  <c r="I27" i="20"/>
  <c r="H27" i="20"/>
  <c r="G27" i="20"/>
  <c r="F27" i="20"/>
  <c r="E27" i="20"/>
  <c r="D27" i="20"/>
  <c r="C27" i="20"/>
  <c r="S26" i="20"/>
  <c r="Q26" i="20"/>
  <c r="P26" i="20"/>
  <c r="O26" i="20"/>
  <c r="N26" i="20"/>
  <c r="M26" i="20"/>
  <c r="L26" i="20"/>
  <c r="K26" i="20"/>
  <c r="J26" i="20"/>
  <c r="I26" i="20"/>
  <c r="H26" i="20"/>
  <c r="G26" i="20"/>
  <c r="F26" i="20"/>
  <c r="E26" i="20"/>
  <c r="D26" i="20"/>
  <c r="C26" i="20"/>
  <c r="S25" i="20"/>
  <c r="Q25" i="20"/>
  <c r="P25" i="20"/>
  <c r="O25" i="20"/>
  <c r="N25" i="20"/>
  <c r="M25" i="20"/>
  <c r="L25" i="20"/>
  <c r="K25" i="20"/>
  <c r="J25" i="20"/>
  <c r="I25" i="20"/>
  <c r="H25" i="20"/>
  <c r="G25" i="20"/>
  <c r="F25" i="20"/>
  <c r="E25" i="20"/>
  <c r="D25" i="20"/>
  <c r="C25" i="20"/>
  <c r="S24" i="20"/>
  <c r="Q24" i="20"/>
  <c r="P24" i="20"/>
  <c r="O24" i="20"/>
  <c r="N24" i="20"/>
  <c r="M24" i="20"/>
  <c r="L24" i="20"/>
  <c r="K24" i="20"/>
  <c r="J24" i="20"/>
  <c r="I24" i="20"/>
  <c r="H24" i="20"/>
  <c r="G24" i="20"/>
  <c r="F24" i="20"/>
  <c r="E24" i="20"/>
  <c r="D24" i="20"/>
  <c r="C24" i="20"/>
  <c r="U19" i="20"/>
  <c r="U18" i="20"/>
  <c r="U17" i="20"/>
  <c r="U16" i="20"/>
  <c r="U9" i="20"/>
  <c r="U8" i="20"/>
  <c r="U7" i="20"/>
  <c r="U6" i="20"/>
  <c r="U24" i="20" l="1"/>
  <c r="U25" i="20"/>
  <c r="U26" i="20"/>
  <c r="U27" i="20"/>
  <c r="S44" i="21"/>
  <c r="S45" i="21"/>
  <c r="S46" i="21"/>
  <c r="S47" i="21"/>
  <c r="H114" i="23"/>
  <c r="I114" i="23"/>
  <c r="K114" i="23"/>
  <c r="L114" i="23"/>
  <c r="M114" i="23"/>
  <c r="K52" i="22"/>
  <c r="M52" i="22" s="1"/>
  <c r="U43" i="22"/>
  <c r="U34" i="22"/>
  <c r="F43" i="22"/>
  <c r="U45" i="22"/>
  <c r="U44" i="22" l="1"/>
  <c r="K53" i="22"/>
  <c r="M77" i="4"/>
  <c r="N77" i="4"/>
  <c r="O77" i="4"/>
  <c r="P77" i="4"/>
  <c r="Q77" i="4"/>
  <c r="R77" i="4"/>
  <c r="S77" i="4"/>
  <c r="E77" i="4"/>
  <c r="F77" i="4"/>
  <c r="G77" i="4"/>
  <c r="H77" i="4"/>
  <c r="I77" i="4"/>
  <c r="J77" i="4"/>
  <c r="K77" i="4"/>
  <c r="L77" i="4"/>
  <c r="D77" i="4"/>
  <c r="T75" i="4"/>
  <c r="T77" i="4" l="1"/>
  <c r="T62" i="4"/>
  <c r="D85" i="4"/>
  <c r="R47" i="13" l="1"/>
  <c r="D47" i="13"/>
  <c r="E47" i="13"/>
  <c r="F47" i="13"/>
  <c r="G47" i="13"/>
  <c r="H31" i="13"/>
  <c r="H32" i="13"/>
  <c r="H33" i="13"/>
  <c r="H34" i="13"/>
  <c r="H35" i="13"/>
  <c r="H36" i="13"/>
  <c r="H37" i="13"/>
  <c r="H38" i="13"/>
  <c r="H39" i="13"/>
  <c r="H40" i="13"/>
  <c r="H41" i="13"/>
  <c r="H42" i="13"/>
  <c r="H43" i="13"/>
  <c r="H44" i="13"/>
  <c r="H45" i="13"/>
  <c r="H30" i="13"/>
  <c r="N67" i="16"/>
  <c r="N68" i="16"/>
  <c r="N69" i="16"/>
  <c r="N65" i="16"/>
  <c r="C78" i="16" s="1"/>
  <c r="Z130" i="16"/>
  <c r="Z122" i="16"/>
  <c r="Z115" i="16"/>
  <c r="Z107" i="16"/>
  <c r="Z100" i="16"/>
  <c r="Z92" i="16"/>
  <c r="Z80" i="16"/>
  <c r="Z72" i="16"/>
  <c r="Z65" i="16"/>
  <c r="Z57" i="16"/>
  <c r="J52" i="16"/>
  <c r="H52" i="16"/>
  <c r="Z50" i="16"/>
  <c r="Z42" i="16"/>
  <c r="C41" i="16"/>
  <c r="Z35" i="16"/>
  <c r="Z27" i="16"/>
  <c r="AM16" i="16"/>
  <c r="AL16" i="16"/>
  <c r="AJ16" i="16"/>
  <c r="AJ39" i="16" s="1"/>
  <c r="AI16" i="16"/>
  <c r="AH16" i="16"/>
  <c r="AF16" i="16"/>
  <c r="AE16" i="16"/>
  <c r="Z20" i="16"/>
  <c r="J20" i="16"/>
  <c r="AO16" i="16"/>
  <c r="AN16" i="16"/>
  <c r="AN39" i="16" s="1"/>
  <c r="AK16" i="16"/>
  <c r="AG16" i="16"/>
  <c r="AG39" i="16" s="1"/>
  <c r="AD16" i="16"/>
  <c r="AD39" i="16" s="1"/>
  <c r="I20" i="16"/>
  <c r="AO13" i="16"/>
  <c r="AO66" i="16" s="1"/>
  <c r="AN13" i="16"/>
  <c r="AM13" i="16"/>
  <c r="AM28" i="16" s="1"/>
  <c r="AL13" i="16"/>
  <c r="AK13" i="16"/>
  <c r="AK81" i="16" s="1"/>
  <c r="AJ13" i="16"/>
  <c r="AJ28" i="16" s="1"/>
  <c r="AI13" i="16"/>
  <c r="AI131" i="16" s="1"/>
  <c r="AH13" i="16"/>
  <c r="AH36" i="16" s="1"/>
  <c r="AG13" i="16"/>
  <c r="AG66" i="16" s="1"/>
  <c r="AF13" i="16"/>
  <c r="AE13" i="16"/>
  <c r="AE28" i="16" s="1"/>
  <c r="AD13" i="16"/>
  <c r="AD21" i="16" s="1"/>
  <c r="AN12" i="16"/>
  <c r="AN20" i="16" s="1"/>
  <c r="AM12" i="16"/>
  <c r="AM20" i="16" s="1"/>
  <c r="AL12" i="16"/>
  <c r="AL20" i="16" s="1"/>
  <c r="AK12" i="16"/>
  <c r="AK20" i="16" s="1"/>
  <c r="AJ12" i="16"/>
  <c r="AJ20" i="16" s="1"/>
  <c r="AJ27" i="16" s="1"/>
  <c r="AI12" i="16"/>
  <c r="AI20" i="16" s="1"/>
  <c r="AH12" i="16"/>
  <c r="AH20" i="16" s="1"/>
  <c r="AG12" i="16"/>
  <c r="AG20" i="16" s="1"/>
  <c r="AF12" i="16"/>
  <c r="AF20" i="16" s="1"/>
  <c r="AF27" i="16" s="1"/>
  <c r="AE12" i="16"/>
  <c r="AE20" i="16" s="1"/>
  <c r="AE42" i="16" s="1"/>
  <c r="AD12" i="16"/>
  <c r="AD20" i="16" s="1"/>
  <c r="Z12" i="16"/>
  <c r="AE14" i="16" l="1"/>
  <c r="F82" i="16"/>
  <c r="E82" i="16"/>
  <c r="G82" i="16"/>
  <c r="C82" i="16"/>
  <c r="E81" i="16"/>
  <c r="F81" i="16"/>
  <c r="G81" i="16"/>
  <c r="C81" i="16"/>
  <c r="G80" i="16"/>
  <c r="C80" i="16"/>
  <c r="F80" i="16"/>
  <c r="E80" i="16"/>
  <c r="E78" i="16"/>
  <c r="G78" i="16"/>
  <c r="F78" i="16"/>
  <c r="H82" i="16"/>
  <c r="D82" i="16"/>
  <c r="D81" i="16"/>
  <c r="H81" i="16"/>
  <c r="D80" i="16"/>
  <c r="H80" i="16"/>
  <c r="D78" i="16"/>
  <c r="H78" i="16"/>
  <c r="AK36" i="16"/>
  <c r="AE51" i="16"/>
  <c r="AE52" i="16" s="1"/>
  <c r="AK58" i="16"/>
  <c r="AG14" i="16"/>
  <c r="AK73" i="16"/>
  <c r="H47" i="13"/>
  <c r="AM43" i="16"/>
  <c r="AI66" i="16"/>
  <c r="AG28" i="16"/>
  <c r="AI116" i="16"/>
  <c r="AE36" i="16"/>
  <c r="AE43" i="16"/>
  <c r="AE44" i="16" s="1"/>
  <c r="AM108" i="16"/>
  <c r="AE123" i="16"/>
  <c r="AN46" i="16"/>
  <c r="AF31" i="16"/>
  <c r="AF46" i="16"/>
  <c r="AO28" i="16"/>
  <c r="AF35" i="16"/>
  <c r="AM36" i="16"/>
  <c r="AG43" i="16"/>
  <c r="AM51" i="16"/>
  <c r="AG58" i="16"/>
  <c r="AE66" i="16"/>
  <c r="AG73" i="16"/>
  <c r="AM81" i="16"/>
  <c r="AI101" i="16"/>
  <c r="AM123" i="16"/>
  <c r="AN31" i="16"/>
  <c r="AO43" i="16"/>
  <c r="AO58" i="16"/>
  <c r="AM66" i="16"/>
  <c r="AO73" i="16"/>
  <c r="AM93" i="16"/>
  <c r="AM94" i="16" s="1"/>
  <c r="AE108" i="16"/>
  <c r="AG72" i="16"/>
  <c r="AG65" i="16"/>
  <c r="AG57" i="16"/>
  <c r="AG122" i="16"/>
  <c r="AG130" i="16" s="1"/>
  <c r="AG115" i="16"/>
  <c r="AG107" i="16"/>
  <c r="AG100" i="16"/>
  <c r="AG92" i="16"/>
  <c r="AG80" i="16"/>
  <c r="AG50" i="16"/>
  <c r="AG42" i="16"/>
  <c r="AG35" i="16"/>
  <c r="AG27" i="16"/>
  <c r="AK122" i="16"/>
  <c r="AK130" i="16" s="1"/>
  <c r="AK115" i="16"/>
  <c r="AK107" i="16"/>
  <c r="AK100" i="16"/>
  <c r="AK72" i="16"/>
  <c r="AK65" i="16"/>
  <c r="AK57" i="16"/>
  <c r="AK92" i="16"/>
  <c r="AK50" i="16"/>
  <c r="AK80" i="16"/>
  <c r="AK27" i="16"/>
  <c r="AK35" i="16"/>
  <c r="AK42" i="16"/>
  <c r="AI122" i="16"/>
  <c r="AI130" i="16" s="1"/>
  <c r="AI115" i="16"/>
  <c r="AI107" i="16"/>
  <c r="AI100" i="16"/>
  <c r="AI92" i="16"/>
  <c r="AI80" i="16"/>
  <c r="AI72" i="16"/>
  <c r="AI65" i="16"/>
  <c r="AI57" i="16"/>
  <c r="AI42" i="16"/>
  <c r="AI27" i="16"/>
  <c r="AI35" i="16"/>
  <c r="AI50" i="16"/>
  <c r="AF131" i="16"/>
  <c r="AF123" i="16"/>
  <c r="AF116" i="16"/>
  <c r="AF108" i="16"/>
  <c r="AF101" i="16"/>
  <c r="AF93" i="16"/>
  <c r="AF81" i="16"/>
  <c r="AF73" i="16"/>
  <c r="AF66" i="16"/>
  <c r="AF58" i="16"/>
  <c r="AF36" i="16"/>
  <c r="AF51" i="16"/>
  <c r="AF43" i="16"/>
  <c r="AF21" i="16"/>
  <c r="AF28" i="16"/>
  <c r="AN14" i="16"/>
  <c r="AJ14" i="16"/>
  <c r="AF14" i="16"/>
  <c r="AM14" i="16"/>
  <c r="AL14" i="16"/>
  <c r="AH14" i="16"/>
  <c r="AD14" i="16"/>
  <c r="AD93" i="16"/>
  <c r="AD81" i="16"/>
  <c r="AD73" i="16"/>
  <c r="AD66" i="16"/>
  <c r="AD58" i="16"/>
  <c r="AD131" i="16"/>
  <c r="AD123" i="16"/>
  <c r="AD116" i="16"/>
  <c r="AD108" i="16"/>
  <c r="AD101" i="16"/>
  <c r="AD43" i="16"/>
  <c r="AD51" i="16"/>
  <c r="AD36" i="16"/>
  <c r="AH131" i="16"/>
  <c r="AH123" i="16"/>
  <c r="AH116" i="16"/>
  <c r="AH108" i="16"/>
  <c r="AH101" i="16"/>
  <c r="AH73" i="16"/>
  <c r="AH66" i="16"/>
  <c r="AH58" i="16"/>
  <c r="AH43" i="16"/>
  <c r="AH28" i="16"/>
  <c r="AH93" i="16"/>
  <c r="AH81" i="16"/>
  <c r="AH51" i="16"/>
  <c r="AL73" i="16"/>
  <c r="AL66" i="16"/>
  <c r="AL58" i="16"/>
  <c r="AL131" i="16"/>
  <c r="AL123" i="16"/>
  <c r="AL116" i="16"/>
  <c r="AL108" i="16"/>
  <c r="AL101" i="16"/>
  <c r="AL93" i="16"/>
  <c r="AL81" i="16"/>
  <c r="AL43" i="16"/>
  <c r="AL51" i="16"/>
  <c r="AL52" i="16" s="1"/>
  <c r="AL36" i="16"/>
  <c r="AL28" i="16"/>
  <c r="AK14" i="16"/>
  <c r="AG134" i="16"/>
  <c r="AG126" i="16"/>
  <c r="AG119" i="16"/>
  <c r="AG111" i="16"/>
  <c r="AG104" i="16"/>
  <c r="AG96" i="16"/>
  <c r="AG84" i="16"/>
  <c r="AG46" i="16"/>
  <c r="AG54" i="16"/>
  <c r="AG76" i="16"/>
  <c r="AG69" i="16"/>
  <c r="AG31" i="16"/>
  <c r="AG61" i="16"/>
  <c r="AO134" i="16"/>
  <c r="AO126" i="16"/>
  <c r="AO119" i="16"/>
  <c r="AO111" i="16"/>
  <c r="AO104" i="16"/>
  <c r="AO96" i="16"/>
  <c r="AO84" i="16"/>
  <c r="AO76" i="16"/>
  <c r="AO46" i="16"/>
  <c r="AO54" i="16"/>
  <c r="AO31" i="16"/>
  <c r="AO39" i="16"/>
  <c r="AO69" i="16"/>
  <c r="AO61" i="16"/>
  <c r="AL21" i="16"/>
  <c r="AH134" i="16"/>
  <c r="AH126" i="16"/>
  <c r="AH119" i="16"/>
  <c r="AH111" i="16"/>
  <c r="AH104" i="16"/>
  <c r="AH96" i="16"/>
  <c r="AH76" i="16"/>
  <c r="AH69" i="16"/>
  <c r="AH61" i="16"/>
  <c r="AH54" i="16"/>
  <c r="AH31" i="16"/>
  <c r="AH84" i="16"/>
  <c r="AH46" i="16"/>
  <c r="AH39" i="16"/>
  <c r="AH24" i="16"/>
  <c r="AL84" i="16"/>
  <c r="AL76" i="16"/>
  <c r="AL69" i="16"/>
  <c r="AL61" i="16"/>
  <c r="AL54" i="16"/>
  <c r="AL134" i="16"/>
  <c r="AL126" i="16"/>
  <c r="AL119" i="16"/>
  <c r="AL111" i="16"/>
  <c r="AL104" i="16"/>
  <c r="AL96" i="16"/>
  <c r="AL31" i="16"/>
  <c r="AL24" i="16"/>
  <c r="AL46" i="16"/>
  <c r="AL39" i="16"/>
  <c r="AD92" i="16"/>
  <c r="AD80" i="16"/>
  <c r="AD35" i="16"/>
  <c r="AD122" i="16"/>
  <c r="AD130" i="16" s="1"/>
  <c r="AD72" i="16"/>
  <c r="AD42" i="16"/>
  <c r="AD115" i="16"/>
  <c r="AD65" i="16"/>
  <c r="AD27" i="16"/>
  <c r="AD107" i="16"/>
  <c r="AD57" i="16"/>
  <c r="AD50" i="16"/>
  <c r="AD100" i="16"/>
  <c r="AH35" i="16"/>
  <c r="AH115" i="16"/>
  <c r="AH57" i="16"/>
  <c r="AH107" i="16"/>
  <c r="AH92" i="16"/>
  <c r="AH42" i="16"/>
  <c r="AH27" i="16"/>
  <c r="AH100" i="16"/>
  <c r="AH72" i="16"/>
  <c r="AH122" i="16"/>
  <c r="AH130" i="16" s="1"/>
  <c r="AH80" i="16"/>
  <c r="AH65" i="16"/>
  <c r="AH50" i="16"/>
  <c r="AL92" i="16"/>
  <c r="AL80" i="16"/>
  <c r="AL35" i="16"/>
  <c r="AL27" i="16"/>
  <c r="AL107" i="16"/>
  <c r="AL72" i="16"/>
  <c r="AL50" i="16"/>
  <c r="AL100" i="16"/>
  <c r="AL65" i="16"/>
  <c r="AL122" i="16"/>
  <c r="AL130" i="16" s="1"/>
  <c r="AL57" i="16"/>
  <c r="AL42" i="16"/>
  <c r="AL115" i="16"/>
  <c r="I29" i="16"/>
  <c r="AE39" i="16"/>
  <c r="AE37" i="16" s="1"/>
  <c r="AE119" i="16"/>
  <c r="AE31" i="16"/>
  <c r="AE29" i="16" s="1"/>
  <c r="AE111" i="16"/>
  <c r="AE134" i="16"/>
  <c r="AE104" i="16"/>
  <c r="AE76" i="16"/>
  <c r="AE126" i="16"/>
  <c r="AE96" i="16"/>
  <c r="AE84" i="16"/>
  <c r="AE69" i="16"/>
  <c r="AI84" i="16"/>
  <c r="AI39" i="16"/>
  <c r="AI111" i="16"/>
  <c r="AI76" i="16"/>
  <c r="AI134" i="16"/>
  <c r="AI104" i="16"/>
  <c r="AI69" i="16"/>
  <c r="AI46" i="16"/>
  <c r="AI31" i="16"/>
  <c r="AI24" i="16"/>
  <c r="AI126" i="16"/>
  <c r="AI96" i="16"/>
  <c r="AI61" i="16"/>
  <c r="AI119" i="16"/>
  <c r="AI54" i="16"/>
  <c r="AM39" i="16"/>
  <c r="AM134" i="16"/>
  <c r="AM104" i="16"/>
  <c r="AM84" i="16"/>
  <c r="AM61" i="16"/>
  <c r="AM126" i="16"/>
  <c r="AM96" i="16"/>
  <c r="AM54" i="16"/>
  <c r="AM24" i="16"/>
  <c r="AM119" i="16"/>
  <c r="AM76" i="16"/>
  <c r="AM46" i="16"/>
  <c r="AM31" i="16"/>
  <c r="AM111" i="16"/>
  <c r="AM69" i="16"/>
  <c r="AG24" i="16"/>
  <c r="AE122" i="16"/>
  <c r="AE130" i="16" s="1"/>
  <c r="AE115" i="16"/>
  <c r="AE107" i="16"/>
  <c r="AE100" i="16"/>
  <c r="AE92" i="16"/>
  <c r="AE80" i="16"/>
  <c r="AE72" i="16"/>
  <c r="AE65" i="16"/>
  <c r="AE57" i="16"/>
  <c r="AE35" i="16"/>
  <c r="AE27" i="16"/>
  <c r="AE50" i="16"/>
  <c r="AM122" i="16"/>
  <c r="AM130" i="16" s="1"/>
  <c r="AM115" i="16"/>
  <c r="AM107" i="16"/>
  <c r="AM100" i="16"/>
  <c r="AM92" i="16"/>
  <c r="AM80" i="16"/>
  <c r="AM72" i="16"/>
  <c r="AM65" i="16"/>
  <c r="AM57" i="16"/>
  <c r="AM42" i="16"/>
  <c r="AM27" i="16"/>
  <c r="AM35" i="16"/>
  <c r="AM50" i="16"/>
  <c r="AJ131" i="16"/>
  <c r="AI132" i="16" s="1"/>
  <c r="AJ123" i="16"/>
  <c r="AJ116" i="16"/>
  <c r="AJ108" i="16"/>
  <c r="AJ101" i="16"/>
  <c r="AJ93" i="16"/>
  <c r="AJ81" i="16"/>
  <c r="AJ73" i="16"/>
  <c r="AJ66" i="16"/>
  <c r="AJ58" i="16"/>
  <c r="AJ36" i="16"/>
  <c r="AJ37" i="16" s="1"/>
  <c r="AJ51" i="16"/>
  <c r="AJ43" i="16"/>
  <c r="AJ21" i="16"/>
  <c r="AN131" i="16"/>
  <c r="AN123" i="16"/>
  <c r="AN116" i="16"/>
  <c r="AN108" i="16"/>
  <c r="AN101" i="16"/>
  <c r="AN102" i="16" s="1"/>
  <c r="AN93" i="16"/>
  <c r="AN81" i="16"/>
  <c r="AN73" i="16"/>
  <c r="AN66" i="16"/>
  <c r="AN67" i="16" s="1"/>
  <c r="AN58" i="16"/>
  <c r="AN36" i="16"/>
  <c r="AN28" i="16"/>
  <c r="AN21" i="16"/>
  <c r="AN22" i="16" s="1"/>
  <c r="AN51" i="16"/>
  <c r="AN43" i="16"/>
  <c r="AK134" i="16"/>
  <c r="AK126" i="16"/>
  <c r="AK119" i="16"/>
  <c r="AK111" i="16"/>
  <c r="AK104" i="16"/>
  <c r="AK96" i="16"/>
  <c r="AK46" i="16"/>
  <c r="AK69" i="16"/>
  <c r="AK39" i="16"/>
  <c r="AK84" i="16"/>
  <c r="AK61" i="16"/>
  <c r="AK54" i="16"/>
  <c r="AK76" i="16"/>
  <c r="AK24" i="16"/>
  <c r="AK31" i="16"/>
  <c r="AF122" i="16"/>
  <c r="AF130" i="16" s="1"/>
  <c r="AF115" i="16"/>
  <c r="AF107" i="16"/>
  <c r="AF100" i="16"/>
  <c r="AF50" i="16"/>
  <c r="AF42" i="16"/>
  <c r="AF80" i="16"/>
  <c r="AF65" i="16"/>
  <c r="AF57" i="16"/>
  <c r="AF92" i="16"/>
  <c r="AF72" i="16"/>
  <c r="AJ122" i="16"/>
  <c r="AJ130" i="16" s="1"/>
  <c r="AJ115" i="16"/>
  <c r="AJ107" i="16"/>
  <c r="AJ100" i="16"/>
  <c r="AJ92" i="16"/>
  <c r="AJ80" i="16"/>
  <c r="AJ50" i="16"/>
  <c r="AJ42" i="16"/>
  <c r="AJ35" i="16"/>
  <c r="AJ72" i="16"/>
  <c r="AJ65" i="16"/>
  <c r="AJ57" i="16"/>
  <c r="AN122" i="16"/>
  <c r="AN130" i="16" s="1"/>
  <c r="AN115" i="16"/>
  <c r="AN107" i="16"/>
  <c r="AN100" i="16"/>
  <c r="AN50" i="16"/>
  <c r="AN42" i="16"/>
  <c r="AN65" i="16"/>
  <c r="AN27" i="16"/>
  <c r="AN80" i="16"/>
  <c r="AN57" i="16"/>
  <c r="AN35" i="16"/>
  <c r="AN92" i="16"/>
  <c r="AN72" i="16"/>
  <c r="AI14" i="16"/>
  <c r="AH21" i="16"/>
  <c r="AO24" i="16"/>
  <c r="AD28" i="16"/>
  <c r="AI93" i="16"/>
  <c r="AI81" i="16"/>
  <c r="AI28" i="16"/>
  <c r="AD76" i="16"/>
  <c r="AD69" i="16"/>
  <c r="AD134" i="16"/>
  <c r="AD126" i="16"/>
  <c r="AD119" i="16"/>
  <c r="AD111" i="16"/>
  <c r="AD104" i="16"/>
  <c r="AD96" i="16"/>
  <c r="AD84" i="16"/>
  <c r="AD31" i="16"/>
  <c r="AE21" i="16"/>
  <c r="AE22" i="16" s="1"/>
  <c r="AI21" i="16"/>
  <c r="AI22" i="16" s="1"/>
  <c r="AM21" i="16"/>
  <c r="AM22" i="16" s="1"/>
  <c r="AK28" i="16"/>
  <c r="AM29" i="16"/>
  <c r="AI36" i="16"/>
  <c r="AI37" i="16" s="1"/>
  <c r="AO36" i="16"/>
  <c r="AI43" i="16"/>
  <c r="AI44" i="16" s="1"/>
  <c r="AI51" i="16"/>
  <c r="AI58" i="16"/>
  <c r="AE73" i="16"/>
  <c r="AM73" i="16"/>
  <c r="AE93" i="16"/>
  <c r="AM101" i="16"/>
  <c r="AM102" i="16" s="1"/>
  <c r="AI108" i="16"/>
  <c r="AE116" i="16"/>
  <c r="AM131" i="16"/>
  <c r="AK82" i="16"/>
  <c r="AG131" i="16"/>
  <c r="AG123" i="16"/>
  <c r="AG116" i="16"/>
  <c r="AG108" i="16"/>
  <c r="AG101" i="16"/>
  <c r="AG93" i="16"/>
  <c r="AG81" i="16"/>
  <c r="AG51" i="16"/>
  <c r="AG52" i="16" s="1"/>
  <c r="AK131" i="16"/>
  <c r="AK123" i="16"/>
  <c r="AK116" i="16"/>
  <c r="AK108" i="16"/>
  <c r="AK109" i="16" s="1"/>
  <c r="AK101" i="16"/>
  <c r="AK51" i="16"/>
  <c r="AO131" i="16"/>
  <c r="AO123" i="16"/>
  <c r="AO116" i="16"/>
  <c r="AO108" i="16"/>
  <c r="AO101" i="16"/>
  <c r="AO93" i="16"/>
  <c r="AO81" i="16"/>
  <c r="AO51" i="16"/>
  <c r="AF134" i="16"/>
  <c r="AF126" i="16"/>
  <c r="AF119" i="16"/>
  <c r="AF111" i="16"/>
  <c r="AF104" i="16"/>
  <c r="AF96" i="16"/>
  <c r="AF84" i="16"/>
  <c r="AF76" i="16"/>
  <c r="AF69" i="16"/>
  <c r="AF61" i="16"/>
  <c r="AF54" i="16"/>
  <c r="AJ134" i="16"/>
  <c r="AJ126" i="16"/>
  <c r="AJ119" i="16"/>
  <c r="AJ111" i="16"/>
  <c r="AJ104" i="16"/>
  <c r="AJ96" i="16"/>
  <c r="AJ84" i="16"/>
  <c r="AJ76" i="16"/>
  <c r="AJ69" i="16"/>
  <c r="AJ61" i="16"/>
  <c r="AJ54" i="16"/>
  <c r="AN134" i="16"/>
  <c r="AN126" i="16"/>
  <c r="AN119" i="16"/>
  <c r="AN111" i="16"/>
  <c r="AN104" i="16"/>
  <c r="AN96" i="16"/>
  <c r="AN84" i="16"/>
  <c r="AN76" i="16"/>
  <c r="AN69" i="16"/>
  <c r="AN61" i="16"/>
  <c r="AN54" i="16"/>
  <c r="AG21" i="16"/>
  <c r="AG22" i="16" s="1"/>
  <c r="AK21" i="16"/>
  <c r="AO21" i="16"/>
  <c r="AF24" i="16"/>
  <c r="AJ24" i="16"/>
  <c r="AN24" i="16"/>
  <c r="AJ31" i="16"/>
  <c r="AJ29" i="16" s="1"/>
  <c r="AG36" i="16"/>
  <c r="AG37" i="16" s="1"/>
  <c r="AF39" i="16"/>
  <c r="AK43" i="16"/>
  <c r="AJ46" i="16"/>
  <c r="AE58" i="16"/>
  <c r="AE59" i="16" s="1"/>
  <c r="AM58" i="16"/>
  <c r="AM59" i="16" s="1"/>
  <c r="AK66" i="16"/>
  <c r="AK67" i="16" s="1"/>
  <c r="AI73" i="16"/>
  <c r="AE81" i="16"/>
  <c r="AK93" i="16"/>
  <c r="AK94" i="16" s="1"/>
  <c r="AE101" i="16"/>
  <c r="AM116" i="16"/>
  <c r="AM117" i="16" s="1"/>
  <c r="AI123" i="16"/>
  <c r="AE131" i="16"/>
  <c r="Z137" i="16"/>
  <c r="U74" i="15"/>
  <c r="U77" i="15" s="1"/>
  <c r="T74" i="15"/>
  <c r="T77" i="15" s="1"/>
  <c r="S74" i="15"/>
  <c r="S77" i="15" s="1"/>
  <c r="R74" i="15"/>
  <c r="R77" i="15" s="1"/>
  <c r="Q74" i="15"/>
  <c r="Q77" i="15" s="1"/>
  <c r="P74" i="15"/>
  <c r="P77" i="15" s="1"/>
  <c r="O74" i="15"/>
  <c r="O77" i="15" s="1"/>
  <c r="N74" i="15"/>
  <c r="N77" i="15" s="1"/>
  <c r="M74" i="15"/>
  <c r="M77" i="15" s="1"/>
  <c r="L74" i="15"/>
  <c r="L77" i="15" s="1"/>
  <c r="K74" i="15"/>
  <c r="K77" i="15" s="1"/>
  <c r="J74" i="15"/>
  <c r="J77" i="15" s="1"/>
  <c r="I74" i="15"/>
  <c r="H74" i="15"/>
  <c r="H77" i="15" s="1"/>
  <c r="G74" i="15"/>
  <c r="G77" i="15" s="1"/>
  <c r="F74" i="15"/>
  <c r="F77" i="15" s="1"/>
  <c r="T19" i="15"/>
  <c r="S19" i="15"/>
  <c r="R19" i="15"/>
  <c r="Q19" i="15"/>
  <c r="P19" i="15"/>
  <c r="O19" i="15"/>
  <c r="N19" i="15"/>
  <c r="M19" i="15"/>
  <c r="L19" i="15"/>
  <c r="K19" i="15"/>
  <c r="J19" i="15"/>
  <c r="I19" i="15"/>
  <c r="H19" i="15"/>
  <c r="G19" i="15"/>
  <c r="F19" i="15"/>
  <c r="E19" i="15"/>
  <c r="T15" i="15"/>
  <c r="T14" i="15" s="1"/>
  <c r="S15" i="15"/>
  <c r="S14" i="15" s="1"/>
  <c r="S22" i="15" s="1"/>
  <c r="S24" i="15" s="1"/>
  <c r="R15" i="15"/>
  <c r="R14" i="15" s="1"/>
  <c r="Q15" i="15"/>
  <c r="Q14" i="15" s="1"/>
  <c r="P15" i="15"/>
  <c r="P14" i="15" s="1"/>
  <c r="O15" i="15"/>
  <c r="O14" i="15" s="1"/>
  <c r="O22" i="15" s="1"/>
  <c r="O24" i="15" s="1"/>
  <c r="N15" i="15"/>
  <c r="M15" i="15"/>
  <c r="M14" i="15" s="1"/>
  <c r="L15" i="15"/>
  <c r="L14" i="15" s="1"/>
  <c r="K15" i="15"/>
  <c r="K14" i="15" s="1"/>
  <c r="K22" i="15" s="1"/>
  <c r="K24" i="15" s="1"/>
  <c r="J15" i="15"/>
  <c r="J14" i="15" s="1"/>
  <c r="I15" i="15"/>
  <c r="I14" i="15" s="1"/>
  <c r="H15" i="15"/>
  <c r="H14" i="15" s="1"/>
  <c r="G15" i="15"/>
  <c r="G14" i="15" s="1"/>
  <c r="G22" i="15" s="1"/>
  <c r="G24" i="15" s="1"/>
  <c r="F15" i="15"/>
  <c r="F14" i="15" s="1"/>
  <c r="F22" i="15" s="1"/>
  <c r="F24" i="15" s="1"/>
  <c r="E15" i="15"/>
  <c r="E14" i="15" s="1"/>
  <c r="W14" i="15"/>
  <c r="X14" i="15" s="1"/>
  <c r="N14" i="15"/>
  <c r="N22" i="15" s="1"/>
  <c r="N24" i="15" s="1"/>
  <c r="AD44" i="16" l="1"/>
  <c r="AD22" i="16"/>
  <c r="AM82" i="16"/>
  <c r="AN29" i="16"/>
  <c r="AN109" i="16"/>
  <c r="AL22" i="16"/>
  <c r="AL109" i="16"/>
  <c r="AM109" i="16"/>
  <c r="AK52" i="16"/>
  <c r="AM74" i="16"/>
  <c r="AK29" i="16"/>
  <c r="AN44" i="16"/>
  <c r="AN37" i="16"/>
  <c r="AN82" i="16"/>
  <c r="AN117" i="16"/>
  <c r="AL29" i="16"/>
  <c r="AL82" i="16"/>
  <c r="AL117" i="16"/>
  <c r="AL67" i="16"/>
  <c r="AM67" i="16"/>
  <c r="AM37" i="16"/>
  <c r="AL102" i="16"/>
  <c r="AM52" i="16"/>
  <c r="AN74" i="16"/>
  <c r="AL44" i="16"/>
  <c r="AL59" i="16"/>
  <c r="AK74" i="16"/>
  <c r="AK44" i="16"/>
  <c r="AK22" i="16"/>
  <c r="AN52" i="16"/>
  <c r="AN59" i="16"/>
  <c r="AN94" i="16"/>
  <c r="AN124" i="16"/>
  <c r="AL37" i="16"/>
  <c r="AL94" i="16"/>
  <c r="AL74" i="16"/>
  <c r="AM44" i="16"/>
  <c r="AK59" i="16"/>
  <c r="AK37" i="16"/>
  <c r="AJ44" i="16"/>
  <c r="AJ67" i="16"/>
  <c r="AH67" i="16"/>
  <c r="AF22" i="16"/>
  <c r="AF59" i="16"/>
  <c r="AG59" i="16"/>
  <c r="AJ124" i="16"/>
  <c r="AG102" i="16"/>
  <c r="AG132" i="16"/>
  <c r="AJ74" i="16"/>
  <c r="AG82" i="16"/>
  <c r="AH44" i="16"/>
  <c r="AI59" i="16"/>
  <c r="AI82" i="16"/>
  <c r="AJ82" i="16"/>
  <c r="AH52" i="16"/>
  <c r="AF52" i="16"/>
  <c r="AI67" i="16"/>
  <c r="AI29" i="16"/>
  <c r="AJ52" i="16"/>
  <c r="AH29" i="16"/>
  <c r="AF44" i="16"/>
  <c r="AI74" i="16"/>
  <c r="AI52" i="16"/>
  <c r="AH22" i="16"/>
  <c r="AJ22" i="16"/>
  <c r="AJ59" i="16"/>
  <c r="AJ94" i="16"/>
  <c r="AH82" i="16"/>
  <c r="AH59" i="16"/>
  <c r="AF37" i="16"/>
  <c r="AF82" i="16"/>
  <c r="AG44" i="16"/>
  <c r="AG29" i="16"/>
  <c r="AH37" i="16"/>
  <c r="AF109" i="16"/>
  <c r="AE74" i="16"/>
  <c r="AI94" i="16"/>
  <c r="AG117" i="16"/>
  <c r="AK102" i="16"/>
  <c r="AD37" i="16"/>
  <c r="AF29" i="16"/>
  <c r="AF132" i="16"/>
  <c r="AJ117" i="16"/>
  <c r="AE109" i="16"/>
  <c r="AF94" i="16"/>
  <c r="AJ109" i="16"/>
  <c r="AE124" i="16"/>
  <c r="AJ102" i="16"/>
  <c r="AJ132" i="16"/>
  <c r="AI102" i="16"/>
  <c r="AI117" i="16"/>
  <c r="H22" i="15"/>
  <c r="H24" i="15" s="1"/>
  <c r="H48" i="15" s="1"/>
  <c r="L22" i="15"/>
  <c r="L24" i="15" s="1"/>
  <c r="L48" i="15" s="1"/>
  <c r="P22" i="15"/>
  <c r="P24" i="15" s="1"/>
  <c r="T22" i="15"/>
  <c r="T24" i="15" s="1"/>
  <c r="T48" i="15" s="1"/>
  <c r="AH94" i="16"/>
  <c r="J22" i="15"/>
  <c r="J24" i="15" s="1"/>
  <c r="K71" i="15" s="1"/>
  <c r="K76" i="15" s="1"/>
  <c r="R22" i="15"/>
  <c r="R24" i="15" s="1"/>
  <c r="E22" i="15"/>
  <c r="E24" i="15" s="1"/>
  <c r="F71" i="15" s="1"/>
  <c r="F76" i="15" s="1"/>
  <c r="I85" i="15" s="1"/>
  <c r="I22" i="15"/>
  <c r="I24" i="15" s="1"/>
  <c r="I48" i="15" s="1"/>
  <c r="M22" i="15"/>
  <c r="M24" i="15" s="1"/>
  <c r="N71" i="15" s="1"/>
  <c r="N76" i="15" s="1"/>
  <c r="Q22" i="15"/>
  <c r="Q24" i="15" s="1"/>
  <c r="AK132" i="16"/>
  <c r="AG109" i="16"/>
  <c r="AE94" i="16"/>
  <c r="AN132" i="16"/>
  <c r="AM124" i="16"/>
  <c r="AE117" i="16"/>
  <c r="AE82" i="16"/>
  <c r="AD52" i="16"/>
  <c r="AM132" i="16"/>
  <c r="AK117" i="16"/>
  <c r="AF102" i="16"/>
  <c r="AF124" i="16"/>
  <c r="AI109" i="16"/>
  <c r="AD29" i="16"/>
  <c r="AD109" i="16"/>
  <c r="AF117" i="16"/>
  <c r="AG67" i="16"/>
  <c r="AG94" i="16"/>
  <c r="AD94" i="16"/>
  <c r="AI124" i="16"/>
  <c r="AH74" i="16"/>
  <c r="AD124" i="16"/>
  <c r="AE102" i="16"/>
  <c r="AE132" i="16"/>
  <c r="AL124" i="16"/>
  <c r="AH124" i="16"/>
  <c r="AD74" i="16"/>
  <c r="AF67" i="16"/>
  <c r="AK124" i="16"/>
  <c r="AG74" i="16"/>
  <c r="AE67" i="16"/>
  <c r="AL132" i="16"/>
  <c r="AH102" i="16"/>
  <c r="AH132" i="16"/>
  <c r="AD102" i="16"/>
  <c r="AD132" i="16"/>
  <c r="AF74" i="16"/>
  <c r="AD82" i="16"/>
  <c r="AH109" i="16"/>
  <c r="AD59" i="16"/>
  <c r="AG124" i="16"/>
  <c r="AH117" i="16"/>
  <c r="AD117" i="16"/>
  <c r="AD67" i="16"/>
  <c r="Z14" i="16"/>
  <c r="J48" i="15"/>
  <c r="S71" i="15"/>
  <c r="R48" i="15"/>
  <c r="E48" i="15"/>
  <c r="J71" i="15"/>
  <c r="M48" i="15"/>
  <c r="R71" i="15"/>
  <c r="R76" i="15" s="1"/>
  <c r="Q48" i="15"/>
  <c r="L71" i="15"/>
  <c r="L76" i="15" s="1"/>
  <c r="M85" i="15" s="1"/>
  <c r="K48" i="15"/>
  <c r="T71" i="15"/>
  <c r="T76" i="15" s="1"/>
  <c r="K85" i="15" s="1"/>
  <c r="S48" i="15"/>
  <c r="S76" i="15"/>
  <c r="G85" i="15" s="1"/>
  <c r="G71" i="15"/>
  <c r="G76" i="15" s="1"/>
  <c r="F48" i="15"/>
  <c r="O71" i="15"/>
  <c r="O76" i="15" s="1"/>
  <c r="N48" i="15"/>
  <c r="H71" i="15"/>
  <c r="H76" i="15" s="1"/>
  <c r="G48" i="15"/>
  <c r="P71" i="15"/>
  <c r="P76" i="15" s="1"/>
  <c r="J85" i="15" s="1"/>
  <c r="O48" i="15"/>
  <c r="M71" i="15"/>
  <c r="M76" i="15" s="1"/>
  <c r="F85" i="15" s="1"/>
  <c r="Q71" i="15"/>
  <c r="P48" i="15"/>
  <c r="U71" i="15"/>
  <c r="U76" i="15" s="1"/>
  <c r="V74" i="15"/>
  <c r="Q76" i="15"/>
  <c r="J76" i="15"/>
  <c r="I77" i="15"/>
  <c r="V77" i="15" s="1"/>
  <c r="Z59" i="16" l="1"/>
  <c r="I41" i="16" s="1"/>
  <c r="E41" i="16" s="1"/>
  <c r="Z44" i="16"/>
  <c r="I39" i="16" s="1"/>
  <c r="E39" i="16" s="1"/>
  <c r="Z37" i="16"/>
  <c r="I38" i="16" s="1"/>
  <c r="Z52" i="16"/>
  <c r="I40" i="16" s="1"/>
  <c r="E40" i="16" s="1"/>
  <c r="Z29" i="16"/>
  <c r="I37" i="16" s="1"/>
  <c r="Z82" i="16"/>
  <c r="L79" i="15"/>
  <c r="I71" i="15"/>
  <c r="I76" i="15" s="1"/>
  <c r="S85" i="15" s="1"/>
  <c r="Z94" i="16"/>
  <c r="Z117" i="16"/>
  <c r="Z22" i="16"/>
  <c r="I36" i="16" s="1"/>
  <c r="E36" i="16" s="1"/>
  <c r="Z124" i="16"/>
  <c r="Z109" i="16"/>
  <c r="Z132" i="16"/>
  <c r="Z67" i="16"/>
  <c r="Z102" i="16"/>
  <c r="Z74" i="16"/>
  <c r="R79" i="15"/>
  <c r="P85" i="15"/>
  <c r="Q79" i="15"/>
  <c r="N85" i="15"/>
  <c r="J79" i="15"/>
  <c r="L85" i="15"/>
  <c r="H79" i="15"/>
  <c r="H85" i="15"/>
  <c r="K79" i="15"/>
  <c r="Q85" i="15"/>
  <c r="U79" i="15"/>
  <c r="T85" i="15"/>
  <c r="T79" i="15"/>
  <c r="S79" i="15"/>
  <c r="G79" i="15"/>
  <c r="E85" i="15"/>
  <c r="P79" i="15"/>
  <c r="N79" i="15"/>
  <c r="R85" i="15"/>
  <c r="M79" i="15"/>
  <c r="O79" i="15"/>
  <c r="O85" i="15"/>
  <c r="F79" i="15"/>
  <c r="M37" i="16" l="1"/>
  <c r="E37" i="16"/>
  <c r="K38" i="16"/>
  <c r="E38" i="16"/>
  <c r="K39" i="16"/>
  <c r="M41" i="16"/>
  <c r="M40" i="16"/>
  <c r="K37" i="16"/>
  <c r="M38" i="16"/>
  <c r="I79" i="15"/>
  <c r="V76" i="15"/>
  <c r="K36" i="16"/>
  <c r="M36" i="16"/>
  <c r="I52" i="16" l="1"/>
  <c r="M52" i="16" s="1"/>
  <c r="K41" i="16"/>
  <c r="K40" i="16"/>
  <c r="M39" i="16"/>
  <c r="T74" i="4"/>
  <c r="T73" i="4"/>
  <c r="T72" i="4"/>
  <c r="T71" i="4"/>
  <c r="K52" i="16" l="1"/>
  <c r="T60" i="4"/>
  <c r="T61" i="4"/>
  <c r="E85" i="4" l="1"/>
  <c r="F85" i="4"/>
  <c r="G85" i="4"/>
  <c r="H85" i="4"/>
  <c r="I85" i="4"/>
  <c r="J85" i="4"/>
  <c r="K85" i="4"/>
  <c r="L85" i="4"/>
  <c r="M85" i="4"/>
  <c r="N85" i="4"/>
  <c r="O85" i="4"/>
  <c r="P85" i="4"/>
  <c r="Q85" i="4"/>
  <c r="R85" i="4"/>
  <c r="S85" i="4"/>
  <c r="T59" i="4"/>
  <c r="T58" i="4"/>
  <c r="T65" i="4" s="1"/>
  <c r="T67" i="4" s="1"/>
  <c r="V30" i="11" l="1"/>
  <c r="F39" i="11" s="1"/>
  <c r="F48" i="11" s="1"/>
  <c r="V29" i="11"/>
  <c r="F38" i="11" s="1"/>
  <c r="F47" i="11" s="1"/>
  <c r="U28" i="11"/>
  <c r="T28" i="11"/>
  <c r="Q28" i="11"/>
  <c r="L28" i="11"/>
  <c r="H28" i="11"/>
  <c r="U27" i="11"/>
  <c r="T27" i="11"/>
  <c r="Q27" i="11"/>
  <c r="L27" i="11"/>
  <c r="G27" i="11"/>
  <c r="Z118" i="8"/>
  <c r="Z110" i="8"/>
  <c r="Z103" i="8"/>
  <c r="Z95" i="8"/>
  <c r="Z88" i="8"/>
  <c r="Z80" i="8"/>
  <c r="Z73" i="8"/>
  <c r="Z65" i="8"/>
  <c r="Z58" i="8"/>
  <c r="Z50" i="8"/>
  <c r="J45" i="8"/>
  <c r="H45" i="8"/>
  <c r="Z43" i="8"/>
  <c r="Z35" i="8"/>
  <c r="C34" i="8"/>
  <c r="Z28" i="8"/>
  <c r="Z20" i="8"/>
  <c r="AJ22" i="8" s="1"/>
  <c r="R15" i="8"/>
  <c r="AM9" i="8" s="1"/>
  <c r="Q15" i="8"/>
  <c r="AL9" i="8" s="1"/>
  <c r="AL32" i="8" s="1"/>
  <c r="P15" i="8"/>
  <c r="AK9" i="8" s="1"/>
  <c r="AK24" i="8" s="1"/>
  <c r="O15" i="8"/>
  <c r="AJ9" i="8" s="1"/>
  <c r="N15" i="8"/>
  <c r="AI9" i="8" s="1"/>
  <c r="M15" i="8"/>
  <c r="AH9" i="8" s="1"/>
  <c r="L15" i="8"/>
  <c r="AG9" i="8" s="1"/>
  <c r="AG99" i="8" s="1"/>
  <c r="K15" i="8"/>
  <c r="AF9" i="8" s="1"/>
  <c r="AF107" i="8" s="1"/>
  <c r="J15" i="8"/>
  <c r="AE9" i="8" s="1"/>
  <c r="Z13" i="8"/>
  <c r="S13" i="8"/>
  <c r="R13" i="8"/>
  <c r="Q13" i="8"/>
  <c r="P13" i="8"/>
  <c r="O13" i="8"/>
  <c r="N13" i="8"/>
  <c r="M13" i="8"/>
  <c r="L13" i="8"/>
  <c r="K13" i="8"/>
  <c r="J13" i="8"/>
  <c r="I13" i="8"/>
  <c r="AO9" i="8"/>
  <c r="AO114" i="8" s="1"/>
  <c r="AN9" i="8"/>
  <c r="AN122" i="8" s="1"/>
  <c r="AD9" i="8"/>
  <c r="AD62" i="8" s="1"/>
  <c r="AO6" i="8"/>
  <c r="AO29" i="8" s="1"/>
  <c r="AN6" i="8"/>
  <c r="AN104" i="8" s="1"/>
  <c r="AM6" i="8"/>
  <c r="AM36" i="8" s="1"/>
  <c r="AL6" i="8"/>
  <c r="AL21" i="8" s="1"/>
  <c r="AK6" i="8"/>
  <c r="AK14" i="8" s="1"/>
  <c r="AJ6" i="8"/>
  <c r="AJ21" i="8" s="1"/>
  <c r="AI6" i="8"/>
  <c r="AI14" i="8" s="1"/>
  <c r="AH6" i="8"/>
  <c r="AH51" i="8" s="1"/>
  <c r="AG6" i="8"/>
  <c r="AG111" i="8" s="1"/>
  <c r="AF6" i="8"/>
  <c r="AF89" i="8" s="1"/>
  <c r="AE6" i="8"/>
  <c r="AE44" i="8" s="1"/>
  <c r="AD6" i="8"/>
  <c r="AD59" i="8" s="1"/>
  <c r="AN5" i="8"/>
  <c r="AN13" i="8" s="1"/>
  <c r="AM5" i="8"/>
  <c r="AM13" i="8" s="1"/>
  <c r="AM65" i="8" s="1"/>
  <c r="AL5" i="8"/>
  <c r="AL13" i="8" s="1"/>
  <c r="AK5" i="8"/>
  <c r="AK13" i="8" s="1"/>
  <c r="AK20" i="8" s="1"/>
  <c r="AJ5" i="8"/>
  <c r="AJ13" i="8" s="1"/>
  <c r="AI5" i="8"/>
  <c r="AI13" i="8" s="1"/>
  <c r="AI28" i="8" s="1"/>
  <c r="AH5" i="8"/>
  <c r="AH13" i="8" s="1"/>
  <c r="AG5" i="8"/>
  <c r="AG13" i="8" s="1"/>
  <c r="AG20" i="8" s="1"/>
  <c r="AF5" i="8"/>
  <c r="AF13" i="8" s="1"/>
  <c r="AF80" i="8" s="1"/>
  <c r="AE5" i="8"/>
  <c r="AE13" i="8" s="1"/>
  <c r="AE20" i="8" s="1"/>
  <c r="AD5" i="8"/>
  <c r="AD13" i="8" s="1"/>
  <c r="Z5" i="8"/>
  <c r="AG119" i="7"/>
  <c r="Z118" i="7"/>
  <c r="Z110" i="7"/>
  <c r="AJ103" i="7"/>
  <c r="Z103" i="7"/>
  <c r="Z95" i="7"/>
  <c r="AG89" i="7"/>
  <c r="Z88" i="7"/>
  <c r="Z80" i="7"/>
  <c r="AJ73" i="7"/>
  <c r="Z73" i="7"/>
  <c r="Z65" i="7"/>
  <c r="Z58" i="7"/>
  <c r="AK51" i="7"/>
  <c r="AN50" i="7"/>
  <c r="Z50" i="7"/>
  <c r="J45" i="7"/>
  <c r="H45" i="7"/>
  <c r="Z43" i="7"/>
  <c r="Z35" i="7"/>
  <c r="C34" i="7"/>
  <c r="Z28" i="7"/>
  <c r="Z20" i="7"/>
  <c r="R15" i="7"/>
  <c r="AM9" i="7" s="1"/>
  <c r="AM24" i="7" s="1"/>
  <c r="Q15" i="7"/>
  <c r="AL9" i="7" s="1"/>
  <c r="P15" i="7"/>
  <c r="O15" i="7"/>
  <c r="AJ9" i="7" s="1"/>
  <c r="N15" i="7"/>
  <c r="AI9" i="7" s="1"/>
  <c r="M15" i="7"/>
  <c r="AH9" i="7" s="1"/>
  <c r="L15" i="7"/>
  <c r="K15" i="7"/>
  <c r="AF9" i="7" s="1"/>
  <c r="J15" i="7"/>
  <c r="AE9" i="7" s="1"/>
  <c r="Z13" i="7"/>
  <c r="S13" i="7"/>
  <c r="R13" i="7"/>
  <c r="Q13" i="7"/>
  <c r="P13" i="7"/>
  <c r="O13" i="7"/>
  <c r="N13" i="7"/>
  <c r="M13" i="7"/>
  <c r="L13" i="7"/>
  <c r="K13" i="7"/>
  <c r="J13" i="7"/>
  <c r="I13" i="7"/>
  <c r="AO9" i="7"/>
  <c r="AN9" i="7"/>
  <c r="AN39" i="7" s="1"/>
  <c r="AK9" i="7"/>
  <c r="AK54" i="7" s="1"/>
  <c r="AG9" i="7"/>
  <c r="AG47" i="7" s="1"/>
  <c r="AD9" i="7"/>
  <c r="AO6" i="7"/>
  <c r="AO104" i="7" s="1"/>
  <c r="AN6" i="7"/>
  <c r="AN44" i="7" s="1"/>
  <c r="AM6" i="7"/>
  <c r="AM51" i="7" s="1"/>
  <c r="AL6" i="7"/>
  <c r="AK6" i="7"/>
  <c r="AK104" i="7" s="1"/>
  <c r="AJ6" i="7"/>
  <c r="AJ44" i="7" s="1"/>
  <c r="AI6" i="7"/>
  <c r="AI36" i="7" s="1"/>
  <c r="AI37" i="7" s="1"/>
  <c r="AH6" i="7"/>
  <c r="AG6" i="7"/>
  <c r="AG66" i="7" s="1"/>
  <c r="AF6" i="7"/>
  <c r="AF44" i="7" s="1"/>
  <c r="AE6" i="7"/>
  <c r="AE111" i="7" s="1"/>
  <c r="AD6" i="7"/>
  <c r="AN5" i="7"/>
  <c r="AN13" i="7" s="1"/>
  <c r="AN88" i="7" s="1"/>
  <c r="AM5" i="7"/>
  <c r="AM13" i="7" s="1"/>
  <c r="AM28" i="7" s="1"/>
  <c r="AL5" i="7"/>
  <c r="AL13" i="7" s="1"/>
  <c r="AK5" i="7"/>
  <c r="AK13" i="7" s="1"/>
  <c r="AJ5" i="7"/>
  <c r="AJ13" i="7" s="1"/>
  <c r="AI5" i="7"/>
  <c r="AI13" i="7" s="1"/>
  <c r="AI20" i="7" s="1"/>
  <c r="AH5" i="7"/>
  <c r="AH13" i="7" s="1"/>
  <c r="AG5" i="7"/>
  <c r="AG13" i="7" s="1"/>
  <c r="AF5" i="7"/>
  <c r="AF13" i="7" s="1"/>
  <c r="AF50" i="7" s="1"/>
  <c r="AE5" i="7"/>
  <c r="AE13" i="7" s="1"/>
  <c r="AD5" i="7"/>
  <c r="AD13" i="7" s="1"/>
  <c r="AD110" i="7" s="1"/>
  <c r="AD118" i="7" s="1"/>
  <c r="Z5" i="7"/>
  <c r="AG7" i="7" s="1"/>
  <c r="Z130" i="6"/>
  <c r="Z122" i="6"/>
  <c r="Z115" i="6"/>
  <c r="Z107" i="6"/>
  <c r="Z100" i="6"/>
  <c r="Z92" i="6"/>
  <c r="Z85" i="6"/>
  <c r="Z77" i="6"/>
  <c r="Z70" i="6"/>
  <c r="Z62" i="6"/>
  <c r="J57" i="6"/>
  <c r="H57" i="6"/>
  <c r="Z55" i="6"/>
  <c r="Z47" i="6"/>
  <c r="C46" i="6"/>
  <c r="Z40" i="6"/>
  <c r="Z32" i="6"/>
  <c r="AJ21" i="6"/>
  <c r="AF21" i="6"/>
  <c r="Z25" i="6"/>
  <c r="S25" i="6"/>
  <c r="R25" i="6"/>
  <c r="Q25" i="6"/>
  <c r="P25" i="6"/>
  <c r="O25" i="6"/>
  <c r="N25" i="6"/>
  <c r="M25" i="6"/>
  <c r="L25" i="6"/>
  <c r="K25" i="6"/>
  <c r="J25" i="6"/>
  <c r="AO21" i="6"/>
  <c r="AO29" i="6" s="1"/>
  <c r="AN21" i="6"/>
  <c r="AN51" i="6" s="1"/>
  <c r="AM21" i="6"/>
  <c r="AL21" i="6"/>
  <c r="AK21" i="6"/>
  <c r="AI21" i="6"/>
  <c r="AH21" i="6"/>
  <c r="AH74" i="6" s="1"/>
  <c r="AG21" i="6"/>
  <c r="AG29" i="6" s="1"/>
  <c r="AE21" i="6"/>
  <c r="AE29" i="6" s="1"/>
  <c r="AD21" i="6"/>
  <c r="I25" i="6"/>
  <c r="AO18" i="6"/>
  <c r="AO48" i="6" s="1"/>
  <c r="AN18" i="6"/>
  <c r="AN41" i="6" s="1"/>
  <c r="AN42" i="6" s="1"/>
  <c r="AM18" i="6"/>
  <c r="AL18" i="6"/>
  <c r="AK18" i="6"/>
  <c r="AK48" i="6" s="1"/>
  <c r="AJ18" i="6"/>
  <c r="AJ41" i="6" s="1"/>
  <c r="AJ42" i="6" s="1"/>
  <c r="AI18" i="6"/>
  <c r="AI101" i="6" s="1"/>
  <c r="AH18" i="6"/>
  <c r="AG18" i="6"/>
  <c r="AG48" i="6" s="1"/>
  <c r="AF18" i="6"/>
  <c r="AF26" i="6" s="1"/>
  <c r="AE18" i="6"/>
  <c r="AD18" i="6"/>
  <c r="AN17" i="6"/>
  <c r="AN25" i="6" s="1"/>
  <c r="AN32" i="6" s="1"/>
  <c r="AM17" i="6"/>
  <c r="AM25" i="6" s="1"/>
  <c r="AL17" i="6"/>
  <c r="AL25" i="6" s="1"/>
  <c r="AK17" i="6"/>
  <c r="AK25" i="6" s="1"/>
  <c r="AJ17" i="6"/>
  <c r="AJ25" i="6" s="1"/>
  <c r="AJ32" i="6" s="1"/>
  <c r="AI17" i="6"/>
  <c r="AI25" i="6" s="1"/>
  <c r="AH17" i="6"/>
  <c r="AH25" i="6" s="1"/>
  <c r="AH40" i="6" s="1"/>
  <c r="AG17" i="6"/>
  <c r="AG25" i="6" s="1"/>
  <c r="AF17" i="6"/>
  <c r="AF25" i="6" s="1"/>
  <c r="AF32" i="6" s="1"/>
  <c r="AE17" i="6"/>
  <c r="AE25" i="6" s="1"/>
  <c r="AD17" i="6"/>
  <c r="AD25" i="6" s="1"/>
  <c r="Z17" i="6"/>
  <c r="AI93" i="6" l="1"/>
  <c r="AK33" i="6"/>
  <c r="AK34" i="6" s="1"/>
  <c r="AO56" i="6"/>
  <c r="AI29" i="7"/>
  <c r="AI30" i="7" s="1"/>
  <c r="AE14" i="7"/>
  <c r="AI66" i="7"/>
  <c r="AI67" i="7" s="1"/>
  <c r="AI81" i="7"/>
  <c r="AM96" i="7"/>
  <c r="AI111" i="7"/>
  <c r="AI15" i="8"/>
  <c r="I22" i="8"/>
  <c r="AG28" i="8"/>
  <c r="AJ36" i="8"/>
  <c r="AI59" i="7"/>
  <c r="AI60" i="7" s="1"/>
  <c r="AO33" i="6"/>
  <c r="AJ45" i="7"/>
  <c r="AG33" i="6"/>
  <c r="AG34" i="6" s="1"/>
  <c r="AG56" i="6"/>
  <c r="AG57" i="6" s="1"/>
  <c r="AK14" i="7"/>
  <c r="AK15" i="7" s="1"/>
  <c r="AF58" i="7"/>
  <c r="AJ66" i="8"/>
  <c r="V27" i="11"/>
  <c r="F36" i="11" s="1"/>
  <c r="F45" i="11" s="1"/>
  <c r="AO24" i="8"/>
  <c r="AK43" i="8"/>
  <c r="AD21" i="8"/>
  <c r="AJ44" i="8"/>
  <c r="AJ45" i="8" s="1"/>
  <c r="AD74" i="8"/>
  <c r="AD75" i="8" s="1"/>
  <c r="AF119" i="8"/>
  <c r="AF51" i="6"/>
  <c r="AF96" i="6"/>
  <c r="AF89" i="6"/>
  <c r="AF74" i="6"/>
  <c r="AF66" i="6"/>
  <c r="AF81" i="6"/>
  <c r="AF59" i="6"/>
  <c r="AF36" i="6"/>
  <c r="AJ89" i="6"/>
  <c r="AJ74" i="6"/>
  <c r="AJ81" i="6"/>
  <c r="AJ59" i="6"/>
  <c r="AJ66" i="6"/>
  <c r="AJ36" i="6"/>
  <c r="AH35" i="8"/>
  <c r="AH50" i="8"/>
  <c r="AE54" i="8"/>
  <c r="AE24" i="8"/>
  <c r="AE47" i="8"/>
  <c r="AI24" i="8"/>
  <c r="AI39" i="8"/>
  <c r="AI47" i="8"/>
  <c r="AM47" i="8"/>
  <c r="AM24" i="8"/>
  <c r="AK56" i="6"/>
  <c r="AK57" i="6" s="1"/>
  <c r="AL95" i="7"/>
  <c r="AL65" i="7"/>
  <c r="AE93" i="6"/>
  <c r="AE56" i="6"/>
  <c r="AE57" i="6" s="1"/>
  <c r="AE131" i="6"/>
  <c r="AE123" i="6"/>
  <c r="AE116" i="6"/>
  <c r="AE108" i="6"/>
  <c r="AE101" i="6"/>
  <c r="AE33" i="6"/>
  <c r="AI48" i="6"/>
  <c r="AI49" i="6" s="1"/>
  <c r="AI33" i="6"/>
  <c r="AI34" i="6" s="1"/>
  <c r="AI131" i="6"/>
  <c r="AI123" i="6"/>
  <c r="AI116" i="6"/>
  <c r="AI108" i="6"/>
  <c r="AI56" i="6"/>
  <c r="AI57" i="6" s="1"/>
  <c r="AM48" i="6"/>
  <c r="AM49" i="6" s="1"/>
  <c r="AM131" i="6"/>
  <c r="AM123" i="6"/>
  <c r="AM116" i="6"/>
  <c r="AM117" i="6" s="1"/>
  <c r="AM108" i="6"/>
  <c r="AM109" i="6" s="1"/>
  <c r="AM101" i="6"/>
  <c r="AM102" i="6" s="1"/>
  <c r="AM56" i="6"/>
  <c r="AM57" i="6" s="1"/>
  <c r="AM33" i="6"/>
  <c r="AM34" i="6" s="1"/>
  <c r="AD51" i="6"/>
  <c r="AD66" i="6"/>
  <c r="AH134" i="6"/>
  <c r="AH81" i="6"/>
  <c r="AH59" i="6"/>
  <c r="AH66" i="6"/>
  <c r="AH36" i="6"/>
  <c r="AL51" i="6"/>
  <c r="AL66" i="6"/>
  <c r="AL36" i="6"/>
  <c r="AL81" i="6"/>
  <c r="AL59" i="6"/>
  <c r="AL89" i="6"/>
  <c r="AL74" i="6"/>
  <c r="AE28" i="7"/>
  <c r="AE43" i="7"/>
  <c r="AE35" i="7"/>
  <c r="AE7" i="8"/>
  <c r="AK15" i="8"/>
  <c r="I22" i="7"/>
  <c r="AN17" i="7"/>
  <c r="AF21" i="7"/>
  <c r="AK62" i="7"/>
  <c r="AG77" i="7"/>
  <c r="AG107" i="7"/>
  <c r="AI7" i="8"/>
  <c r="AE14" i="8"/>
  <c r="AD15" i="8" s="1"/>
  <c r="AM14" i="8"/>
  <c r="AM15" i="8" s="1"/>
  <c r="AD17" i="8"/>
  <c r="AI29" i="8"/>
  <c r="AE36" i="8"/>
  <c r="AE37" i="8" s="1"/>
  <c r="AO36" i="8"/>
  <c r="AN92" i="8"/>
  <c r="AK111" i="8"/>
  <c r="AJ21" i="7"/>
  <c r="AJ22" i="7" s="1"/>
  <c r="AN32" i="7"/>
  <c r="AM35" i="7"/>
  <c r="AN58" i="7"/>
  <c r="AN105" i="8"/>
  <c r="AM7" i="8"/>
  <c r="AG14" i="8"/>
  <c r="AG15" i="8" s="1"/>
  <c r="AO14" i="8"/>
  <c r="AH21" i="8"/>
  <c r="AH22" i="8" s="1"/>
  <c r="AK28" i="8"/>
  <c r="AK29" i="8"/>
  <c r="AK30" i="8" s="1"/>
  <c r="AG32" i="8"/>
  <c r="AG36" i="8"/>
  <c r="AD39" i="8"/>
  <c r="AE43" i="8"/>
  <c r="AM44" i="8"/>
  <c r="AK81" i="8"/>
  <c r="AK82" i="8" s="1"/>
  <c r="AI103" i="8"/>
  <c r="AN21" i="7"/>
  <c r="AN22" i="7" s="1"/>
  <c r="AM43" i="7"/>
  <c r="AD65" i="7"/>
  <c r="AD80" i="7"/>
  <c r="AG24" i="8"/>
  <c r="AE29" i="8"/>
  <c r="AM29" i="8"/>
  <c r="AM30" i="8" s="1"/>
  <c r="AM51" i="8"/>
  <c r="AM52" i="8" s="1"/>
  <c r="AO96" i="8"/>
  <c r="AN26" i="6"/>
  <c r="AN27" i="6" s="1"/>
  <c r="AG14" i="7"/>
  <c r="AG15" i="7" s="1"/>
  <c r="AG17" i="7"/>
  <c r="AM20" i="7"/>
  <c r="AG24" i="7"/>
  <c r="AE51" i="7"/>
  <c r="AE52" i="7" s="1"/>
  <c r="AK59" i="7"/>
  <c r="AK60" i="7" s="1"/>
  <c r="AO74" i="7"/>
  <c r="AE81" i="7"/>
  <c r="AG29" i="8"/>
  <c r="AG30" i="8" s="1"/>
  <c r="AO32" i="8"/>
  <c r="AM35" i="8"/>
  <c r="AN39" i="8"/>
  <c r="AE65" i="8"/>
  <c r="AN36" i="6"/>
  <c r="AN66" i="6"/>
  <c r="AN74" i="6"/>
  <c r="AN81" i="6"/>
  <c r="AN89" i="6"/>
  <c r="AN59" i="6"/>
  <c r="AD81" i="6"/>
  <c r="AD74" i="6"/>
  <c r="AD96" i="6"/>
  <c r="AD36" i="6"/>
  <c r="AD59" i="6"/>
  <c r="AD89" i="6"/>
  <c r="AE122" i="6"/>
  <c r="AE130" i="6" s="1"/>
  <c r="AE115" i="6"/>
  <c r="AE107" i="6"/>
  <c r="AE100" i="6"/>
  <c r="AE92" i="6"/>
  <c r="AE40" i="6"/>
  <c r="AE32" i="6"/>
  <c r="AE85" i="6"/>
  <c r="AE77" i="6"/>
  <c r="AE70" i="6"/>
  <c r="AE62" i="6"/>
  <c r="AE55" i="6"/>
  <c r="AE47" i="6"/>
  <c r="AM122" i="6"/>
  <c r="AM130" i="6" s="1"/>
  <c r="AM115" i="6"/>
  <c r="AM107" i="6"/>
  <c r="AM100" i="6"/>
  <c r="AM40" i="6"/>
  <c r="AM32" i="6"/>
  <c r="AM85" i="6"/>
  <c r="AM77" i="6"/>
  <c r="AM70" i="6"/>
  <c r="AM62" i="6"/>
  <c r="AM92" i="6"/>
  <c r="AM55" i="6"/>
  <c r="AM47" i="6"/>
  <c r="AG55" i="6"/>
  <c r="AG47" i="6"/>
  <c r="AG122" i="6"/>
  <c r="AG130" i="6" s="1"/>
  <c r="AG115" i="6"/>
  <c r="AG107" i="6"/>
  <c r="AG100" i="6"/>
  <c r="AG40" i="6"/>
  <c r="AG32" i="6"/>
  <c r="AG92" i="6"/>
  <c r="AG85" i="6"/>
  <c r="AG77" i="6"/>
  <c r="AG70" i="6"/>
  <c r="AG62" i="6"/>
  <c r="AK122" i="6"/>
  <c r="AK130" i="6" s="1"/>
  <c r="AK115" i="6"/>
  <c r="AK107" i="6"/>
  <c r="AK100" i="6"/>
  <c r="AK92" i="6"/>
  <c r="AK55" i="6"/>
  <c r="AK47" i="6"/>
  <c r="AK40" i="6"/>
  <c r="AK32" i="6"/>
  <c r="AK85" i="6"/>
  <c r="AK77" i="6"/>
  <c r="AK70" i="6"/>
  <c r="AK62" i="6"/>
  <c r="AN19" i="6"/>
  <c r="AJ19" i="6"/>
  <c r="AF19" i="6"/>
  <c r="AL19" i="6"/>
  <c r="AH19" i="6"/>
  <c r="AD19" i="6"/>
  <c r="AH131" i="6"/>
  <c r="AH123" i="6"/>
  <c r="AH116" i="6"/>
  <c r="AH108" i="6"/>
  <c r="AH101" i="6"/>
  <c r="AH56" i="6"/>
  <c r="AH57" i="6" s="1"/>
  <c r="AH48" i="6"/>
  <c r="AH49" i="6" s="1"/>
  <c r="AH93" i="6"/>
  <c r="AH33" i="6"/>
  <c r="AH34" i="6" s="1"/>
  <c r="AH86" i="6"/>
  <c r="AH87" i="6" s="1"/>
  <c r="AH78" i="6"/>
  <c r="AH71" i="6"/>
  <c r="AH72" i="6" s="1"/>
  <c r="AH63" i="6"/>
  <c r="AH64" i="6" s="1"/>
  <c r="AH41" i="6"/>
  <c r="AH42" i="6" s="1"/>
  <c r="AI36" i="6"/>
  <c r="AI44" i="6"/>
  <c r="AI81" i="6"/>
  <c r="AI74" i="6"/>
  <c r="AI66" i="6"/>
  <c r="AI59" i="6"/>
  <c r="AI134" i="6"/>
  <c r="AI126" i="6"/>
  <c r="AI119" i="6"/>
  <c r="AI111" i="6"/>
  <c r="AI104" i="6"/>
  <c r="AI96" i="6"/>
  <c r="AI89" i="6"/>
  <c r="AI51" i="6"/>
  <c r="AI122" i="6"/>
  <c r="AI130" i="6" s="1"/>
  <c r="AI115" i="6"/>
  <c r="AI107" i="6"/>
  <c r="AI100" i="6"/>
  <c r="AI40" i="6"/>
  <c r="AI32" i="6"/>
  <c r="AI92" i="6"/>
  <c r="AI85" i="6"/>
  <c r="AI77" i="6"/>
  <c r="AI70" i="6"/>
  <c r="AI62" i="6"/>
  <c r="AI55" i="6"/>
  <c r="AI47" i="6"/>
  <c r="AH122" i="6"/>
  <c r="AH130" i="6" s="1"/>
  <c r="AH115" i="6"/>
  <c r="AH107" i="6"/>
  <c r="AH100" i="6"/>
  <c r="AH92" i="6"/>
  <c r="AH85" i="6"/>
  <c r="AH77" i="6"/>
  <c r="AH70" i="6"/>
  <c r="AH62" i="6"/>
  <c r="AH55" i="6"/>
  <c r="AH47" i="6"/>
  <c r="AM19" i="6"/>
  <c r="AH26" i="6"/>
  <c r="AH27" i="6" s="1"/>
  <c r="AJ131" i="6"/>
  <c r="AJ123" i="6"/>
  <c r="AJ116" i="6"/>
  <c r="AJ108" i="6"/>
  <c r="AJ101" i="6"/>
  <c r="AJ93" i="6"/>
  <c r="AJ94" i="6" s="1"/>
  <c r="AJ33" i="6"/>
  <c r="AJ34" i="6" s="1"/>
  <c r="AJ86" i="6"/>
  <c r="AJ87" i="6" s="1"/>
  <c r="AJ78" i="6"/>
  <c r="AJ79" i="6" s="1"/>
  <c r="AJ71" i="6"/>
  <c r="AJ72" i="6" s="1"/>
  <c r="AJ63" i="6"/>
  <c r="AJ64" i="6" s="1"/>
  <c r="AJ56" i="6"/>
  <c r="AJ57" i="6" s="1"/>
  <c r="AJ48" i="6"/>
  <c r="AJ49" i="6" s="1"/>
  <c r="AN131" i="6"/>
  <c r="AN123" i="6"/>
  <c r="AN124" i="6" s="1"/>
  <c r="AN116" i="6"/>
  <c r="AN117" i="6" s="1"/>
  <c r="AN108" i="6"/>
  <c r="AN109" i="6" s="1"/>
  <c r="AN101" i="6"/>
  <c r="AN102" i="6" s="1"/>
  <c r="AN33" i="6"/>
  <c r="AN34" i="6" s="1"/>
  <c r="AN93" i="6"/>
  <c r="AN94" i="6" s="1"/>
  <c r="AN86" i="6"/>
  <c r="AN87" i="6" s="1"/>
  <c r="AN78" i="6"/>
  <c r="AN79" i="6" s="1"/>
  <c r="AN71" i="6"/>
  <c r="AN72" i="6" s="1"/>
  <c r="AN63" i="6"/>
  <c r="AN64" i="6" s="1"/>
  <c r="AN56" i="6"/>
  <c r="AN57" i="6" s="1"/>
  <c r="AN48" i="6"/>
  <c r="AN49" i="6" s="1"/>
  <c r="AG19" i="6"/>
  <c r="I34" i="6"/>
  <c r="AG134" i="6"/>
  <c r="AG126" i="6"/>
  <c r="AG119" i="6"/>
  <c r="AG111" i="6"/>
  <c r="AG104" i="6"/>
  <c r="AG96" i="6"/>
  <c r="AG89" i="6"/>
  <c r="AG81" i="6"/>
  <c r="AG74" i="6"/>
  <c r="AG66" i="6"/>
  <c r="AG59" i="6"/>
  <c r="AG51" i="6"/>
  <c r="AG36" i="6"/>
  <c r="AG44" i="6"/>
  <c r="AK134" i="6"/>
  <c r="AK126" i="6"/>
  <c r="AK119" i="6"/>
  <c r="AK111" i="6"/>
  <c r="AK104" i="6"/>
  <c r="AK96" i="6"/>
  <c r="AK89" i="6"/>
  <c r="AK81" i="6"/>
  <c r="AK74" i="6"/>
  <c r="AK66" i="6"/>
  <c r="AK59" i="6"/>
  <c r="AK51" i="6"/>
  <c r="AK36" i="6"/>
  <c r="AK44" i="6"/>
  <c r="AO134" i="6"/>
  <c r="AO126" i="6"/>
  <c r="AO119" i="6"/>
  <c r="AO111" i="6"/>
  <c r="AO104" i="6"/>
  <c r="AO96" i="6"/>
  <c r="AO89" i="6"/>
  <c r="AO81" i="6"/>
  <c r="AO74" i="6"/>
  <c r="AO66" i="6"/>
  <c r="AO59" i="6"/>
  <c r="AO51" i="6"/>
  <c r="AO36" i="6"/>
  <c r="AO44" i="6"/>
  <c r="AJ26" i="6"/>
  <c r="AJ27" i="6" s="1"/>
  <c r="AI29" i="6"/>
  <c r="AD56" i="6"/>
  <c r="AD93" i="6"/>
  <c r="AD48" i="6"/>
  <c r="AD131" i="6"/>
  <c r="AD123" i="6"/>
  <c r="AD116" i="6"/>
  <c r="AD108" i="6"/>
  <c r="AD101" i="6"/>
  <c r="AD33" i="6"/>
  <c r="AD86" i="6"/>
  <c r="AD78" i="6"/>
  <c r="AD71" i="6"/>
  <c r="AD63" i="6"/>
  <c r="AD41" i="6"/>
  <c r="AL56" i="6"/>
  <c r="AL57" i="6" s="1"/>
  <c r="AL48" i="6"/>
  <c r="AL49" i="6" s="1"/>
  <c r="AL131" i="6"/>
  <c r="AL123" i="6"/>
  <c r="AL116" i="6"/>
  <c r="AL117" i="6" s="1"/>
  <c r="AL108" i="6"/>
  <c r="AL109" i="6" s="1"/>
  <c r="AL101" i="6"/>
  <c r="AL102" i="6" s="1"/>
  <c r="AL33" i="6"/>
  <c r="AL34" i="6" s="1"/>
  <c r="AL93" i="6"/>
  <c r="AL94" i="6" s="1"/>
  <c r="AL86" i="6"/>
  <c r="AL87" i="6" s="1"/>
  <c r="AL78" i="6"/>
  <c r="AL79" i="6" s="1"/>
  <c r="AL71" i="6"/>
  <c r="AL72" i="6" s="1"/>
  <c r="AL63" i="6"/>
  <c r="AL64" i="6" s="1"/>
  <c r="AL41" i="6"/>
  <c r="AL42" i="6" s="1"/>
  <c r="AK19" i="6"/>
  <c r="AE36" i="6"/>
  <c r="AE134" i="6"/>
  <c r="AE126" i="6"/>
  <c r="AE119" i="6"/>
  <c r="AE111" i="6"/>
  <c r="AE104" i="6"/>
  <c r="AE44" i="6"/>
  <c r="AE96" i="6"/>
  <c r="AE89" i="6"/>
  <c r="AE81" i="6"/>
  <c r="AE74" i="6"/>
  <c r="AE66" i="6"/>
  <c r="AE59" i="6"/>
  <c r="AE51" i="6"/>
  <c r="AM89" i="6"/>
  <c r="AM36" i="6"/>
  <c r="AM134" i="6"/>
  <c r="AM126" i="6"/>
  <c r="AM119" i="6"/>
  <c r="AM111" i="6"/>
  <c r="AM104" i="6"/>
  <c r="AM96" i="6"/>
  <c r="AM44" i="6"/>
  <c r="AM81" i="6"/>
  <c r="AM74" i="6"/>
  <c r="AM66" i="6"/>
  <c r="AM59" i="6"/>
  <c r="AM51" i="6"/>
  <c r="AM29" i="6"/>
  <c r="AG110" i="7"/>
  <c r="AG118" i="7" s="1"/>
  <c r="AG103" i="7"/>
  <c r="AG95" i="7"/>
  <c r="AG88" i="7"/>
  <c r="AG80" i="7"/>
  <c r="AG73" i="7"/>
  <c r="AG65" i="7"/>
  <c r="AG58" i="7"/>
  <c r="AG50" i="7"/>
  <c r="AG20" i="7"/>
  <c r="AG35" i="7"/>
  <c r="AG28" i="7"/>
  <c r="AG43" i="7"/>
  <c r="AD92" i="6"/>
  <c r="AD85" i="6"/>
  <c r="AD77" i="6"/>
  <c r="AD70" i="6"/>
  <c r="AD62" i="6"/>
  <c r="AD122" i="6"/>
  <c r="AD130" i="6" s="1"/>
  <c r="AD115" i="6"/>
  <c r="AD107" i="6"/>
  <c r="AD100" i="6"/>
  <c r="AD55" i="6"/>
  <c r="AD47" i="6"/>
  <c r="AL85" i="6"/>
  <c r="AL77" i="6"/>
  <c r="AL70" i="6"/>
  <c r="AL62" i="6"/>
  <c r="AL122" i="6"/>
  <c r="AL130" i="6" s="1"/>
  <c r="AL115" i="6"/>
  <c r="AL107" i="6"/>
  <c r="AL100" i="6"/>
  <c r="AL92" i="6"/>
  <c r="AL55" i="6"/>
  <c r="AL47" i="6"/>
  <c r="AE19" i="6"/>
  <c r="AH32" i="6"/>
  <c r="AL40" i="6"/>
  <c r="AF131" i="6"/>
  <c r="AF123" i="6"/>
  <c r="AF116" i="6"/>
  <c r="AF108" i="6"/>
  <c r="AF101" i="6"/>
  <c r="AF33" i="6"/>
  <c r="AF86" i="6"/>
  <c r="AF87" i="6" s="1"/>
  <c r="AF78" i="6"/>
  <c r="AF71" i="6"/>
  <c r="AF63" i="6"/>
  <c r="AF64" i="6" s="1"/>
  <c r="AF56" i="6"/>
  <c r="AF57" i="6" s="1"/>
  <c r="AF93" i="6"/>
  <c r="AF48" i="6"/>
  <c r="AF49" i="6" s="1"/>
  <c r="AF122" i="6"/>
  <c r="AF130" i="6" s="1"/>
  <c r="AF115" i="6"/>
  <c r="AF107" i="6"/>
  <c r="AF100" i="6"/>
  <c r="AF92" i="6"/>
  <c r="AF85" i="6"/>
  <c r="AF77" i="6"/>
  <c r="AF70" i="6"/>
  <c r="AF62" i="6"/>
  <c r="AF55" i="6"/>
  <c r="AF47" i="6"/>
  <c r="AF40" i="6"/>
  <c r="AJ122" i="6"/>
  <c r="AJ130" i="6" s="1"/>
  <c r="AJ115" i="6"/>
  <c r="AJ107" i="6"/>
  <c r="AJ100" i="6"/>
  <c r="AJ92" i="6"/>
  <c r="AJ85" i="6"/>
  <c r="AJ77" i="6"/>
  <c r="AJ70" i="6"/>
  <c r="AJ62" i="6"/>
  <c r="AJ55" i="6"/>
  <c r="AJ47" i="6"/>
  <c r="AJ40" i="6"/>
  <c r="AN122" i="6"/>
  <c r="AN130" i="6" s="1"/>
  <c r="AN115" i="6"/>
  <c r="AN107" i="6"/>
  <c r="AN100" i="6"/>
  <c r="AN92" i="6"/>
  <c r="AN85" i="6"/>
  <c r="AN77" i="6"/>
  <c r="AN70" i="6"/>
  <c r="AN62" i="6"/>
  <c r="AN55" i="6"/>
  <c r="AN47" i="6"/>
  <c r="AN40" i="6"/>
  <c r="AI19" i="6"/>
  <c r="AD26" i="6"/>
  <c r="AL26" i="6"/>
  <c r="AL27" i="6" s="1"/>
  <c r="AF27" i="6"/>
  <c r="AK29" i="6"/>
  <c r="AD32" i="6"/>
  <c r="AL32" i="6"/>
  <c r="AD40" i="6"/>
  <c r="AF41" i="6"/>
  <c r="AF42" i="6" s="1"/>
  <c r="AM7" i="7"/>
  <c r="AI7" i="7"/>
  <c r="AE7" i="7"/>
  <c r="AL7" i="7"/>
  <c r="AH7" i="7"/>
  <c r="AD7" i="7"/>
  <c r="AD119" i="7"/>
  <c r="AD111" i="7"/>
  <c r="AD104" i="7"/>
  <c r="AD96" i="7"/>
  <c r="AD89" i="7"/>
  <c r="AD81" i="7"/>
  <c r="AD74" i="7"/>
  <c r="AD66" i="7"/>
  <c r="AD59" i="7"/>
  <c r="AD51" i="7"/>
  <c r="AD29" i="7"/>
  <c r="AD36" i="7"/>
  <c r="AD21" i="7"/>
  <c r="AD14" i="7"/>
  <c r="AH119" i="7"/>
  <c r="AH111" i="7"/>
  <c r="AH104" i="7"/>
  <c r="AH96" i="7"/>
  <c r="AH89" i="7"/>
  <c r="AH81" i="7"/>
  <c r="AH74" i="7"/>
  <c r="AH66" i="7"/>
  <c r="AH59" i="7"/>
  <c r="AH60" i="7" s="1"/>
  <c r="AH51" i="7"/>
  <c r="AH52" i="7" s="1"/>
  <c r="AH29" i="7"/>
  <c r="AH36" i="7"/>
  <c r="AH37" i="7" s="1"/>
  <c r="AH44" i="7"/>
  <c r="AH45" i="7" s="1"/>
  <c r="AH14" i="7"/>
  <c r="AH15" i="7" s="1"/>
  <c r="AL119" i="7"/>
  <c r="AL111" i="7"/>
  <c r="AL112" i="7" s="1"/>
  <c r="AL104" i="7"/>
  <c r="AL105" i="7" s="1"/>
  <c r="AL96" i="7"/>
  <c r="AL97" i="7" s="1"/>
  <c r="AL89" i="7"/>
  <c r="AL90" i="7" s="1"/>
  <c r="AL81" i="7"/>
  <c r="AL82" i="7" s="1"/>
  <c r="AL74" i="7"/>
  <c r="AL66" i="7"/>
  <c r="AL67" i="7" s="1"/>
  <c r="AL59" i="7"/>
  <c r="AL60" i="7" s="1"/>
  <c r="AL51" i="7"/>
  <c r="AL52" i="7" s="1"/>
  <c r="AL29" i="7"/>
  <c r="AL36" i="7"/>
  <c r="AL37" i="7" s="1"/>
  <c r="AL21" i="7"/>
  <c r="AL22" i="7" s="1"/>
  <c r="AK7" i="7"/>
  <c r="AH122" i="7"/>
  <c r="AH114" i="7"/>
  <c r="AH107" i="7"/>
  <c r="AH99" i="7"/>
  <c r="AH92" i="7"/>
  <c r="AH84" i="7"/>
  <c r="AH77" i="7"/>
  <c r="AH69" i="7"/>
  <c r="AH62" i="7"/>
  <c r="AH54" i="7"/>
  <c r="AH47" i="7"/>
  <c r="AH24" i="7"/>
  <c r="AO114" i="7"/>
  <c r="AO84" i="7"/>
  <c r="AO32" i="7"/>
  <c r="AO17" i="7"/>
  <c r="AO99" i="7"/>
  <c r="AO39" i="7"/>
  <c r="AO107" i="7"/>
  <c r="AO77" i="7"/>
  <c r="AO62" i="7"/>
  <c r="AO54" i="7"/>
  <c r="AH88" i="7"/>
  <c r="AH43" i="7"/>
  <c r="AH35" i="7"/>
  <c r="AH103" i="7"/>
  <c r="AH28" i="7"/>
  <c r="AH20" i="7"/>
  <c r="AH65" i="7"/>
  <c r="AH110" i="7"/>
  <c r="AH118" i="7" s="1"/>
  <c r="AH80" i="7"/>
  <c r="AH58" i="7"/>
  <c r="AE122" i="7"/>
  <c r="AE92" i="7"/>
  <c r="AE39" i="7"/>
  <c r="AE107" i="7"/>
  <c r="AE77" i="7"/>
  <c r="AE32" i="7"/>
  <c r="AE30" i="7" s="1"/>
  <c r="AE17" i="7"/>
  <c r="AE69" i="7"/>
  <c r="AE114" i="7"/>
  <c r="AE84" i="7"/>
  <c r="AE62" i="7"/>
  <c r="AI107" i="7"/>
  <c r="AI77" i="7"/>
  <c r="AI39" i="7"/>
  <c r="AI122" i="7"/>
  <c r="AI92" i="7"/>
  <c r="AI32" i="7"/>
  <c r="AI17" i="7"/>
  <c r="AI114" i="7"/>
  <c r="AI84" i="7"/>
  <c r="AI54" i="7"/>
  <c r="AI47" i="7"/>
  <c r="AI24" i="7"/>
  <c r="AM122" i="7"/>
  <c r="AM92" i="7"/>
  <c r="AM39" i="7"/>
  <c r="AM107" i="7"/>
  <c r="AM77" i="7"/>
  <c r="AM32" i="7"/>
  <c r="AM17" i="7"/>
  <c r="AM69" i="7"/>
  <c r="AM99" i="7"/>
  <c r="AM62" i="7"/>
  <c r="AE24" i="7"/>
  <c r="AI69" i="7"/>
  <c r="AH95" i="7"/>
  <c r="AE99" i="7"/>
  <c r="AE97" i="7" s="1"/>
  <c r="Z125" i="7"/>
  <c r="AG37" i="8"/>
  <c r="AM37" i="8"/>
  <c r="AJ37" i="8"/>
  <c r="AE26" i="6"/>
  <c r="AE27" i="6" s="1"/>
  <c r="AI26" i="6"/>
  <c r="AI27" i="6" s="1"/>
  <c r="AM26" i="6"/>
  <c r="AM27" i="6" s="1"/>
  <c r="AD29" i="6"/>
  <c r="AH29" i="6"/>
  <c r="AL29" i="6"/>
  <c r="AE41" i="6"/>
  <c r="AI41" i="6"/>
  <c r="AI42" i="6" s="1"/>
  <c r="AM41" i="6"/>
  <c r="AM42" i="6" s="1"/>
  <c r="AD44" i="6"/>
  <c r="AH44" i="6"/>
  <c r="AL44" i="6"/>
  <c r="AG49" i="6"/>
  <c r="AK49" i="6"/>
  <c r="AJ51" i="6"/>
  <c r="AE63" i="6"/>
  <c r="AE64" i="6" s="1"/>
  <c r="AI63" i="6"/>
  <c r="AI64" i="6" s="1"/>
  <c r="AM63" i="6"/>
  <c r="AM64" i="6" s="1"/>
  <c r="AE71" i="6"/>
  <c r="AI71" i="6"/>
  <c r="AI72" i="6" s="1"/>
  <c r="AM71" i="6"/>
  <c r="AM72" i="6" s="1"/>
  <c r="AE78" i="6"/>
  <c r="AI78" i="6"/>
  <c r="AI79" i="6" s="1"/>
  <c r="AM78" i="6"/>
  <c r="AM79" i="6" s="1"/>
  <c r="AE86" i="6"/>
  <c r="AI86" i="6"/>
  <c r="AI87" i="6" s="1"/>
  <c r="AM86" i="6"/>
  <c r="AM87" i="6" s="1"/>
  <c r="AM93" i="6"/>
  <c r="AM94" i="6" s="1"/>
  <c r="AL96" i="6"/>
  <c r="AD104" i="6"/>
  <c r="AL104" i="6"/>
  <c r="AD111" i="6"/>
  <c r="AL111" i="6"/>
  <c r="AD119" i="6"/>
  <c r="AL119" i="6"/>
  <c r="AD126" i="6"/>
  <c r="AL126" i="6"/>
  <c r="AD134" i="6"/>
  <c r="AL134" i="6"/>
  <c r="AF7" i="7"/>
  <c r="AN7" i="7"/>
  <c r="AK99" i="7"/>
  <c r="AK32" i="7"/>
  <c r="AK17" i="7"/>
  <c r="AK114" i="7"/>
  <c r="AK84" i="7"/>
  <c r="AK39" i="7"/>
  <c r="AK47" i="7"/>
  <c r="AK24" i="7"/>
  <c r="AK107" i="7"/>
  <c r="AK105" i="7" s="1"/>
  <c r="AK77" i="7"/>
  <c r="AK69" i="7"/>
  <c r="AD103" i="7"/>
  <c r="AD43" i="7"/>
  <c r="AD35" i="7"/>
  <c r="AD88" i="7"/>
  <c r="AD28" i="7"/>
  <c r="AD20" i="7"/>
  <c r="AD95" i="7"/>
  <c r="AD50" i="7"/>
  <c r="AD73" i="7"/>
  <c r="AF122" i="7"/>
  <c r="AF114" i="7"/>
  <c r="AF107" i="7"/>
  <c r="AF99" i="7"/>
  <c r="AF92" i="7"/>
  <c r="AF84" i="7"/>
  <c r="AF77" i="7"/>
  <c r="AF24" i="7"/>
  <c r="AF69" i="7"/>
  <c r="AF62" i="7"/>
  <c r="AF54" i="7"/>
  <c r="AF47" i="7"/>
  <c r="AF17" i="7"/>
  <c r="AJ122" i="7"/>
  <c r="AJ114" i="7"/>
  <c r="AJ107" i="7"/>
  <c r="AJ99" i="7"/>
  <c r="AJ92" i="7"/>
  <c r="AJ84" i="7"/>
  <c r="AJ77" i="7"/>
  <c r="AJ24" i="7"/>
  <c r="AJ69" i="7"/>
  <c r="AJ62" i="7"/>
  <c r="AJ54" i="7"/>
  <c r="AJ47" i="7"/>
  <c r="AJ39" i="7"/>
  <c r="AJ32" i="7"/>
  <c r="AJ17" i="7"/>
  <c r="AG22" i="7"/>
  <c r="AG29" i="7"/>
  <c r="AG30" i="7" s="1"/>
  <c r="AF32" i="7"/>
  <c r="AG36" i="7"/>
  <c r="AG37" i="7" s="1"/>
  <c r="AF39" i="7"/>
  <c r="AL44" i="7"/>
  <c r="AL45" i="7" s="1"/>
  <c r="AM47" i="7"/>
  <c r="AH50" i="7"/>
  <c r="AE54" i="7"/>
  <c r="AD58" i="7"/>
  <c r="AO69" i="7"/>
  <c r="AK74" i="7"/>
  <c r="AK92" i="7"/>
  <c r="AI99" i="7"/>
  <c r="AK122" i="7"/>
  <c r="AJ88" i="8"/>
  <c r="AJ73" i="8"/>
  <c r="AJ65" i="8"/>
  <c r="AJ58" i="8"/>
  <c r="AJ50" i="8"/>
  <c r="AJ103" i="8"/>
  <c r="AJ110" i="8"/>
  <c r="AJ118" i="8" s="1"/>
  <c r="AJ80" i="8"/>
  <c r="AJ43" i="8"/>
  <c r="AJ35" i="8"/>
  <c r="AJ28" i="8"/>
  <c r="AJ20" i="8"/>
  <c r="AJ95" i="8"/>
  <c r="AH122" i="8"/>
  <c r="AH114" i="8"/>
  <c r="AH107" i="8"/>
  <c r="AH99" i="8"/>
  <c r="AH92" i="8"/>
  <c r="AH84" i="8"/>
  <c r="AH82" i="8" s="1"/>
  <c r="AH77" i="8"/>
  <c r="AH69" i="8"/>
  <c r="AH62" i="8"/>
  <c r="AH54" i="8"/>
  <c r="AH47" i="8"/>
  <c r="AH39" i="8"/>
  <c r="AH32" i="8"/>
  <c r="AH24" i="8"/>
  <c r="AH17" i="8"/>
  <c r="AL122" i="8"/>
  <c r="AL114" i="8"/>
  <c r="AL107" i="8"/>
  <c r="AL99" i="8"/>
  <c r="AL92" i="8"/>
  <c r="AL84" i="8"/>
  <c r="AL77" i="8"/>
  <c r="AL54" i="8"/>
  <c r="AL47" i="8"/>
  <c r="AL69" i="8"/>
  <c r="AL24" i="8"/>
  <c r="AL39" i="8"/>
  <c r="AL62" i="8"/>
  <c r="AL17" i="8"/>
  <c r="AK22" i="8"/>
  <c r="AL22" i="8"/>
  <c r="AI30" i="8"/>
  <c r="AD122" i="7"/>
  <c r="AD114" i="7"/>
  <c r="AD107" i="7"/>
  <c r="AD99" i="7"/>
  <c r="AD92" i="7"/>
  <c r="AD84" i="7"/>
  <c r="AD77" i="7"/>
  <c r="AD69" i="7"/>
  <c r="AD62" i="7"/>
  <c r="AD54" i="7"/>
  <c r="AD47" i="7"/>
  <c r="AD24" i="7"/>
  <c r="AD39" i="7"/>
  <c r="AD32" i="7"/>
  <c r="AD17" i="7"/>
  <c r="AL122" i="7"/>
  <c r="AL114" i="7"/>
  <c r="AL107" i="7"/>
  <c r="AL99" i="7"/>
  <c r="AL92" i="7"/>
  <c r="AL84" i="7"/>
  <c r="AL77" i="7"/>
  <c r="AL69" i="7"/>
  <c r="AL62" i="7"/>
  <c r="AL54" i="7"/>
  <c r="AL47" i="7"/>
  <c r="AL24" i="7"/>
  <c r="AL39" i="7"/>
  <c r="AL32" i="7"/>
  <c r="AL17" i="7"/>
  <c r="AK110" i="7"/>
  <c r="AK118" i="7" s="1"/>
  <c r="AK103" i="7"/>
  <c r="AK95" i="7"/>
  <c r="AK88" i="7"/>
  <c r="AK80" i="7"/>
  <c r="AK73" i="7"/>
  <c r="AK65" i="7"/>
  <c r="AK58" i="7"/>
  <c r="AK50" i="7"/>
  <c r="AK43" i="7"/>
  <c r="AK35" i="7"/>
  <c r="AK28" i="7"/>
  <c r="AH21" i="7"/>
  <c r="AH22" i="7" s="1"/>
  <c r="AH32" i="7"/>
  <c r="AH39" i="7"/>
  <c r="AO47" i="7"/>
  <c r="AH75" i="7"/>
  <c r="AO92" i="7"/>
  <c r="AO122" i="7"/>
  <c r="AK60" i="8"/>
  <c r="AG131" i="6"/>
  <c r="AG123" i="6"/>
  <c r="AG116" i="6"/>
  <c r="AG108" i="6"/>
  <c r="AG101" i="6"/>
  <c r="AG93" i="6"/>
  <c r="AK131" i="6"/>
  <c r="AK123" i="6"/>
  <c r="AK116" i="6"/>
  <c r="AK108" i="6"/>
  <c r="AK109" i="6" s="1"/>
  <c r="AK101" i="6"/>
  <c r="AK93" i="6"/>
  <c r="AK94" i="6" s="1"/>
  <c r="AO131" i="6"/>
  <c r="AO123" i="6"/>
  <c r="AO116" i="6"/>
  <c r="AO108" i="6"/>
  <c r="AO101" i="6"/>
  <c r="AO93" i="6"/>
  <c r="AF134" i="6"/>
  <c r="AF126" i="6"/>
  <c r="AF119" i="6"/>
  <c r="AF111" i="6"/>
  <c r="AF104" i="6"/>
  <c r="AJ134" i="6"/>
  <c r="AJ126" i="6"/>
  <c r="AJ119" i="6"/>
  <c r="AJ111" i="6"/>
  <c r="AJ104" i="6"/>
  <c r="AJ96" i="6"/>
  <c r="AN134" i="6"/>
  <c r="AN126" i="6"/>
  <c r="AN119" i="6"/>
  <c r="AN111" i="6"/>
  <c r="AN104" i="6"/>
  <c r="AN96" i="6"/>
  <c r="AG26" i="6"/>
  <c r="AG27" i="6" s="1"/>
  <c r="AK26" i="6"/>
  <c r="AK27" i="6" s="1"/>
  <c r="AO26" i="6"/>
  <c r="AF29" i="6"/>
  <c r="AJ29" i="6"/>
  <c r="AN29" i="6"/>
  <c r="AG41" i="6"/>
  <c r="AG42" i="6" s="1"/>
  <c r="AK41" i="6"/>
  <c r="AK42" i="6" s="1"/>
  <c r="AO41" i="6"/>
  <c r="AF44" i="6"/>
  <c r="AJ44" i="6"/>
  <c r="AN44" i="6"/>
  <c r="AE48" i="6"/>
  <c r="AE49" i="6" s="1"/>
  <c r="AH51" i="6"/>
  <c r="AG63" i="6"/>
  <c r="AG64" i="6" s="1"/>
  <c r="AK63" i="6"/>
  <c r="AK64" i="6" s="1"/>
  <c r="AO63" i="6"/>
  <c r="AG71" i="6"/>
  <c r="AK71" i="6"/>
  <c r="AK72" i="6" s="1"/>
  <c r="AO71" i="6"/>
  <c r="AG78" i="6"/>
  <c r="AK78" i="6"/>
  <c r="AK79" i="6" s="1"/>
  <c r="AO78" i="6"/>
  <c r="AG86" i="6"/>
  <c r="AG87" i="6" s="1"/>
  <c r="AK86" i="6"/>
  <c r="AK87" i="6" s="1"/>
  <c r="AO86" i="6"/>
  <c r="AH89" i="6"/>
  <c r="AH96" i="6"/>
  <c r="AH104" i="6"/>
  <c r="AH111" i="6"/>
  <c r="AH119" i="6"/>
  <c r="AH126" i="6"/>
  <c r="Z137" i="6"/>
  <c r="AF95" i="7"/>
  <c r="AF28" i="7"/>
  <c r="AF20" i="7"/>
  <c r="AF110" i="7"/>
  <c r="AF118" i="7" s="1"/>
  <c r="AF80" i="7"/>
  <c r="AF43" i="7"/>
  <c r="AF35" i="7"/>
  <c r="AF73" i="7"/>
  <c r="AF88" i="7"/>
  <c r="AF65" i="7"/>
  <c r="AJ110" i="7"/>
  <c r="AJ118" i="7" s="1"/>
  <c r="AJ80" i="7"/>
  <c r="AJ28" i="7"/>
  <c r="AJ20" i="7"/>
  <c r="AJ95" i="7"/>
  <c r="AJ43" i="7"/>
  <c r="AJ35" i="7"/>
  <c r="AJ88" i="7"/>
  <c r="AJ58" i="7"/>
  <c r="AJ50" i="7"/>
  <c r="AN95" i="7"/>
  <c r="AN28" i="7"/>
  <c r="AN20" i="7"/>
  <c r="AN110" i="7"/>
  <c r="AN118" i="7" s="1"/>
  <c r="AN80" i="7"/>
  <c r="AN43" i="7"/>
  <c r="AN35" i="7"/>
  <c r="AN103" i="7"/>
  <c r="AN73" i="7"/>
  <c r="AN65" i="7"/>
  <c r="AG111" i="7"/>
  <c r="AG81" i="7"/>
  <c r="AG21" i="7"/>
  <c r="AF22" i="7" s="1"/>
  <c r="AG96" i="7"/>
  <c r="AG97" i="7" s="1"/>
  <c r="AG44" i="7"/>
  <c r="AG104" i="7"/>
  <c r="AG74" i="7"/>
  <c r="AG75" i="7" s="1"/>
  <c r="AG59" i="7"/>
  <c r="AG60" i="7" s="1"/>
  <c r="AG51" i="7"/>
  <c r="AK96" i="7"/>
  <c r="AK97" i="7" s="1"/>
  <c r="AK21" i="7"/>
  <c r="AK22" i="7" s="1"/>
  <c r="AK111" i="7"/>
  <c r="AK112" i="7" s="1"/>
  <c r="AK81" i="7"/>
  <c r="AK44" i="7"/>
  <c r="AK119" i="7"/>
  <c r="AK89" i="7"/>
  <c r="AK90" i="7" s="1"/>
  <c r="AK66" i="7"/>
  <c r="AK67" i="7" s="1"/>
  <c r="AK36" i="7"/>
  <c r="AK37" i="7" s="1"/>
  <c r="AK29" i="7"/>
  <c r="AK30" i="7" s="1"/>
  <c r="AO111" i="7"/>
  <c r="AO81" i="7"/>
  <c r="AO21" i="7"/>
  <c r="AO96" i="7"/>
  <c r="AO44" i="7"/>
  <c r="AO119" i="7"/>
  <c r="AO89" i="7"/>
  <c r="AO59" i="7"/>
  <c r="AO14" i="7"/>
  <c r="AO51" i="7"/>
  <c r="AJ7" i="7"/>
  <c r="AG114" i="7"/>
  <c r="AG84" i="7"/>
  <c r="AG82" i="7" s="1"/>
  <c r="AG32" i="7"/>
  <c r="AG99" i="7"/>
  <c r="AG39" i="7"/>
  <c r="AG122" i="7"/>
  <c r="AG120" i="7" s="1"/>
  <c r="AG92" i="7"/>
  <c r="AG62" i="7"/>
  <c r="AG54" i="7"/>
  <c r="AL103" i="7"/>
  <c r="AL73" i="7"/>
  <c r="AL43" i="7"/>
  <c r="AL35" i="7"/>
  <c r="AL88" i="7"/>
  <c r="AL28" i="7"/>
  <c r="AL20" i="7"/>
  <c r="AL110" i="7"/>
  <c r="AL118" i="7" s="1"/>
  <c r="AL80" i="7"/>
  <c r="AL50" i="7"/>
  <c r="AL14" i="7"/>
  <c r="AL15" i="7" s="1"/>
  <c r="AH17" i="7"/>
  <c r="AK20" i="7"/>
  <c r="AO24" i="7"/>
  <c r="AO29" i="7"/>
  <c r="AO36" i="7"/>
  <c r="AD44" i="7"/>
  <c r="AE47" i="7"/>
  <c r="AM54" i="7"/>
  <c r="AL58" i="7"/>
  <c r="AI62" i="7"/>
  <c r="AJ65" i="7"/>
  <c r="AO66" i="7"/>
  <c r="AG69" i="7"/>
  <c r="AH73" i="7"/>
  <c r="AM84" i="7"/>
  <c r="AF103" i="7"/>
  <c r="AM114" i="7"/>
  <c r="AM112" i="7" s="1"/>
  <c r="AE119" i="7"/>
  <c r="AE89" i="7"/>
  <c r="AE44" i="7"/>
  <c r="AE104" i="7"/>
  <c r="AE74" i="7"/>
  <c r="AE21" i="7"/>
  <c r="AI104" i="7"/>
  <c r="AI74" i="7"/>
  <c r="AI75" i="7" s="1"/>
  <c r="AI44" i="7"/>
  <c r="AI45" i="7" s="1"/>
  <c r="AI119" i="7"/>
  <c r="AI89" i="7"/>
  <c r="AI21" i="7"/>
  <c r="AI22" i="7" s="1"/>
  <c r="AM119" i="7"/>
  <c r="AM89" i="7"/>
  <c r="AM90" i="7" s="1"/>
  <c r="AM44" i="7"/>
  <c r="AM104" i="7"/>
  <c r="AM105" i="7" s="1"/>
  <c r="AM74" i="7"/>
  <c r="AM75" i="7" s="1"/>
  <c r="AM21" i="7"/>
  <c r="AM22" i="7" s="1"/>
  <c r="AE110" i="7"/>
  <c r="AE118" i="7" s="1"/>
  <c r="AE103" i="7"/>
  <c r="AE95" i="7"/>
  <c r="AE88" i="7"/>
  <c r="AE80" i="7"/>
  <c r="AE73" i="7"/>
  <c r="AE65" i="7"/>
  <c r="AE58" i="7"/>
  <c r="AE50" i="7"/>
  <c r="AI110" i="7"/>
  <c r="AI118" i="7" s="1"/>
  <c r="AI103" i="7"/>
  <c r="AI95" i="7"/>
  <c r="AI88" i="7"/>
  <c r="AI80" i="7"/>
  <c r="AI73" i="7"/>
  <c r="AI65" i="7"/>
  <c r="AI58" i="7"/>
  <c r="AI50" i="7"/>
  <c r="AM14" i="7"/>
  <c r="AM15" i="7" s="1"/>
  <c r="AE20" i="7"/>
  <c r="AI28" i="7"/>
  <c r="AI35" i="7"/>
  <c r="AI43" i="7"/>
  <c r="AK52" i="7"/>
  <c r="AE59" i="7"/>
  <c r="AM59" i="7"/>
  <c r="AM60" i="7" s="1"/>
  <c r="AM81" i="7"/>
  <c r="AE96" i="7"/>
  <c r="AM111" i="7"/>
  <c r="AF103" i="8"/>
  <c r="AF73" i="8"/>
  <c r="AF65" i="8"/>
  <c r="AF58" i="8"/>
  <c r="AF88" i="8"/>
  <c r="AF95" i="8"/>
  <c r="AF50" i="8"/>
  <c r="AF43" i="8"/>
  <c r="AF35" i="8"/>
  <c r="AF28" i="8"/>
  <c r="AF20" i="8"/>
  <c r="AN103" i="8"/>
  <c r="AN73" i="8"/>
  <c r="AN65" i="8"/>
  <c r="AN58" i="8"/>
  <c r="AN50" i="8"/>
  <c r="AN88" i="8"/>
  <c r="AN110" i="8"/>
  <c r="AN118" i="8" s="1"/>
  <c r="AN80" i="8"/>
  <c r="AN43" i="8"/>
  <c r="AN35" i="8"/>
  <c r="AN95" i="8"/>
  <c r="AN28" i="8"/>
  <c r="AN20" i="8"/>
  <c r="AF99" i="8"/>
  <c r="AF114" i="8"/>
  <c r="AF84" i="8"/>
  <c r="AF122" i="8"/>
  <c r="AF92" i="8"/>
  <c r="AF69" i="8"/>
  <c r="AF62" i="8"/>
  <c r="AF54" i="8"/>
  <c r="AF47" i="8"/>
  <c r="AF32" i="8"/>
  <c r="AF24" i="8"/>
  <c r="AF17" i="8"/>
  <c r="AF39" i="8"/>
  <c r="AJ114" i="8"/>
  <c r="AJ84" i="8"/>
  <c r="AJ99" i="8"/>
  <c r="AJ107" i="8"/>
  <c r="AJ77" i="8"/>
  <c r="AJ47" i="8"/>
  <c r="AJ122" i="8"/>
  <c r="AJ92" i="8"/>
  <c r="AJ62" i="8"/>
  <c r="AJ39" i="8"/>
  <c r="AJ24" i="8"/>
  <c r="AJ54" i="8"/>
  <c r="AJ32" i="8"/>
  <c r="AJ69" i="8"/>
  <c r="AJ17" i="8"/>
  <c r="AF77" i="8"/>
  <c r="AF110" i="8"/>
  <c r="AF118" i="8" s="1"/>
  <c r="AM110" i="7"/>
  <c r="AM118" i="7" s="1"/>
  <c r="AM103" i="7"/>
  <c r="AM95" i="7"/>
  <c r="AM88" i="7"/>
  <c r="AM80" i="7"/>
  <c r="AM73" i="7"/>
  <c r="AM65" i="7"/>
  <c r="AM58" i="7"/>
  <c r="AM50" i="7"/>
  <c r="AF119" i="7"/>
  <c r="AF111" i="7"/>
  <c r="AF104" i="7"/>
  <c r="AF105" i="7" s="1"/>
  <c r="AF96" i="7"/>
  <c r="AF89" i="7"/>
  <c r="AF81" i="7"/>
  <c r="AF74" i="7"/>
  <c r="AF75" i="7" s="1"/>
  <c r="AF36" i="7"/>
  <c r="AF66" i="7"/>
  <c r="AF59" i="7"/>
  <c r="AF51" i="7"/>
  <c r="AF52" i="7" s="1"/>
  <c r="AF29" i="7"/>
  <c r="AF14" i="7"/>
  <c r="AE15" i="7" s="1"/>
  <c r="AJ119" i="7"/>
  <c r="AJ111" i="7"/>
  <c r="AJ104" i="7"/>
  <c r="AJ96" i="7"/>
  <c r="AJ89" i="7"/>
  <c r="AJ81" i="7"/>
  <c r="AJ82" i="7" s="1"/>
  <c r="AJ74" i="7"/>
  <c r="AJ75" i="7" s="1"/>
  <c r="AJ36" i="7"/>
  <c r="AJ37" i="7" s="1"/>
  <c r="AJ66" i="7"/>
  <c r="AJ67" i="7" s="1"/>
  <c r="AJ59" i="7"/>
  <c r="AJ60" i="7" s="1"/>
  <c r="AJ51" i="7"/>
  <c r="AJ52" i="7" s="1"/>
  <c r="AJ29" i="7"/>
  <c r="AJ30" i="7" s="1"/>
  <c r="AJ14" i="7"/>
  <c r="AJ15" i="7" s="1"/>
  <c r="AN119" i="7"/>
  <c r="AN120" i="7" s="1"/>
  <c r="AN111" i="7"/>
  <c r="AN112" i="7" s="1"/>
  <c r="AN104" i="7"/>
  <c r="AN105" i="7" s="1"/>
  <c r="AN96" i="7"/>
  <c r="AN97" i="7" s="1"/>
  <c r="AN89" i="7"/>
  <c r="AN90" i="7" s="1"/>
  <c r="AN81" i="7"/>
  <c r="AN82" i="7" s="1"/>
  <c r="AN74" i="7"/>
  <c r="AN75" i="7" s="1"/>
  <c r="AN36" i="7"/>
  <c r="AN37" i="7" s="1"/>
  <c r="AN66" i="7"/>
  <c r="AN67" i="7" s="1"/>
  <c r="AN59" i="7"/>
  <c r="AN60" i="7" s="1"/>
  <c r="AN51" i="7"/>
  <c r="AN52" i="7" s="1"/>
  <c r="AN29" i="7"/>
  <c r="AN30" i="7" s="1"/>
  <c r="AN14" i="7"/>
  <c r="AN15" i="7" s="1"/>
  <c r="AN122" i="7"/>
  <c r="AN114" i="7"/>
  <c r="AN107" i="7"/>
  <c r="AN99" i="7"/>
  <c r="AN92" i="7"/>
  <c r="AN84" i="7"/>
  <c r="AN77" i="7"/>
  <c r="AN24" i="7"/>
  <c r="AN69" i="7"/>
  <c r="AN62" i="7"/>
  <c r="AN54" i="7"/>
  <c r="AN47" i="7"/>
  <c r="AI14" i="7"/>
  <c r="AI15" i="7" s="1"/>
  <c r="AL30" i="7"/>
  <c r="AH30" i="7"/>
  <c r="AF30" i="7"/>
  <c r="AE29" i="7"/>
  <c r="AM29" i="7"/>
  <c r="AM30" i="7" s="1"/>
  <c r="AF37" i="7"/>
  <c r="AE36" i="7"/>
  <c r="AE37" i="7" s="1"/>
  <c r="AM36" i="7"/>
  <c r="AM37" i="7" s="1"/>
  <c r="AK45" i="7"/>
  <c r="AG45" i="7"/>
  <c r="AM45" i="7"/>
  <c r="AE45" i="7"/>
  <c r="AF45" i="7"/>
  <c r="AN45" i="7"/>
  <c r="AI51" i="7"/>
  <c r="AE66" i="7"/>
  <c r="AM66" i="7"/>
  <c r="AM67" i="7" s="1"/>
  <c r="AI96" i="7"/>
  <c r="AI52" i="7"/>
  <c r="AM52" i="7"/>
  <c r="AN7" i="8"/>
  <c r="AJ7" i="8"/>
  <c r="AF7" i="8"/>
  <c r="AL7" i="8"/>
  <c r="AH7" i="8"/>
  <c r="AD7" i="8"/>
  <c r="AG110" i="8"/>
  <c r="AG118" i="8" s="1"/>
  <c r="AG103" i="8"/>
  <c r="AG95" i="8"/>
  <c r="AG88" i="8"/>
  <c r="AG80" i="8"/>
  <c r="AG65" i="8"/>
  <c r="AG50" i="8"/>
  <c r="AG43" i="8"/>
  <c r="AG58" i="8"/>
  <c r="AG35" i="8"/>
  <c r="AK110" i="8"/>
  <c r="AK118" i="8" s="1"/>
  <c r="AK103" i="8"/>
  <c r="AK95" i="8"/>
  <c r="AK88" i="8"/>
  <c r="AK80" i="8"/>
  <c r="AK73" i="8"/>
  <c r="AK65" i="8"/>
  <c r="AK58" i="8"/>
  <c r="AK50" i="8"/>
  <c r="AD119" i="8"/>
  <c r="AD111" i="8"/>
  <c r="AD104" i="8"/>
  <c r="AD96" i="8"/>
  <c r="AD89" i="8"/>
  <c r="AD81" i="8"/>
  <c r="AD51" i="8"/>
  <c r="AD36" i="8"/>
  <c r="AD29" i="8"/>
  <c r="AD14" i="8"/>
  <c r="AD66" i="8"/>
  <c r="AD44" i="8"/>
  <c r="AH119" i="8"/>
  <c r="AG120" i="8" s="1"/>
  <c r="AH111" i="8"/>
  <c r="AH104" i="8"/>
  <c r="AH96" i="8"/>
  <c r="AH97" i="8" s="1"/>
  <c r="AH89" i="8"/>
  <c r="AG90" i="8" s="1"/>
  <c r="AH81" i="8"/>
  <c r="AH74" i="8"/>
  <c r="AH66" i="8"/>
  <c r="AH59" i="8"/>
  <c r="AH60" i="8" s="1"/>
  <c r="AH36" i="8"/>
  <c r="AH37" i="8" s="1"/>
  <c r="AH29" i="8"/>
  <c r="AH30" i="8" s="1"/>
  <c r="AH14" i="8"/>
  <c r="AH15" i="8" s="1"/>
  <c r="AL119" i="8"/>
  <c r="AK120" i="8" s="1"/>
  <c r="AL111" i="8"/>
  <c r="AL104" i="8"/>
  <c r="AL96" i="8"/>
  <c r="AL97" i="8" s="1"/>
  <c r="AL89" i="8"/>
  <c r="AL90" i="8" s="1"/>
  <c r="AL81" i="8"/>
  <c r="AL74" i="8"/>
  <c r="AL36" i="8"/>
  <c r="AL37" i="8" s="1"/>
  <c r="AL66" i="8"/>
  <c r="AL44" i="8"/>
  <c r="AL45" i="8" s="1"/>
  <c r="AL29" i="8"/>
  <c r="AL30" i="8" s="1"/>
  <c r="AL14" i="8"/>
  <c r="AL15" i="8" s="1"/>
  <c r="AL51" i="8"/>
  <c r="AK7" i="8"/>
  <c r="AN99" i="8"/>
  <c r="AN114" i="8"/>
  <c r="AN84" i="8"/>
  <c r="AN107" i="8"/>
  <c r="AN77" i="8"/>
  <c r="AN69" i="8"/>
  <c r="AN62" i="8"/>
  <c r="AN47" i="8"/>
  <c r="AN54" i="8"/>
  <c r="AN24" i="8"/>
  <c r="AN32" i="8"/>
  <c r="AH110" i="8"/>
  <c r="AH118" i="8" s="1"/>
  <c r="AH103" i="8"/>
  <c r="AH95" i="8"/>
  <c r="AH88" i="8"/>
  <c r="AH80" i="8"/>
  <c r="AH73" i="8"/>
  <c r="AH65" i="8"/>
  <c r="AH28" i="8"/>
  <c r="AH20" i="8"/>
  <c r="AM20" i="8"/>
  <c r="AD32" i="8"/>
  <c r="AK35" i="8"/>
  <c r="AM45" i="8"/>
  <c r="AE45" i="8"/>
  <c r="AM43" i="8"/>
  <c r="AM50" i="8"/>
  <c r="AH58" i="8"/>
  <c r="AN74" i="8"/>
  <c r="AN75" i="8" s="1"/>
  <c r="AG52" i="7"/>
  <c r="AK75" i="7"/>
  <c r="AD75" i="7"/>
  <c r="AL75" i="7"/>
  <c r="AK82" i="7"/>
  <c r="AE110" i="8"/>
  <c r="AE118" i="8" s="1"/>
  <c r="AE80" i="8"/>
  <c r="AE95" i="8"/>
  <c r="AE58" i="8"/>
  <c r="AE88" i="8"/>
  <c r="AE50" i="8"/>
  <c r="AE73" i="8"/>
  <c r="AE103" i="8"/>
  <c r="AI95" i="8"/>
  <c r="AI110" i="8"/>
  <c r="AI118" i="8" s="1"/>
  <c r="AI80" i="8"/>
  <c r="AI88" i="8"/>
  <c r="AI73" i="8"/>
  <c r="AI65" i="8"/>
  <c r="AI58" i="8"/>
  <c r="AI50" i="8"/>
  <c r="AI35" i="8"/>
  <c r="AI43" i="8"/>
  <c r="AM110" i="8"/>
  <c r="AM118" i="8" s="1"/>
  <c r="AM80" i="8"/>
  <c r="AM95" i="8"/>
  <c r="AM103" i="8"/>
  <c r="AM88" i="8"/>
  <c r="AM58" i="8"/>
  <c r="AM73" i="8"/>
  <c r="AF96" i="8"/>
  <c r="AF111" i="8"/>
  <c r="AF81" i="8"/>
  <c r="AF104" i="8"/>
  <c r="AF74" i="8"/>
  <c r="AF75" i="8" s="1"/>
  <c r="AF66" i="8"/>
  <c r="AF59" i="8"/>
  <c r="AF51" i="8"/>
  <c r="AF52" i="8" s="1"/>
  <c r="AF44" i="8"/>
  <c r="AF45" i="8" s="1"/>
  <c r="AF36" i="8"/>
  <c r="AF37" i="8" s="1"/>
  <c r="AF29" i="8"/>
  <c r="AF30" i="8" s="1"/>
  <c r="AF14" i="8"/>
  <c r="AJ111" i="8"/>
  <c r="AJ81" i="8"/>
  <c r="AJ82" i="8" s="1"/>
  <c r="AJ96" i="8"/>
  <c r="AJ51" i="8"/>
  <c r="AJ52" i="8" s="1"/>
  <c r="AJ119" i="8"/>
  <c r="AJ89" i="8"/>
  <c r="AJ104" i="8"/>
  <c r="AJ74" i="8"/>
  <c r="AJ59" i="8"/>
  <c r="AJ60" i="8" s="1"/>
  <c r="AJ29" i="8"/>
  <c r="AJ30" i="8" s="1"/>
  <c r="AJ14" i="8"/>
  <c r="AN96" i="8"/>
  <c r="AN97" i="8" s="1"/>
  <c r="AN111" i="8"/>
  <c r="AN112" i="8" s="1"/>
  <c r="AN81" i="8"/>
  <c r="AN82" i="8" s="1"/>
  <c r="AN119" i="8"/>
  <c r="AN89" i="8"/>
  <c r="AN90" i="8" s="1"/>
  <c r="AN66" i="8"/>
  <c r="AN67" i="8" s="1"/>
  <c r="AN59" i="8"/>
  <c r="AN60" i="8" s="1"/>
  <c r="AN51" i="8"/>
  <c r="AN44" i="8"/>
  <c r="AN45" i="8" s="1"/>
  <c r="AN36" i="8"/>
  <c r="AN37" i="8" s="1"/>
  <c r="AN29" i="8"/>
  <c r="AN30" i="8" s="1"/>
  <c r="AN14" i="8"/>
  <c r="AN15" i="8" s="1"/>
  <c r="AG7" i="8"/>
  <c r="AD122" i="8"/>
  <c r="AD114" i="8"/>
  <c r="AD107" i="8"/>
  <c r="AD99" i="8"/>
  <c r="AD92" i="8"/>
  <c r="AD84" i="8"/>
  <c r="AD77" i="8"/>
  <c r="AD69" i="8"/>
  <c r="AD67" i="8" s="1"/>
  <c r="AD54" i="8"/>
  <c r="AD47" i="8"/>
  <c r="AD24" i="8"/>
  <c r="AD110" i="8"/>
  <c r="AD118" i="8" s="1"/>
  <c r="AD103" i="8"/>
  <c r="AD95" i="8"/>
  <c r="AD88" i="8"/>
  <c r="AD80" i="8"/>
  <c r="AD73" i="8"/>
  <c r="AD65" i="8"/>
  <c r="AD58" i="8"/>
  <c r="AD35" i="8"/>
  <c r="AD43" i="8"/>
  <c r="AD28" i="8"/>
  <c r="AD20" i="8"/>
  <c r="AL110" i="8"/>
  <c r="AL118" i="8" s="1"/>
  <c r="AL103" i="8"/>
  <c r="AL95" i="8"/>
  <c r="AL88" i="8"/>
  <c r="AL80" i="8"/>
  <c r="AL73" i="8"/>
  <c r="AL65" i="8"/>
  <c r="AL58" i="8"/>
  <c r="AL43" i="8"/>
  <c r="AL50" i="8"/>
  <c r="AL35" i="8"/>
  <c r="AL28" i="8"/>
  <c r="AL20" i="8"/>
  <c r="AN17" i="8"/>
  <c r="AI20" i="8"/>
  <c r="AF21" i="8"/>
  <c r="AF22" i="8" s="1"/>
  <c r="AN21" i="8"/>
  <c r="AN22" i="8" s="1"/>
  <c r="AE28" i="8"/>
  <c r="AM28" i="8"/>
  <c r="AE35" i="8"/>
  <c r="AH43" i="8"/>
  <c r="AH44" i="8"/>
  <c r="AH45" i="8" s="1"/>
  <c r="AD50" i="8"/>
  <c r="AL59" i="8"/>
  <c r="AL60" i="8" s="1"/>
  <c r="AG73" i="8"/>
  <c r="AM82" i="7"/>
  <c r="AM97" i="7"/>
  <c r="AI105" i="7"/>
  <c r="AE112" i="7"/>
  <c r="AE119" i="8"/>
  <c r="AE111" i="8"/>
  <c r="AE104" i="8"/>
  <c r="AE105" i="8" s="1"/>
  <c r="AE96" i="8"/>
  <c r="AE89" i="8"/>
  <c r="AE81" i="8"/>
  <c r="AE74" i="8"/>
  <c r="AE75" i="8" s="1"/>
  <c r="AE66" i="8"/>
  <c r="AE59" i="8"/>
  <c r="AD60" i="8" s="1"/>
  <c r="AE51" i="8"/>
  <c r="AE52" i="8" s="1"/>
  <c r="AI119" i="8"/>
  <c r="AI120" i="8" s="1"/>
  <c r="AI111" i="8"/>
  <c r="AI104" i="8"/>
  <c r="AI96" i="8"/>
  <c r="AI89" i="8"/>
  <c r="AI90" i="8" s="1"/>
  <c r="AI81" i="8"/>
  <c r="AI74" i="8"/>
  <c r="AI75" i="8" s="1"/>
  <c r="AI66" i="8"/>
  <c r="AI67" i="8" s="1"/>
  <c r="AI59" i="8"/>
  <c r="AI60" i="8" s="1"/>
  <c r="AI51" i="8"/>
  <c r="AM119" i="8"/>
  <c r="AM111" i="8"/>
  <c r="AL112" i="8" s="1"/>
  <c r="AM104" i="8"/>
  <c r="AM105" i="8" s="1"/>
  <c r="AM96" i="8"/>
  <c r="AM97" i="8" s="1"/>
  <c r="AM89" i="8"/>
  <c r="AM90" i="8" s="1"/>
  <c r="AM81" i="8"/>
  <c r="AM82" i="8" s="1"/>
  <c r="AM74" i="8"/>
  <c r="AM75" i="8" s="1"/>
  <c r="AM66" i="8"/>
  <c r="AM67" i="8" s="1"/>
  <c r="AM59" i="8"/>
  <c r="AM60" i="8" s="1"/>
  <c r="AE122" i="8"/>
  <c r="AE114" i="8"/>
  <c r="AE107" i="8"/>
  <c r="AE99" i="8"/>
  <c r="AE92" i="8"/>
  <c r="AE84" i="8"/>
  <c r="AE77" i="8"/>
  <c r="AE69" i="8"/>
  <c r="AE62" i="8"/>
  <c r="AE32" i="8"/>
  <c r="AI122" i="8"/>
  <c r="AI114" i="8"/>
  <c r="AI107" i="8"/>
  <c r="AI99" i="8"/>
  <c r="AI92" i="8"/>
  <c r="AI84" i="8"/>
  <c r="AI77" i="8"/>
  <c r="AI69" i="8"/>
  <c r="AI62" i="8"/>
  <c r="AI32" i="8"/>
  <c r="AM122" i="8"/>
  <c r="AM114" i="8"/>
  <c r="AM107" i="8"/>
  <c r="AM99" i="8"/>
  <c r="AM92" i="8"/>
  <c r="AM84" i="8"/>
  <c r="AM77" i="8"/>
  <c r="AM69" i="8"/>
  <c r="AM62" i="8"/>
  <c r="AM54" i="8"/>
  <c r="AM32" i="8"/>
  <c r="AE17" i="8"/>
  <c r="AI17" i="8"/>
  <c r="AM17" i="8"/>
  <c r="AE21" i="8"/>
  <c r="AI21" i="8"/>
  <c r="AI22" i="8" s="1"/>
  <c r="AM21" i="8"/>
  <c r="AM22" i="8" s="1"/>
  <c r="AI36" i="8"/>
  <c r="AI37" i="8" s="1"/>
  <c r="AM39" i="8"/>
  <c r="AI44" i="8"/>
  <c r="AI45" i="8" s="1"/>
  <c r="AN52" i="8"/>
  <c r="AH52" i="8"/>
  <c r="AL52" i="8"/>
  <c r="AI52" i="8"/>
  <c r="AI54" i="8"/>
  <c r="AG81" i="8"/>
  <c r="AO84" i="8"/>
  <c r="AG90" i="7"/>
  <c r="AK120" i="7"/>
  <c r="AG119" i="8"/>
  <c r="AF120" i="8" s="1"/>
  <c r="AG89" i="8"/>
  <c r="AG74" i="8"/>
  <c r="AG75" i="8" s="1"/>
  <c r="AG66" i="8"/>
  <c r="AG67" i="8" s="1"/>
  <c r="AG59" i="8"/>
  <c r="AG51" i="8"/>
  <c r="AG52" i="8" s="1"/>
  <c r="AG104" i="8"/>
  <c r="AG96" i="8"/>
  <c r="AG97" i="8" s="1"/>
  <c r="AG44" i="8"/>
  <c r="AG45" i="8" s="1"/>
  <c r="AK104" i="8"/>
  <c r="AK74" i="8"/>
  <c r="AK66" i="8"/>
  <c r="AK67" i="8" s="1"/>
  <c r="AK59" i="8"/>
  <c r="AK51" i="8"/>
  <c r="AK52" i="8" s="1"/>
  <c r="AK119" i="8"/>
  <c r="AK89" i="8"/>
  <c r="AK90" i="8" s="1"/>
  <c r="AK96" i="8"/>
  <c r="AK44" i="8"/>
  <c r="AK45" i="8" s="1"/>
  <c r="AO119" i="8"/>
  <c r="AO89" i="8"/>
  <c r="AO66" i="8"/>
  <c r="AO59" i="8"/>
  <c r="AO51" i="8"/>
  <c r="AO104" i="8"/>
  <c r="AO74" i="8"/>
  <c r="AO111" i="8"/>
  <c r="AO81" i="8"/>
  <c r="AO44" i="8"/>
  <c r="AG122" i="8"/>
  <c r="AG92" i="8"/>
  <c r="AG69" i="8"/>
  <c r="AG62" i="8"/>
  <c r="AG60" i="8" s="1"/>
  <c r="AG54" i="8"/>
  <c r="AG107" i="8"/>
  <c r="AG77" i="8"/>
  <c r="AG47" i="8"/>
  <c r="AG114" i="8"/>
  <c r="AG84" i="8"/>
  <c r="AG39" i="8"/>
  <c r="AK107" i="8"/>
  <c r="AK77" i="8"/>
  <c r="AK69" i="8"/>
  <c r="AK62" i="8"/>
  <c r="AK54" i="8"/>
  <c r="AK122" i="8"/>
  <c r="AK92" i="8"/>
  <c r="AK114" i="8"/>
  <c r="AK84" i="8"/>
  <c r="AK47" i="8"/>
  <c r="AK39" i="8"/>
  <c r="AO122" i="8"/>
  <c r="AO92" i="8"/>
  <c r="AO69" i="8"/>
  <c r="AO62" i="8"/>
  <c r="AO54" i="8"/>
  <c r="AO107" i="8"/>
  <c r="AO77" i="8"/>
  <c r="AO47" i="8"/>
  <c r="AO99" i="8"/>
  <c r="AO39" i="8"/>
  <c r="AJ15" i="8"/>
  <c r="AG17" i="8"/>
  <c r="AK17" i="8"/>
  <c r="AO17" i="8"/>
  <c r="AG21" i="8"/>
  <c r="AG22" i="8" s="1"/>
  <c r="AK21" i="8"/>
  <c r="AO21" i="8"/>
  <c r="AK32" i="8"/>
  <c r="AK36" i="8"/>
  <c r="AK37" i="8" s="1"/>
  <c r="AE39" i="8"/>
  <c r="AL82" i="8"/>
  <c r="AK99" i="8"/>
  <c r="AJ67" i="8"/>
  <c r="AL67" i="8"/>
  <c r="AL75" i="8"/>
  <c r="AH75" i="8"/>
  <c r="AK75" i="8"/>
  <c r="AJ75" i="8"/>
  <c r="AL105" i="8"/>
  <c r="V28" i="11"/>
  <c r="F37" i="11" s="1"/>
  <c r="F46" i="11" s="1"/>
  <c r="AK97" i="8"/>
  <c r="AG112" i="8"/>
  <c r="Z125" i="8"/>
  <c r="AH112" i="8"/>
  <c r="AM132" i="6" l="1"/>
  <c r="AE94" i="6"/>
  <c r="AG94" i="6"/>
  <c r="AI102" i="6"/>
  <c r="AF79" i="6"/>
  <c r="AK124" i="6"/>
  <c r="AG109" i="6"/>
  <c r="AM124" i="6"/>
  <c r="AF34" i="6"/>
  <c r="AE124" i="6"/>
  <c r="AF72" i="6"/>
  <c r="AE102" i="6"/>
  <c r="AI109" i="6"/>
  <c r="AE82" i="7"/>
  <c r="AD15" i="7"/>
  <c r="AD37" i="8"/>
  <c r="AJ97" i="7"/>
  <c r="AF120" i="7"/>
  <c r="AJ132" i="6"/>
  <c r="AG82" i="8"/>
  <c r="AG105" i="8"/>
  <c r="AF90" i="8"/>
  <c r="AM120" i="8"/>
  <c r="AI105" i="8"/>
  <c r="AE90" i="8"/>
  <c r="AE120" i="8"/>
  <c r="AG105" i="7"/>
  <c r="AI90" i="7"/>
  <c r="AG112" i="7"/>
  <c r="AD37" i="7"/>
  <c r="Z37" i="7" s="1"/>
  <c r="I32" i="7" s="1"/>
  <c r="AE109" i="6"/>
  <c r="AD94" i="6"/>
  <c r="AH67" i="8"/>
  <c r="AF67" i="7"/>
  <c r="AF90" i="7"/>
  <c r="AJ102" i="6"/>
  <c r="AF112" i="8"/>
  <c r="AK112" i="8"/>
  <c r="AJ112" i="7"/>
  <c r="AI120" i="7"/>
  <c r="AE22" i="7"/>
  <c r="AN132" i="6"/>
  <c r="AJ117" i="6"/>
  <c r="AG124" i="6"/>
  <c r="AE79" i="6"/>
  <c r="AD57" i="6"/>
  <c r="Z57" i="6" s="1"/>
  <c r="I45" i="6" s="1"/>
  <c r="S69" i="6" s="1"/>
  <c r="AI94" i="6"/>
  <c r="AI124" i="6"/>
  <c r="AD34" i="6"/>
  <c r="AF102" i="6"/>
  <c r="AF117" i="6"/>
  <c r="AF132" i="6"/>
  <c r="AE117" i="6"/>
  <c r="AE132" i="6"/>
  <c r="AE15" i="8"/>
  <c r="Z15" i="8" s="1"/>
  <c r="I29" i="8" s="1"/>
  <c r="AD82" i="8"/>
  <c r="AD112" i="8"/>
  <c r="AE105" i="7"/>
  <c r="AD27" i="6"/>
  <c r="Z27" i="6" s="1"/>
  <c r="I41" i="6" s="1"/>
  <c r="G69" i="6" s="1"/>
  <c r="AE42" i="6"/>
  <c r="AH105" i="8"/>
  <c r="AE22" i="8"/>
  <c r="AN120" i="8"/>
  <c r="AJ97" i="8"/>
  <c r="AF60" i="8"/>
  <c r="AE75" i="7"/>
  <c r="AD30" i="8"/>
  <c r="AE67" i="7"/>
  <c r="AJ124" i="6"/>
  <c r="AG79" i="6"/>
  <c r="AG72" i="6"/>
  <c r="AD79" i="6"/>
  <c r="AD49" i="6"/>
  <c r="Z49" i="6" s="1"/>
  <c r="I44" i="6" s="1"/>
  <c r="N69" i="6" s="1"/>
  <c r="AI132" i="6"/>
  <c r="AK105" i="8"/>
  <c r="AD45" i="8"/>
  <c r="AD97" i="8"/>
  <c r="AE90" i="7"/>
  <c r="AJ109" i="6"/>
  <c r="AH120" i="8"/>
  <c r="AH90" i="8"/>
  <c r="AL120" i="8"/>
  <c r="AF15" i="8"/>
  <c r="AJ120" i="8"/>
  <c r="AJ112" i="8"/>
  <c r="AD30" i="7"/>
  <c r="Z30" i="7" s="1"/>
  <c r="I31" i="7" s="1"/>
  <c r="AD45" i="7"/>
  <c r="Z45" i="7" s="1"/>
  <c r="I33" i="7" s="1"/>
  <c r="AH94" i="6"/>
  <c r="AH79" i="6"/>
  <c r="AE60" i="7"/>
  <c r="AD64" i="6"/>
  <c r="Z64" i="6" s="1"/>
  <c r="I46" i="6" s="1"/>
  <c r="O69" i="6" s="1"/>
  <c r="AI117" i="6"/>
  <c r="AH132" i="6"/>
  <c r="AE72" i="6"/>
  <c r="AE87" i="6"/>
  <c r="AE34" i="6"/>
  <c r="AD109" i="6"/>
  <c r="AD124" i="6"/>
  <c r="Z37" i="8"/>
  <c r="I32" i="8" s="1"/>
  <c r="AJ105" i="8"/>
  <c r="AF82" i="8"/>
  <c r="AE60" i="8"/>
  <c r="Z60" i="8" s="1"/>
  <c r="I35" i="8" s="1"/>
  <c r="AD22" i="7"/>
  <c r="Z22" i="7" s="1"/>
  <c r="I30" i="7" s="1"/>
  <c r="AE30" i="8"/>
  <c r="AH67" i="7"/>
  <c r="AH97" i="7"/>
  <c r="AD52" i="7"/>
  <c r="Z52" i="7" s="1"/>
  <c r="I34" i="7" s="1"/>
  <c r="AD82" i="7"/>
  <c r="AD112" i="7"/>
  <c r="AL132" i="6"/>
  <c r="AH102" i="6"/>
  <c r="AF67" i="8"/>
  <c r="AI82" i="8"/>
  <c r="AI112" i="8"/>
  <c r="AE67" i="8"/>
  <c r="AE97" i="8"/>
  <c r="AM120" i="7"/>
  <c r="AI112" i="7"/>
  <c r="AI82" i="7"/>
  <c r="AJ90" i="8"/>
  <c r="AG67" i="7"/>
  <c r="Z7" i="8"/>
  <c r="I28" i="8" s="1"/>
  <c r="AJ90" i="7"/>
  <c r="AJ120" i="7"/>
  <c r="AF60" i="7"/>
  <c r="AF82" i="7"/>
  <c r="AF112" i="7"/>
  <c r="AG102" i="6"/>
  <c r="AG132" i="6"/>
  <c r="AF15" i="7"/>
  <c r="Z15" i="7" s="1"/>
  <c r="I29" i="7" s="1"/>
  <c r="AL120" i="7"/>
  <c r="AH105" i="7"/>
  <c r="AD60" i="7"/>
  <c r="Z60" i="7" s="1"/>
  <c r="I35" i="7" s="1"/>
  <c r="AD90" i="7"/>
  <c r="AD120" i="7"/>
  <c r="AD102" i="6"/>
  <c r="AD132" i="6"/>
  <c r="AH109" i="6"/>
  <c r="Z19" i="6"/>
  <c r="I40" i="6" s="1"/>
  <c r="K69" i="6" s="1"/>
  <c r="Z75" i="8"/>
  <c r="I37" i="8" s="1"/>
  <c r="AF97" i="8"/>
  <c r="Z45" i="8"/>
  <c r="I33" i="8" s="1"/>
  <c r="AD22" i="8"/>
  <c r="AF94" i="6"/>
  <c r="AH82" i="7"/>
  <c r="AH112" i="7"/>
  <c r="AD67" i="7"/>
  <c r="AD97" i="7"/>
  <c r="Z7" i="7"/>
  <c r="I28" i="7" s="1"/>
  <c r="AH117" i="6"/>
  <c r="AD120" i="8"/>
  <c r="AD105" i="8"/>
  <c r="AD90" i="8"/>
  <c r="AM112" i="8"/>
  <c r="AI97" i="8"/>
  <c r="AE82" i="8"/>
  <c r="AE112" i="8"/>
  <c r="AE120" i="7"/>
  <c r="AI97" i="7"/>
  <c r="AF105" i="8"/>
  <c r="Z75" i="7"/>
  <c r="I37" i="7" s="1"/>
  <c r="AD52" i="8"/>
  <c r="Z52" i="8" s="1"/>
  <c r="I34" i="8" s="1"/>
  <c r="AJ105" i="7"/>
  <c r="AF97" i="7"/>
  <c r="AK132" i="6"/>
  <c r="AF124" i="6"/>
  <c r="AK117" i="6"/>
  <c r="AF109" i="6"/>
  <c r="AK102" i="6"/>
  <c r="AG117" i="6"/>
  <c r="AD87" i="6"/>
  <c r="AD72" i="6"/>
  <c r="AH90" i="7"/>
  <c r="AH120" i="7"/>
  <c r="AD105" i="7"/>
  <c r="AL124" i="6"/>
  <c r="AD42" i="6"/>
  <c r="AD117" i="6"/>
  <c r="AH124" i="6"/>
  <c r="E16" i="13" l="1"/>
  <c r="W27" i="35" s="1"/>
  <c r="S27" i="35" s="1"/>
  <c r="E13" i="13"/>
  <c r="W24" i="35" s="1"/>
  <c r="S24" i="35" s="1"/>
  <c r="E17" i="13"/>
  <c r="W28" i="35" s="1"/>
  <c r="S28" i="35" s="1"/>
  <c r="E9" i="13"/>
  <c r="W20" i="35" s="1"/>
  <c r="S20" i="35" s="1"/>
  <c r="E21" i="13"/>
  <c r="W32" i="35" s="1"/>
  <c r="S32" i="35" s="1"/>
  <c r="Z42" i="6"/>
  <c r="I43" i="6" s="1"/>
  <c r="U69" i="6" s="1"/>
  <c r="Z34" i="6"/>
  <c r="I42" i="6" s="1"/>
  <c r="J69" i="6" s="1"/>
  <c r="Z79" i="6"/>
  <c r="I48" i="6" s="1"/>
  <c r="T69" i="6" s="1"/>
  <c r="Z72" i="6"/>
  <c r="I47" i="6" s="1"/>
  <c r="H69" i="6" s="1"/>
  <c r="Z82" i="8"/>
  <c r="I38" i="8" s="1"/>
  <c r="K38" i="8" s="1"/>
  <c r="Z94" i="6"/>
  <c r="I50" i="6" s="1"/>
  <c r="L69" i="6" s="1"/>
  <c r="Z97" i="8"/>
  <c r="I40" i="8" s="1"/>
  <c r="Z30" i="8"/>
  <c r="I31" i="8" s="1"/>
  <c r="Z67" i="7"/>
  <c r="I36" i="7" s="1"/>
  <c r="K36" i="7" s="1"/>
  <c r="Z22" i="8"/>
  <c r="I30" i="8" s="1"/>
  <c r="Z112" i="8"/>
  <c r="I42" i="8" s="1"/>
  <c r="M42" i="8" s="1"/>
  <c r="Z105" i="7"/>
  <c r="I41" i="7" s="1"/>
  <c r="M41" i="7" s="1"/>
  <c r="Z120" i="8"/>
  <c r="I43" i="8" s="1"/>
  <c r="K43" i="8" s="1"/>
  <c r="Z90" i="8"/>
  <c r="I39" i="8" s="1"/>
  <c r="Z120" i="7"/>
  <c r="I43" i="7" s="1"/>
  <c r="K43" i="7" s="1"/>
  <c r="Z67" i="8"/>
  <c r="I36" i="8" s="1"/>
  <c r="M36" i="8" s="1"/>
  <c r="Z109" i="6"/>
  <c r="I52" i="6" s="1"/>
  <c r="R69" i="6" s="1"/>
  <c r="Z124" i="6"/>
  <c r="I54" i="6" s="1"/>
  <c r="M69" i="6" s="1"/>
  <c r="Z87" i="6"/>
  <c r="I49" i="6" s="1"/>
  <c r="Q69" i="6" s="1"/>
  <c r="M40" i="8"/>
  <c r="K40" i="8"/>
  <c r="M31" i="8"/>
  <c r="K31" i="8"/>
  <c r="M38" i="8"/>
  <c r="K42" i="8"/>
  <c r="M35" i="8"/>
  <c r="K35" i="8"/>
  <c r="M28" i="7"/>
  <c r="K28" i="7"/>
  <c r="K33" i="8"/>
  <c r="M33" i="8"/>
  <c r="K40" i="6"/>
  <c r="M40" i="6"/>
  <c r="K29" i="7"/>
  <c r="M29" i="7"/>
  <c r="K34" i="8"/>
  <c r="M34" i="8"/>
  <c r="Z90" i="7"/>
  <c r="I39" i="7" s="1"/>
  <c r="M30" i="7"/>
  <c r="K30" i="7"/>
  <c r="M43" i="6"/>
  <c r="M37" i="7"/>
  <c r="K37" i="7"/>
  <c r="M39" i="8"/>
  <c r="K39" i="8"/>
  <c r="K44" i="6"/>
  <c r="M44" i="6"/>
  <c r="M36" i="7"/>
  <c r="M30" i="8"/>
  <c r="K30" i="8"/>
  <c r="Z132" i="6"/>
  <c r="I55" i="6" s="1"/>
  <c r="V69" i="6" s="1"/>
  <c r="M35" i="7"/>
  <c r="K35" i="7"/>
  <c r="K29" i="8"/>
  <c r="M29" i="8"/>
  <c r="M45" i="6"/>
  <c r="K45" i="6"/>
  <c r="K41" i="7"/>
  <c r="M43" i="8"/>
  <c r="M43" i="7"/>
  <c r="Z82" i="7"/>
  <c r="I38" i="7" s="1"/>
  <c r="K31" i="7"/>
  <c r="M31" i="7"/>
  <c r="Z117" i="6"/>
  <c r="I53" i="6" s="1"/>
  <c r="I69" i="6" s="1"/>
  <c r="Z97" i="7"/>
  <c r="I40" i="7" s="1"/>
  <c r="M28" i="8"/>
  <c r="K28" i="8"/>
  <c r="K34" i="7"/>
  <c r="M34" i="7"/>
  <c r="M32" i="7"/>
  <c r="K32" i="7"/>
  <c r="Z105" i="8"/>
  <c r="I41" i="8" s="1"/>
  <c r="K33" i="7"/>
  <c r="M33" i="7"/>
  <c r="K37" i="8"/>
  <c r="M37" i="8"/>
  <c r="Z102" i="6"/>
  <c r="I51" i="6" s="1"/>
  <c r="P69" i="6" s="1"/>
  <c r="Z112" i="7"/>
  <c r="I42" i="7" s="1"/>
  <c r="M41" i="6"/>
  <c r="K41" i="6"/>
  <c r="M32" i="8"/>
  <c r="K32" i="8"/>
  <c r="M46" i="6"/>
  <c r="K46" i="6"/>
  <c r="E15" i="13" l="1"/>
  <c r="W26" i="35" s="1"/>
  <c r="S26" i="35" s="1"/>
  <c r="E12" i="13"/>
  <c r="W23" i="35" s="1"/>
  <c r="S23" i="35" s="1"/>
  <c r="E18" i="13"/>
  <c r="W29" i="35" s="1"/>
  <c r="S29" i="35" s="1"/>
  <c r="E20" i="13"/>
  <c r="W31" i="35" s="1"/>
  <c r="S31" i="35" s="1"/>
  <c r="E23" i="13"/>
  <c r="W34" i="35" s="1"/>
  <c r="S34" i="35" s="1"/>
  <c r="E14" i="13"/>
  <c r="W25" i="35" s="1"/>
  <c r="S25" i="35" s="1"/>
  <c r="E11" i="13"/>
  <c r="W22" i="35" s="1"/>
  <c r="S22" i="35" s="1"/>
  <c r="E10" i="13"/>
  <c r="W21" i="35" s="1"/>
  <c r="S21" i="35" s="1"/>
  <c r="E24" i="13"/>
  <c r="W35" i="35" s="1"/>
  <c r="S35" i="35" s="1"/>
  <c r="E19" i="13"/>
  <c r="W30" i="35" s="1"/>
  <c r="S30" i="35" s="1"/>
  <c r="E22" i="13"/>
  <c r="W33" i="35" s="1"/>
  <c r="S33" i="35" s="1"/>
  <c r="K43" i="6"/>
  <c r="M42" i="6"/>
  <c r="K42" i="6"/>
  <c r="K48" i="6"/>
  <c r="M50" i="6"/>
  <c r="M48" i="6"/>
  <c r="K50" i="6"/>
  <c r="K47" i="6"/>
  <c r="K36" i="8"/>
  <c r="I45" i="8"/>
  <c r="M47" i="6"/>
  <c r="K54" i="6"/>
  <c r="M52" i="6"/>
  <c r="M54" i="6"/>
  <c r="K49" i="6"/>
  <c r="K52" i="6"/>
  <c r="M49" i="6"/>
  <c r="M51" i="6"/>
  <c r="K51" i="6"/>
  <c r="K53" i="6"/>
  <c r="M53" i="6"/>
  <c r="M55" i="6"/>
  <c r="K55" i="6"/>
  <c r="M41" i="8"/>
  <c r="K41" i="8"/>
  <c r="I57" i="6"/>
  <c r="M45" i="8"/>
  <c r="K45" i="8"/>
  <c r="K42" i="7"/>
  <c r="M42" i="7"/>
  <c r="K40" i="7"/>
  <c r="M40" i="7"/>
  <c r="K38" i="7"/>
  <c r="M38" i="7"/>
  <c r="M39" i="7"/>
  <c r="K39" i="7"/>
  <c r="I45" i="7"/>
  <c r="W37" i="35" l="1"/>
  <c r="E25" i="13"/>
  <c r="W36" i="35" s="1"/>
  <c r="E89" i="35" s="1"/>
  <c r="K45" i="7"/>
  <c r="M45" i="7"/>
  <c r="M57" i="6"/>
  <c r="K57" i="6"/>
  <c r="F8" i="5" l="1"/>
  <c r="D79" i="16" l="1"/>
  <c r="H79" i="16"/>
  <c r="T85" i="4"/>
  <c r="G84" i="16" l="1"/>
  <c r="H84" i="16"/>
  <c r="D84" i="16"/>
  <c r="I106" i="16" s="1"/>
  <c r="C84" i="16"/>
  <c r="F84" i="16"/>
  <c r="E84" i="16"/>
  <c r="S49" i="4"/>
  <c r="R49" i="4"/>
  <c r="R52" i="4" s="1"/>
  <c r="Q49" i="4"/>
  <c r="Q52" i="4" s="1"/>
  <c r="P49" i="4"/>
  <c r="O49" i="4"/>
  <c r="N49" i="4"/>
  <c r="N52" i="4" s="1"/>
  <c r="M49" i="4"/>
  <c r="M52" i="4" s="1"/>
  <c r="L49" i="4"/>
  <c r="K49" i="4"/>
  <c r="J49" i="4"/>
  <c r="J52" i="4" s="1"/>
  <c r="I49" i="4"/>
  <c r="I52" i="4" s="1"/>
  <c r="H49" i="4"/>
  <c r="G49" i="4"/>
  <c r="F49" i="4"/>
  <c r="F52" i="4" s="1"/>
  <c r="E49" i="4"/>
  <c r="E52" i="4" s="1"/>
  <c r="D49" i="4"/>
  <c r="T45" i="4"/>
  <c r="T44" i="4"/>
  <c r="T43" i="4"/>
  <c r="M106" i="16" l="1"/>
  <c r="K16" i="13" s="1"/>
  <c r="Z27" i="35" s="1"/>
  <c r="T106" i="16"/>
  <c r="K23" i="13" s="1"/>
  <c r="Z34" i="35" s="1"/>
  <c r="N106" i="16"/>
  <c r="K17" i="13" s="1"/>
  <c r="Z28" i="35" s="1"/>
  <c r="R106" i="16"/>
  <c r="K21" i="13" s="1"/>
  <c r="Z32" i="35" s="1"/>
  <c r="F106" i="16"/>
  <c r="K9" i="13" s="1"/>
  <c r="Z20" i="35" s="1"/>
  <c r="K12" i="13"/>
  <c r="Z23" i="35" s="1"/>
  <c r="F54" i="4"/>
  <c r="J54" i="4"/>
  <c r="N54" i="4"/>
  <c r="R54" i="4"/>
  <c r="G54" i="4"/>
  <c r="K54" i="4"/>
  <c r="O54" i="4"/>
  <c r="S54" i="4"/>
  <c r="H54" i="4"/>
  <c r="L54" i="4"/>
  <c r="P54" i="4"/>
  <c r="D54" i="4"/>
  <c r="E54" i="4"/>
  <c r="I54" i="4"/>
  <c r="M54" i="4"/>
  <c r="Q54" i="4"/>
  <c r="T49" i="4"/>
  <c r="T52" i="4" s="1"/>
  <c r="D52" i="4"/>
  <c r="H52" i="4"/>
  <c r="L52" i="4"/>
  <c r="P52" i="4"/>
  <c r="K52" i="4"/>
  <c r="S52" i="4"/>
  <c r="G52" i="4"/>
  <c r="O52" i="4"/>
  <c r="T83" i="4"/>
  <c r="T88" i="4" l="1"/>
  <c r="T87" i="4" s="1"/>
  <c r="D93" i="4"/>
  <c r="Z37" i="35"/>
  <c r="K25" i="13"/>
  <c r="Z36" i="35" s="1"/>
  <c r="T54" i="4"/>
  <c r="G55" i="4"/>
  <c r="K55" i="4"/>
  <c r="O55" i="4"/>
  <c r="S55" i="4"/>
  <c r="H55" i="4"/>
  <c r="L55" i="4"/>
  <c r="P55" i="4"/>
  <c r="D55" i="4"/>
  <c r="E55" i="4"/>
  <c r="I55" i="4"/>
  <c r="M55" i="4"/>
  <c r="Q55" i="4"/>
  <c r="F55" i="4"/>
  <c r="J55" i="4"/>
  <c r="N55" i="4"/>
  <c r="R55" i="4"/>
  <c r="U45" i="4"/>
  <c r="U44" i="4"/>
  <c r="U43" i="4"/>
  <c r="D92" i="4" l="1"/>
  <c r="H182" i="4" l="1"/>
  <c r="H184" i="4" s="1"/>
  <c r="L182" i="4"/>
  <c r="L184" i="4" s="1"/>
  <c r="P182" i="4"/>
  <c r="P184" i="4" s="1"/>
  <c r="D182" i="4"/>
  <c r="D184" i="4" s="1"/>
  <c r="E182" i="4"/>
  <c r="E184" i="4" s="1"/>
  <c r="I182" i="4"/>
  <c r="I184" i="4" s="1"/>
  <c r="M182" i="4"/>
  <c r="M184" i="4" s="1"/>
  <c r="Q182" i="4"/>
  <c r="Q184" i="4" s="1"/>
  <c r="F182" i="4"/>
  <c r="F184" i="4" s="1"/>
  <c r="J182" i="4"/>
  <c r="J184" i="4" s="1"/>
  <c r="N182" i="4"/>
  <c r="N184" i="4" s="1"/>
  <c r="R182" i="4"/>
  <c r="R184" i="4" s="1"/>
  <c r="G182" i="4"/>
  <c r="G184" i="4" s="1"/>
  <c r="K182" i="4"/>
  <c r="K184" i="4" s="1"/>
  <c r="O182" i="4"/>
  <c r="O184" i="4" s="1"/>
  <c r="S182" i="4"/>
  <c r="S184" i="4" s="1"/>
  <c r="D95" i="4"/>
  <c r="D97" i="4" s="1"/>
  <c r="I187" i="4" l="1"/>
  <c r="I186" i="4"/>
  <c r="S187" i="4"/>
  <c r="S186" i="4"/>
  <c r="H186" i="4"/>
  <c r="H187" i="4"/>
  <c r="G186" i="4"/>
  <c r="G187" i="4"/>
  <c r="F187" i="4"/>
  <c r="F186" i="4"/>
  <c r="Q186" i="4"/>
  <c r="Q187" i="4"/>
  <c r="L187" i="4"/>
  <c r="L186" i="4"/>
  <c r="M187" i="4"/>
  <c r="M186" i="4"/>
  <c r="P187" i="4"/>
  <c r="P186" i="4"/>
  <c r="R187" i="4"/>
  <c r="R186" i="4"/>
  <c r="D186" i="4"/>
  <c r="D187" i="4"/>
  <c r="K187" i="4"/>
  <c r="K186" i="4"/>
  <c r="E187" i="4"/>
  <c r="E186" i="4"/>
  <c r="O187" i="4"/>
  <c r="N187" i="4"/>
  <c r="N186" i="4"/>
  <c r="J187" i="4"/>
  <c r="J186" i="4"/>
  <c r="T182" i="4"/>
  <c r="E197" i="4" l="1"/>
  <c r="E208" i="4"/>
  <c r="E199" i="4"/>
  <c r="E207" i="4"/>
  <c r="E198" i="4"/>
  <c r="E201" i="4"/>
  <c r="E202" i="4"/>
  <c r="E196" i="4"/>
  <c r="E205" i="4"/>
  <c r="T184" i="4"/>
  <c r="E200" i="4"/>
  <c r="E206" i="4"/>
  <c r="O186" i="4"/>
  <c r="E195" i="4"/>
  <c r="E204" i="4"/>
  <c r="E210" i="4"/>
  <c r="E209" i="4"/>
  <c r="E203" i="4"/>
  <c r="E211" i="4" l="1"/>
  <c r="T137" i="1"/>
  <c r="T110" i="1"/>
  <c r="T82" i="1"/>
  <c r="T27" i="1"/>
  <c r="S27" i="1"/>
  <c r="R27" i="1"/>
  <c r="Q27" i="1"/>
  <c r="P27" i="1"/>
  <c r="O27" i="1"/>
  <c r="N27" i="1"/>
  <c r="M27" i="1"/>
  <c r="L27" i="1"/>
  <c r="K27" i="1"/>
  <c r="J27" i="1"/>
  <c r="I27" i="1"/>
  <c r="H27" i="1"/>
  <c r="G27" i="1"/>
  <c r="F27" i="1"/>
  <c r="E27" i="1"/>
  <c r="D27" i="1"/>
  <c r="T22" i="1"/>
  <c r="T21" i="1"/>
  <c r="T20" i="1"/>
  <c r="T19" i="1"/>
  <c r="T18" i="1"/>
  <c r="G33" i="1" l="1"/>
  <c r="O34" i="1"/>
  <c r="D31" i="1"/>
  <c r="L31" i="1"/>
  <c r="U20" i="1"/>
  <c r="E31" i="1"/>
  <c r="I31" i="1"/>
  <c r="M31" i="1"/>
  <c r="Q30" i="1"/>
  <c r="F31" i="1"/>
  <c r="J31" i="1"/>
  <c r="N31" i="1"/>
  <c r="R30" i="1"/>
  <c r="I30" i="1"/>
  <c r="L33" i="1"/>
  <c r="U18" i="1"/>
  <c r="U19" i="1"/>
  <c r="N43" i="1" s="1"/>
  <c r="N50" i="1" s="1"/>
  <c r="U22" i="1"/>
  <c r="H46" i="1" s="1"/>
  <c r="H53" i="1" s="1"/>
  <c r="N30" i="1"/>
  <c r="J30" i="1"/>
  <c r="L32" i="1"/>
  <c r="L34" i="1"/>
  <c r="L46" i="1" s="1"/>
  <c r="L53" i="1" s="1"/>
  <c r="U21" i="1"/>
  <c r="L45" i="1" s="1"/>
  <c r="L52" i="1" s="1"/>
  <c r="E30" i="1"/>
  <c r="M30" i="1"/>
  <c r="D33" i="1"/>
  <c r="F30" i="1"/>
  <c r="D32" i="1"/>
  <c r="D34" i="1"/>
  <c r="K30" i="1"/>
  <c r="O30" i="1"/>
  <c r="G31" i="1"/>
  <c r="K31" i="1"/>
  <c r="G32" i="1"/>
  <c r="O32" i="1"/>
  <c r="O33" i="1"/>
  <c r="G34" i="1"/>
  <c r="E34" i="1"/>
  <c r="E46" i="1" s="1"/>
  <c r="E53" i="1" s="1"/>
  <c r="E33" i="1"/>
  <c r="E45" i="1" s="1"/>
  <c r="E52" i="1" s="1"/>
  <c r="E32" i="1"/>
  <c r="I34" i="1"/>
  <c r="I33" i="1"/>
  <c r="I32" i="1"/>
  <c r="M34" i="1"/>
  <c r="M33" i="1"/>
  <c r="M32" i="1"/>
  <c r="Q34" i="1"/>
  <c r="Q33" i="1"/>
  <c r="Q32" i="1"/>
  <c r="Q31" i="1"/>
  <c r="D30" i="1"/>
  <c r="H30" i="1"/>
  <c r="L30" i="1"/>
  <c r="P30" i="1"/>
  <c r="H31" i="1"/>
  <c r="P31" i="1"/>
  <c r="H32" i="1"/>
  <c r="P32" i="1"/>
  <c r="H33" i="1"/>
  <c r="P33" i="1"/>
  <c r="H34" i="1"/>
  <c r="P34" i="1"/>
  <c r="P46" i="1" s="1"/>
  <c r="P53" i="1" s="1"/>
  <c r="G30" i="1"/>
  <c r="S30" i="1"/>
  <c r="O31" i="1"/>
  <c r="F34" i="1"/>
  <c r="F33" i="1"/>
  <c r="F32" i="1"/>
  <c r="J34" i="1"/>
  <c r="J46" i="1" s="1"/>
  <c r="J53" i="1" s="1"/>
  <c r="J33" i="1"/>
  <c r="J32" i="1"/>
  <c r="N34" i="1"/>
  <c r="N33" i="1"/>
  <c r="N32" i="1"/>
  <c r="R34" i="1"/>
  <c r="R33" i="1"/>
  <c r="R32" i="1"/>
  <c r="R31" i="1"/>
  <c r="R43" i="1" s="1"/>
  <c r="R50" i="1" s="1"/>
  <c r="S31" i="1"/>
  <c r="K32" i="1"/>
  <c r="S32" i="1"/>
  <c r="K33" i="1"/>
  <c r="S33" i="1"/>
  <c r="K34" i="1"/>
  <c r="S34" i="1"/>
  <c r="S46" i="1" s="1"/>
  <c r="S53" i="1" s="1"/>
  <c r="K46" i="1" l="1"/>
  <c r="K53" i="1" s="1"/>
  <c r="N46" i="1"/>
  <c r="N53" i="1" s="1"/>
  <c r="I46" i="1"/>
  <c r="I53" i="1" s="1"/>
  <c r="G46" i="1"/>
  <c r="G53" i="1" s="1"/>
  <c r="M44" i="1"/>
  <c r="M51" i="1" s="1"/>
  <c r="R46" i="1"/>
  <c r="R53" i="1" s="1"/>
  <c r="M46" i="1"/>
  <c r="M53" i="1" s="1"/>
  <c r="I42" i="1"/>
  <c r="I49" i="1" s="1"/>
  <c r="D46" i="1"/>
  <c r="D53" i="1" s="1"/>
  <c r="F46" i="1"/>
  <c r="F53" i="1" s="1"/>
  <c r="Q46" i="1"/>
  <c r="Q53" i="1" s="1"/>
  <c r="I44" i="1"/>
  <c r="I51" i="1" s="1"/>
  <c r="O43" i="1"/>
  <c r="O50" i="1" s="1"/>
  <c r="Q43" i="1"/>
  <c r="Q50" i="1" s="1"/>
  <c r="D44" i="1"/>
  <c r="D51" i="1" s="1"/>
  <c r="L43" i="1"/>
  <c r="L50" i="1" s="1"/>
  <c r="P43" i="1"/>
  <c r="P50" i="1" s="1"/>
  <c r="G43" i="1"/>
  <c r="G50" i="1" s="1"/>
  <c r="E43" i="1"/>
  <c r="E50" i="1" s="1"/>
  <c r="O46" i="1"/>
  <c r="O53" i="1" s="1"/>
  <c r="K44" i="1"/>
  <c r="K51" i="1" s="1"/>
  <c r="R45" i="1"/>
  <c r="R52" i="1" s="1"/>
  <c r="F44" i="1"/>
  <c r="F51" i="1" s="1"/>
  <c r="S42" i="1"/>
  <c r="S49" i="1" s="1"/>
  <c r="L44" i="1"/>
  <c r="L51" i="1" s="1"/>
  <c r="M43" i="1"/>
  <c r="M50" i="1" s="1"/>
  <c r="J42" i="1"/>
  <c r="J49" i="1" s="1"/>
  <c r="F45" i="1"/>
  <c r="F52" i="1" s="1"/>
  <c r="O45" i="1"/>
  <c r="O52" i="1" s="1"/>
  <c r="Q42" i="1"/>
  <c r="Q49" i="1" s="1"/>
  <c r="P44" i="1"/>
  <c r="P51" i="1" s="1"/>
  <c r="P42" i="1"/>
  <c r="P49" i="1" s="1"/>
  <c r="N42" i="1"/>
  <c r="N49" i="1" s="1"/>
  <c r="K45" i="1"/>
  <c r="K52" i="1" s="1"/>
  <c r="N44" i="1"/>
  <c r="N51" i="1" s="1"/>
  <c r="D42" i="1"/>
  <c r="D49" i="1" s="1"/>
  <c r="H44" i="1"/>
  <c r="H51" i="1" s="1"/>
  <c r="L42" i="1"/>
  <c r="L49" i="1" s="1"/>
  <c r="Q44" i="1"/>
  <c r="Q51" i="1" s="1"/>
  <c r="M45" i="1"/>
  <c r="M52" i="1" s="1"/>
  <c r="O44" i="1"/>
  <c r="O51" i="1" s="1"/>
  <c r="E42" i="1"/>
  <c r="E49" i="1" s="1"/>
  <c r="R42" i="1"/>
  <c r="R49" i="1" s="1"/>
  <c r="J43" i="1"/>
  <c r="J50" i="1" s="1"/>
  <c r="J44" i="1"/>
  <c r="J51" i="1" s="1"/>
  <c r="G42" i="1"/>
  <c r="G49" i="1" s="1"/>
  <c r="F42" i="1"/>
  <c r="F49" i="1" s="1"/>
  <c r="S44" i="1"/>
  <c r="S51" i="1" s="1"/>
  <c r="R44" i="1"/>
  <c r="R51" i="1" s="1"/>
  <c r="P45" i="1"/>
  <c r="P52" i="1" s="1"/>
  <c r="H42" i="1"/>
  <c r="H49" i="1" s="1"/>
  <c r="Q45" i="1"/>
  <c r="Q52" i="1" s="1"/>
  <c r="E44" i="1"/>
  <c r="E51" i="1" s="1"/>
  <c r="O42" i="1"/>
  <c r="O49" i="1" s="1"/>
  <c r="G44" i="1"/>
  <c r="G51" i="1" s="1"/>
  <c r="K42" i="1"/>
  <c r="K49" i="1" s="1"/>
  <c r="M42" i="1"/>
  <c r="M49" i="1" s="1"/>
  <c r="S45" i="1"/>
  <c r="S52" i="1" s="1"/>
  <c r="S43" i="1"/>
  <c r="S50" i="1" s="1"/>
  <c r="S63" i="1" s="1"/>
  <c r="S67" i="1" s="1"/>
  <c r="I45" i="1"/>
  <c r="I52" i="1" s="1"/>
  <c r="K43" i="1"/>
  <c r="K50" i="1" s="1"/>
  <c r="K63" i="1" s="1"/>
  <c r="K67" i="1" s="1"/>
  <c r="D43" i="1"/>
  <c r="D50" i="1" s="1"/>
  <c r="F43" i="1"/>
  <c r="F50" i="1" s="1"/>
  <c r="F63" i="1" s="1"/>
  <c r="F67" i="1" s="1"/>
  <c r="G45" i="1"/>
  <c r="G52" i="1" s="1"/>
  <c r="J45" i="1"/>
  <c r="J52" i="1" s="1"/>
  <c r="H45" i="1"/>
  <c r="H52" i="1" s="1"/>
  <c r="H43" i="1"/>
  <c r="H50" i="1" s="1"/>
  <c r="I43" i="1"/>
  <c r="I50" i="1" s="1"/>
  <c r="N45" i="1"/>
  <c r="N52" i="1" s="1"/>
  <c r="N63" i="1" s="1"/>
  <c r="N67" i="1" s="1"/>
  <c r="D45" i="1"/>
  <c r="D52" i="1" s="1"/>
  <c r="H63" i="1"/>
  <c r="H67" i="1" s="1"/>
  <c r="G63" i="1"/>
  <c r="G67" i="1" s="1"/>
  <c r="D63" i="1"/>
  <c r="D67" i="1" s="1"/>
  <c r="P63" i="1"/>
  <c r="P67" i="1" s="1"/>
  <c r="M63" i="1"/>
  <c r="M67" i="1" s="1"/>
  <c r="R63" i="1"/>
  <c r="R67" i="1" s="1"/>
  <c r="O63" i="1"/>
  <c r="O67" i="1" s="1"/>
  <c r="I63" i="1"/>
  <c r="I67" i="1" s="1"/>
  <c r="J63" i="1"/>
  <c r="J67" i="1" s="1"/>
  <c r="Q63" i="1"/>
  <c r="Q67" i="1" s="1"/>
  <c r="E63" i="1"/>
  <c r="E67" i="1" s="1"/>
  <c r="L63" i="1"/>
  <c r="L67" i="1" s="1"/>
  <c r="G22" i="13" l="1"/>
  <c r="E172" i="1"/>
  <c r="G23" i="13"/>
  <c r="E173" i="1"/>
  <c r="G12" i="13"/>
  <c r="E162" i="1"/>
  <c r="G15" i="13"/>
  <c r="E165" i="1"/>
  <c r="G18" i="13"/>
  <c r="E168" i="1"/>
  <c r="E163" i="1"/>
  <c r="G13" i="13"/>
  <c r="G11" i="13"/>
  <c r="E161" i="1"/>
  <c r="G24" i="13"/>
  <c r="E174" i="1"/>
  <c r="G17" i="13"/>
  <c r="E167" i="1"/>
  <c r="G14" i="13"/>
  <c r="E164" i="1"/>
  <c r="G21" i="13"/>
  <c r="E171" i="1"/>
  <c r="G10" i="13"/>
  <c r="E160" i="1"/>
  <c r="G20" i="13"/>
  <c r="E170" i="1"/>
  <c r="E169" i="1"/>
  <c r="G19" i="13"/>
  <c r="G16" i="13"/>
  <c r="E166" i="1"/>
  <c r="G9" i="13"/>
  <c r="X20" i="35" s="1"/>
  <c r="E159" i="1"/>
  <c r="J68" i="1"/>
  <c r="M68" i="1"/>
  <c r="H68" i="1"/>
  <c r="F68" i="1"/>
  <c r="S68" i="1"/>
  <c r="L68" i="1"/>
  <c r="P68" i="1"/>
  <c r="E68" i="1"/>
  <c r="O68" i="1"/>
  <c r="D68" i="1"/>
  <c r="N68" i="1"/>
  <c r="K68" i="1"/>
  <c r="Q68" i="1"/>
  <c r="R68" i="1"/>
  <c r="G68" i="1"/>
  <c r="I68" i="1"/>
  <c r="U67" i="1"/>
  <c r="X24" i="35" l="1"/>
  <c r="X21" i="35"/>
  <c r="X35" i="35"/>
  <c r="X26" i="35"/>
  <c r="X34" i="35"/>
  <c r="X30" i="35"/>
  <c r="X25" i="35"/>
  <c r="X27" i="35"/>
  <c r="X31" i="35"/>
  <c r="X32" i="35"/>
  <c r="X28" i="35"/>
  <c r="X22" i="35"/>
  <c r="X29" i="35"/>
  <c r="X23" i="35"/>
  <c r="X33" i="35"/>
  <c r="G25" i="13"/>
  <c r="I172" i="1"/>
  <c r="I170" i="1"/>
  <c r="I174" i="1"/>
  <c r="I164" i="1"/>
  <c r="I173" i="1"/>
  <c r="I166" i="1"/>
  <c r="I159" i="1"/>
  <c r="I160" i="1"/>
  <c r="I167" i="1"/>
  <c r="I161" i="1"/>
  <c r="I168" i="1"/>
  <c r="I162" i="1"/>
  <c r="I169" i="1"/>
  <c r="I171" i="1"/>
  <c r="I163" i="1"/>
  <c r="I165" i="1"/>
  <c r="U68" i="1"/>
  <c r="X37" i="35" l="1"/>
  <c r="X36" i="35"/>
  <c r="E66" i="27" l="1"/>
  <c r="G66" i="27" l="1"/>
  <c r="J66" i="27" s="1"/>
  <c r="N66" i="27" s="1"/>
  <c r="N81" i="27" s="1"/>
  <c r="I66" i="27"/>
  <c r="L66" i="27" s="1"/>
  <c r="O66" i="27" s="1"/>
  <c r="D10" i="33" s="1"/>
  <c r="V44" i="35" s="1"/>
  <c r="O81" i="27" l="1"/>
  <c r="D25" i="33" s="1"/>
  <c r="V59" i="35" s="1"/>
  <c r="O10" i="33"/>
  <c r="AB44" i="35" s="1"/>
  <c r="V60" i="35"/>
  <c r="D93" i="35" l="1"/>
  <c r="Z137" i="35" s="1"/>
  <c r="O25" i="33"/>
  <c r="AB59" i="35" s="1"/>
  <c r="C31" i="33"/>
  <c r="C47" i="33" s="1"/>
  <c r="AB137" i="35" l="1"/>
  <c r="AA137" i="35"/>
  <c r="AK44" i="35"/>
  <c r="AF44" i="35"/>
  <c r="AB60" i="35"/>
  <c r="AG60" i="35" s="1"/>
  <c r="AH44" i="35"/>
  <c r="AE137" i="35" s="1"/>
  <c r="D108" i="35"/>
  <c r="Z152" i="35" s="1"/>
  <c r="AF59" i="35"/>
  <c r="AC61" i="35"/>
  <c r="AH59" i="35"/>
  <c r="AE152" i="35" s="1"/>
  <c r="AD14" i="35"/>
  <c r="AD57" i="35" s="1"/>
  <c r="AD150" i="35" s="1"/>
  <c r="AK59" i="35"/>
  <c r="M31" i="33"/>
  <c r="O31" i="33"/>
  <c r="C53" i="33"/>
  <c r="P53" i="33" s="1"/>
  <c r="K31" i="33"/>
  <c r="M47" i="33"/>
  <c r="K47" i="33"/>
  <c r="C69" i="33"/>
  <c r="Q69" i="33" s="1"/>
  <c r="O47" i="33"/>
  <c r="AA152" i="35" l="1"/>
  <c r="AB152" i="35"/>
  <c r="AD45" i="35"/>
  <c r="AD51" i="35"/>
  <c r="AD44" i="35"/>
  <c r="AD47" i="35"/>
  <c r="AD58" i="35"/>
  <c r="AD151" i="35" s="1"/>
  <c r="AD55" i="35"/>
  <c r="AD148" i="35" s="1"/>
  <c r="AD48" i="35"/>
  <c r="AD141" i="35" s="1"/>
  <c r="AD59" i="35"/>
  <c r="AD152" i="35" s="1"/>
  <c r="AD54" i="35"/>
  <c r="AD50" i="35"/>
  <c r="AD46" i="35"/>
  <c r="AD139" i="35" s="1"/>
  <c r="AD56" i="35"/>
  <c r="AD149" i="35" s="1"/>
  <c r="AD53" i="35"/>
  <c r="AD49" i="35"/>
  <c r="AD142" i="35" s="1"/>
  <c r="AD43" i="35"/>
  <c r="AD136" i="35" s="1"/>
  <c r="AD52" i="35"/>
  <c r="J53" i="33"/>
  <c r="Q53" i="33"/>
  <c r="AJ57" i="35"/>
  <c r="AG57" i="35"/>
  <c r="AJ50" i="35" l="1"/>
  <c r="AD143" i="35"/>
  <c r="AG51" i="35"/>
  <c r="AD144" i="35"/>
  <c r="AJ53" i="35"/>
  <c r="AD146" i="35"/>
  <c r="AG54" i="35"/>
  <c r="AD147" i="35"/>
  <c r="AG45" i="35"/>
  <c r="AD138" i="35"/>
  <c r="AJ52" i="35"/>
  <c r="AD145" i="35"/>
  <c r="AG47" i="35"/>
  <c r="AD140" i="35"/>
  <c r="AJ44" i="35"/>
  <c r="AD137" i="35"/>
  <c r="AJ49" i="35"/>
  <c r="AG49" i="35"/>
  <c r="L103" i="35"/>
  <c r="AJ58" i="35"/>
  <c r="AG55" i="35"/>
  <c r="AJ55" i="35"/>
  <c r="AJ45" i="35"/>
  <c r="AJ51" i="35"/>
  <c r="J96" i="35"/>
  <c r="AG59" i="35"/>
  <c r="AJ59" i="35"/>
  <c r="AG56" i="35"/>
  <c r="AJ47" i="35"/>
  <c r="AJ56" i="35"/>
  <c r="L94" i="35"/>
  <c r="AG52" i="35"/>
  <c r="M102" i="35"/>
  <c r="R102" i="35" s="1"/>
  <c r="AJ54" i="35"/>
  <c r="L93" i="35"/>
  <c r="AG53" i="35"/>
  <c r="AG58" i="35"/>
  <c r="AG44" i="35"/>
  <c r="AG48" i="35"/>
  <c r="AG50" i="35"/>
  <c r="AJ48" i="35"/>
  <c r="N156" i="35"/>
  <c r="AG43" i="35"/>
  <c r="AJ46" i="35"/>
  <c r="N158" i="35"/>
  <c r="AG46" i="35"/>
  <c r="AJ43" i="35"/>
  <c r="L107" i="35"/>
  <c r="G107" i="35"/>
  <c r="Q107" i="35" s="1"/>
  <c r="J107" i="35"/>
  <c r="M107" i="35"/>
  <c r="R107" i="35" s="1"/>
  <c r="N164" i="35"/>
  <c r="L97" i="35"/>
  <c r="G97" i="35"/>
  <c r="Q97" i="35" s="1"/>
  <c r="N154" i="35"/>
  <c r="M97" i="35"/>
  <c r="R97" i="35" s="1"/>
  <c r="J97" i="35"/>
  <c r="N162" i="35"/>
  <c r="L105" i="35"/>
  <c r="G105" i="35"/>
  <c r="Q105" i="35" s="1"/>
  <c r="J105" i="35"/>
  <c r="M105" i="35"/>
  <c r="R105" i="35" s="1"/>
  <c r="G104" i="35"/>
  <c r="Q104" i="35" s="1"/>
  <c r="J104" i="35"/>
  <c r="N161" i="35"/>
  <c r="M104" i="35"/>
  <c r="R104" i="35" s="1"/>
  <c r="L104" i="35"/>
  <c r="L106" i="35"/>
  <c r="J106" i="35"/>
  <c r="N163" i="35"/>
  <c r="G106" i="35"/>
  <c r="Q106" i="35" s="1"/>
  <c r="M106" i="35"/>
  <c r="R106" i="35" s="1"/>
  <c r="J100" i="35"/>
  <c r="L100" i="35"/>
  <c r="N157" i="35"/>
  <c r="M100" i="35"/>
  <c r="R100" i="35" s="1"/>
  <c r="G100" i="35"/>
  <c r="Q100" i="35" s="1"/>
  <c r="J92" i="35"/>
  <c r="N149" i="35"/>
  <c r="M92" i="35"/>
  <c r="R92" i="35" s="1"/>
  <c r="L92" i="35"/>
  <c r="G92" i="35"/>
  <c r="Q92" i="35" s="1"/>
  <c r="L108" i="35"/>
  <c r="J108" i="35"/>
  <c r="G108" i="35"/>
  <c r="Q108" i="35" s="1"/>
  <c r="N166" i="35"/>
  <c r="M108" i="35"/>
  <c r="R108" i="35" s="1"/>
  <c r="J95" i="35"/>
  <c r="M95" i="35"/>
  <c r="R95" i="35" s="1"/>
  <c r="G95" i="35"/>
  <c r="Q95" i="35" s="1"/>
  <c r="L95" i="35"/>
  <c r="N152" i="35"/>
  <c r="M94" i="35" l="1"/>
  <c r="R94" i="35" s="1"/>
  <c r="N150" i="35"/>
  <c r="S150" i="35" s="1"/>
  <c r="G103" i="35"/>
  <c r="Q103" i="35" s="1"/>
  <c r="L96" i="35"/>
  <c r="N153" i="35"/>
  <c r="S153" i="35" s="1"/>
  <c r="M96" i="35"/>
  <c r="R96" i="35" s="1"/>
  <c r="N160" i="35"/>
  <c r="O208" i="35" s="1"/>
  <c r="Q208" i="35" s="1"/>
  <c r="M103" i="35"/>
  <c r="R103" i="35" s="1"/>
  <c r="G96" i="35"/>
  <c r="Q96" i="35" s="1"/>
  <c r="G102" i="35"/>
  <c r="Q102" i="35" s="1"/>
  <c r="J102" i="35"/>
  <c r="J103" i="35"/>
  <c r="J93" i="35"/>
  <c r="G94" i="35"/>
  <c r="Q94" i="35" s="1"/>
  <c r="G93" i="35"/>
  <c r="Q93" i="35" s="1"/>
  <c r="N159" i="35"/>
  <c r="S159" i="35" s="1"/>
  <c r="N151" i="35"/>
  <c r="U151" i="35" s="1"/>
  <c r="M93" i="35"/>
  <c r="R93" i="35" s="1"/>
  <c r="L102" i="35"/>
  <c r="J101" i="35"/>
  <c r="J94" i="35"/>
  <c r="L101" i="35"/>
  <c r="J99" i="35"/>
  <c r="M99" i="35"/>
  <c r="R99" i="35" s="1"/>
  <c r="G99" i="35"/>
  <c r="Q99" i="35" s="1"/>
  <c r="G101" i="35"/>
  <c r="Q101" i="35" s="1"/>
  <c r="L99" i="35"/>
  <c r="D109" i="35"/>
  <c r="M101" i="35"/>
  <c r="R101" i="35" s="1"/>
  <c r="N155" i="35"/>
  <c r="Q155" i="35" s="1"/>
  <c r="L98" i="35"/>
  <c r="G98" i="35"/>
  <c r="Q98" i="35" s="1"/>
  <c r="J98" i="35"/>
  <c r="M98" i="35"/>
  <c r="R98" i="35" s="1"/>
  <c r="U149" i="35"/>
  <c r="S149" i="35"/>
  <c r="Q149" i="35"/>
  <c r="O197" i="35"/>
  <c r="S163" i="35"/>
  <c r="U163" i="35"/>
  <c r="Q163" i="35"/>
  <c r="O211" i="35"/>
  <c r="Q211" i="35" s="1"/>
  <c r="Q162" i="35"/>
  <c r="S162" i="35"/>
  <c r="U162" i="35"/>
  <c r="O210" i="35"/>
  <c r="Q210" i="35" s="1"/>
  <c r="Q154" i="35"/>
  <c r="U154" i="35"/>
  <c r="S154" i="35"/>
  <c r="O202" i="35"/>
  <c r="Q202" i="35" s="1"/>
  <c r="U156" i="35"/>
  <c r="Q156" i="35"/>
  <c r="S156" i="35"/>
  <c r="O204" i="35"/>
  <c r="Q204" i="35" s="1"/>
  <c r="S161" i="35"/>
  <c r="U161" i="35"/>
  <c r="Q161" i="35"/>
  <c r="O209" i="35"/>
  <c r="Q209" i="35" s="1"/>
  <c r="U166" i="35"/>
  <c r="S166" i="35"/>
  <c r="Q166" i="35"/>
  <c r="Q150" i="35"/>
  <c r="S158" i="35"/>
  <c r="Q158" i="35"/>
  <c r="U158" i="35"/>
  <c r="O206" i="35"/>
  <c r="Q206" i="35" s="1"/>
  <c r="O205" i="35"/>
  <c r="Q205" i="35" s="1"/>
  <c r="Q157" i="35"/>
  <c r="U157" i="35"/>
  <c r="S157" i="35"/>
  <c r="Q152" i="35"/>
  <c r="U152" i="35"/>
  <c r="O200" i="35"/>
  <c r="Q200" i="35" s="1"/>
  <c r="S152" i="35"/>
  <c r="S164" i="35"/>
  <c r="O212" i="35"/>
  <c r="Q212" i="35" s="1"/>
  <c r="U164" i="35"/>
  <c r="Q164" i="35"/>
  <c r="U150" i="35" l="1"/>
  <c r="O201" i="35"/>
  <c r="Q201" i="35" s="1"/>
  <c r="Q160" i="35"/>
  <c r="O198" i="35"/>
  <c r="Q198" i="35" s="1"/>
  <c r="Q153" i="35"/>
  <c r="U159" i="35"/>
  <c r="U153" i="35"/>
  <c r="U160" i="35"/>
  <c r="S160" i="35"/>
  <c r="Q159" i="35"/>
  <c r="O207" i="35"/>
  <c r="Q207" i="35" s="1"/>
  <c r="S151" i="35"/>
  <c r="Q151" i="35"/>
  <c r="O199" i="35"/>
  <c r="Q199" i="35" s="1"/>
  <c r="U155" i="35"/>
  <c r="O203" i="35"/>
  <c r="Q203" i="35" s="1"/>
  <c r="S155" i="35"/>
  <c r="Q197" i="35"/>
  <c r="O214" i="35" l="1"/>
  <c r="Q214" i="35" s="1"/>
  <c r="D91" i="43" l="1"/>
  <c r="K92" i="43"/>
  <c r="H181" i="43" l="1"/>
  <c r="L181" i="43"/>
  <c r="P181" i="43"/>
  <c r="D181" i="43"/>
  <c r="E181" i="43"/>
  <c r="I181" i="43"/>
  <c r="M181" i="43"/>
  <c r="Q181" i="43"/>
  <c r="F181" i="43"/>
  <c r="J181" i="43"/>
  <c r="N181" i="43"/>
  <c r="R181" i="43"/>
  <c r="G181" i="43"/>
  <c r="K181" i="43"/>
  <c r="O181" i="43"/>
  <c r="S181" i="43"/>
  <c r="D94" i="43"/>
  <c r="D96" i="43" s="1"/>
  <c r="K94" i="43"/>
  <c r="F186" i="43" l="1"/>
  <c r="F183" i="43"/>
  <c r="D186" i="43"/>
  <c r="D183" i="43"/>
  <c r="T181" i="43"/>
  <c r="V181" i="43" s="1"/>
  <c r="M186" i="43"/>
  <c r="M183" i="43"/>
  <c r="K186" i="43"/>
  <c r="K183" i="43"/>
  <c r="P186" i="43"/>
  <c r="P183" i="43"/>
  <c r="N186" i="43"/>
  <c r="N183" i="43"/>
  <c r="H186" i="43"/>
  <c r="H183" i="43"/>
  <c r="G186" i="43"/>
  <c r="G183" i="43"/>
  <c r="Q186" i="43"/>
  <c r="Q183" i="43"/>
  <c r="J186" i="43"/>
  <c r="J183" i="43"/>
  <c r="I186" i="43"/>
  <c r="I183" i="43"/>
  <c r="S186" i="43"/>
  <c r="S183" i="43"/>
  <c r="L186" i="43"/>
  <c r="L183" i="43"/>
  <c r="E186" i="43"/>
  <c r="E183" i="43"/>
  <c r="R186" i="43"/>
  <c r="R183" i="43"/>
  <c r="O186" i="43"/>
  <c r="O183" i="43"/>
  <c r="R185" i="43" l="1"/>
  <c r="E208" i="43"/>
  <c r="I23" i="13" s="1"/>
  <c r="L185" i="43"/>
  <c r="E202" i="43"/>
  <c r="I17" i="13" s="1"/>
  <c r="I185" i="43"/>
  <c r="E199" i="43"/>
  <c r="I14" i="13" s="1"/>
  <c r="Q185" i="43"/>
  <c r="E207" i="43"/>
  <c r="I22" i="13" s="1"/>
  <c r="H185" i="43"/>
  <c r="E198" i="43"/>
  <c r="I13" i="13" s="1"/>
  <c r="P185" i="43"/>
  <c r="E206" i="43"/>
  <c r="I21" i="13" s="1"/>
  <c r="M185" i="43"/>
  <c r="E203" i="43"/>
  <c r="I18" i="13" s="1"/>
  <c r="F185" i="43"/>
  <c r="E196" i="43"/>
  <c r="I11" i="13" s="1"/>
  <c r="O185" i="43"/>
  <c r="E205" i="43"/>
  <c r="I20" i="13" s="1"/>
  <c r="E185" i="43"/>
  <c r="E195" i="43"/>
  <c r="I10" i="13" s="1"/>
  <c r="S185" i="43"/>
  <c r="E209" i="43"/>
  <c r="I24" i="13" s="1"/>
  <c r="J185" i="43"/>
  <c r="E200" i="43"/>
  <c r="I15" i="13" s="1"/>
  <c r="G185" i="43"/>
  <c r="E197" i="43"/>
  <c r="I12" i="13" s="1"/>
  <c r="N185" i="43"/>
  <c r="E204" i="43"/>
  <c r="I19" i="13" s="1"/>
  <c r="K185" i="43"/>
  <c r="E201" i="43"/>
  <c r="I16" i="13" s="1"/>
  <c r="E194" i="43"/>
  <c r="D185" i="43"/>
  <c r="T183" i="43"/>
  <c r="Y30" i="35" l="1"/>
  <c r="O19" i="13"/>
  <c r="AB30" i="35" s="1"/>
  <c r="C15" i="49" s="1"/>
  <c r="L15" i="49" s="1"/>
  <c r="N15" i="49" s="1"/>
  <c r="Y21" i="35"/>
  <c r="O10" i="13"/>
  <c r="AB21" i="35" s="1"/>
  <c r="C6" i="49" s="1"/>
  <c r="L6" i="49" s="1"/>
  <c r="N6" i="49" s="1"/>
  <c r="Y22" i="35"/>
  <c r="O11" i="13"/>
  <c r="AB22" i="35" s="1"/>
  <c r="C7" i="49" s="1"/>
  <c r="L7" i="49" s="1"/>
  <c r="N7" i="49" s="1"/>
  <c r="Y32" i="35"/>
  <c r="O21" i="13"/>
  <c r="AB32" i="35" s="1"/>
  <c r="C17" i="49" s="1"/>
  <c r="L17" i="49" s="1"/>
  <c r="N17" i="49" s="1"/>
  <c r="Y33" i="35"/>
  <c r="O22" i="13"/>
  <c r="AB33" i="35" s="1"/>
  <c r="C18" i="49" s="1"/>
  <c r="L18" i="49" s="1"/>
  <c r="N18" i="49" s="1"/>
  <c r="Y28" i="35"/>
  <c r="O17" i="13"/>
  <c r="AB28" i="35" s="1"/>
  <c r="C13" i="49" s="1"/>
  <c r="L13" i="49" s="1"/>
  <c r="N13" i="49" s="1"/>
  <c r="Y26" i="35"/>
  <c r="O15" i="13"/>
  <c r="AB26" i="35" s="1"/>
  <c r="C11" i="49" s="1"/>
  <c r="L11" i="49" s="1"/>
  <c r="N11" i="49" s="1"/>
  <c r="E210" i="43"/>
  <c r="I25" i="13" s="1"/>
  <c r="I9" i="13"/>
  <c r="Y27" i="35"/>
  <c r="O16" i="13"/>
  <c r="AB27" i="35" s="1"/>
  <c r="C12" i="49" s="1"/>
  <c r="L12" i="49" s="1"/>
  <c r="N12" i="49" s="1"/>
  <c r="Y23" i="35"/>
  <c r="O12" i="13"/>
  <c r="AB23" i="35" s="1"/>
  <c r="C8" i="49" s="1"/>
  <c r="L8" i="49" s="1"/>
  <c r="N8" i="49" s="1"/>
  <c r="Y35" i="35"/>
  <c r="O24" i="13"/>
  <c r="AB35" i="35" s="1"/>
  <c r="C20" i="49" s="1"/>
  <c r="L20" i="49" s="1"/>
  <c r="N20" i="49" s="1"/>
  <c r="Y31" i="35"/>
  <c r="O20" i="13"/>
  <c r="AB31" i="35" s="1"/>
  <c r="C16" i="49" s="1"/>
  <c r="L16" i="49" s="1"/>
  <c r="N16" i="49" s="1"/>
  <c r="Y29" i="35"/>
  <c r="O18" i="13"/>
  <c r="AB29" i="35" s="1"/>
  <c r="C14" i="49" s="1"/>
  <c r="L14" i="49" s="1"/>
  <c r="N14" i="49" s="1"/>
  <c r="Y24" i="35"/>
  <c r="O13" i="13"/>
  <c r="AB24" i="35" s="1"/>
  <c r="C9" i="49" s="1"/>
  <c r="L9" i="49" s="1"/>
  <c r="N9" i="49" s="1"/>
  <c r="Y25" i="35"/>
  <c r="O14" i="13"/>
  <c r="AB25" i="35" s="1"/>
  <c r="C10" i="49" s="1"/>
  <c r="L10" i="49" s="1"/>
  <c r="N10" i="49" s="1"/>
  <c r="Y34" i="35"/>
  <c r="O23" i="13"/>
  <c r="AB34" i="35" s="1"/>
  <c r="C19" i="49" s="1"/>
  <c r="L19" i="49" s="1"/>
  <c r="N19" i="49" s="1"/>
  <c r="H9" i="49" l="1"/>
  <c r="J9" i="49" s="1"/>
  <c r="C30" i="49"/>
  <c r="H8" i="49"/>
  <c r="J8" i="49" s="1"/>
  <c r="C29" i="49"/>
  <c r="H17" i="49"/>
  <c r="J17" i="49" s="1"/>
  <c r="C38" i="49"/>
  <c r="H10" i="49"/>
  <c r="J10" i="49" s="1"/>
  <c r="C31" i="49"/>
  <c r="C35" i="49"/>
  <c r="H14" i="49"/>
  <c r="J14" i="49" s="1"/>
  <c r="H20" i="49"/>
  <c r="J20" i="49" s="1"/>
  <c r="C41" i="49"/>
  <c r="H12" i="49"/>
  <c r="J12" i="49" s="1"/>
  <c r="C33" i="49"/>
  <c r="H11" i="49"/>
  <c r="J11" i="49" s="1"/>
  <c r="C32" i="49"/>
  <c r="H18" i="49"/>
  <c r="J18" i="49" s="1"/>
  <c r="C39" i="49"/>
  <c r="H15" i="49"/>
  <c r="J15" i="49" s="1"/>
  <c r="C36" i="49"/>
  <c r="C40" i="49"/>
  <c r="H19" i="49"/>
  <c r="J19" i="49" s="1"/>
  <c r="H16" i="49"/>
  <c r="J16" i="49" s="1"/>
  <c r="C37" i="49"/>
  <c r="H13" i="49"/>
  <c r="J13" i="49" s="1"/>
  <c r="C34" i="49"/>
  <c r="H6" i="49"/>
  <c r="J6" i="49" s="1"/>
  <c r="C27" i="49"/>
  <c r="C28" i="49"/>
  <c r="H7" i="49"/>
  <c r="J7" i="49" s="1"/>
  <c r="AC78" i="35"/>
  <c r="AC68" i="35"/>
  <c r="AC67" i="35"/>
  <c r="AC72" i="35"/>
  <c r="AC65" i="35"/>
  <c r="AC75" i="35"/>
  <c r="AC76" i="35"/>
  <c r="AC69" i="35"/>
  <c r="AC73" i="35"/>
  <c r="AC79" i="35"/>
  <c r="AC71" i="35"/>
  <c r="AC70" i="35"/>
  <c r="AC77" i="35"/>
  <c r="AC66" i="35"/>
  <c r="AC74" i="35"/>
  <c r="AF34" i="35"/>
  <c r="AF24" i="35"/>
  <c r="AF31" i="35"/>
  <c r="AF23" i="35"/>
  <c r="AF28" i="35"/>
  <c r="AF32" i="35"/>
  <c r="AF21" i="35"/>
  <c r="AF25" i="35"/>
  <c r="AF29" i="35"/>
  <c r="AF35" i="35"/>
  <c r="AF27" i="35"/>
  <c r="AF26" i="35"/>
  <c r="AF33" i="35"/>
  <c r="AF22" i="35"/>
  <c r="AF30" i="35"/>
  <c r="O25" i="13"/>
  <c r="AB36" i="35" s="1"/>
  <c r="AC80" i="35" s="1"/>
  <c r="Y36" i="35"/>
  <c r="F89" i="35" s="1"/>
  <c r="C39" i="13"/>
  <c r="C45" i="13"/>
  <c r="C37" i="13"/>
  <c r="C43" i="13"/>
  <c r="C32" i="13"/>
  <c r="C40" i="13"/>
  <c r="C44" i="13"/>
  <c r="C34" i="13"/>
  <c r="C41" i="13"/>
  <c r="C33" i="13"/>
  <c r="Y20" i="35"/>
  <c r="O9" i="13"/>
  <c r="AB20" i="35" s="1"/>
  <c r="C5" i="49" s="1"/>
  <c r="L5" i="49" s="1"/>
  <c r="N5" i="49" s="1"/>
  <c r="I26" i="13"/>
  <c r="C38" i="13"/>
  <c r="C42" i="13"/>
  <c r="C31" i="13"/>
  <c r="C35" i="13"/>
  <c r="C36" i="13"/>
  <c r="H28" i="49" l="1"/>
  <c r="L28" i="49"/>
  <c r="C49" i="49"/>
  <c r="F49" i="49" s="1"/>
  <c r="I49" i="49" s="1"/>
  <c r="H40" i="49"/>
  <c r="C61" i="49"/>
  <c r="F61" i="49" s="1"/>
  <c r="I61" i="49" s="1"/>
  <c r="L40" i="49"/>
  <c r="H35" i="49"/>
  <c r="C56" i="49"/>
  <c r="F56" i="49" s="1"/>
  <c r="I56" i="49" s="1"/>
  <c r="L35" i="49"/>
  <c r="H27" i="49"/>
  <c r="C48" i="49"/>
  <c r="F48" i="49" s="1"/>
  <c r="I48" i="49" s="1"/>
  <c r="L27" i="49"/>
  <c r="H37" i="49"/>
  <c r="L37" i="49"/>
  <c r="C58" i="49"/>
  <c r="F58" i="49" s="1"/>
  <c r="I58" i="49" s="1"/>
  <c r="H36" i="49"/>
  <c r="L36" i="49"/>
  <c r="C57" i="49"/>
  <c r="F57" i="49" s="1"/>
  <c r="I57" i="49" s="1"/>
  <c r="H32" i="49"/>
  <c r="C53" i="49"/>
  <c r="F53" i="49" s="1"/>
  <c r="I53" i="49" s="1"/>
  <c r="L32" i="49"/>
  <c r="H41" i="49"/>
  <c r="L41" i="49"/>
  <c r="C62" i="49"/>
  <c r="F62" i="49" s="1"/>
  <c r="I62" i="49" s="1"/>
  <c r="H31" i="49"/>
  <c r="L31" i="49"/>
  <c r="C52" i="49"/>
  <c r="F52" i="49" s="1"/>
  <c r="I52" i="49" s="1"/>
  <c r="H29" i="49"/>
  <c r="L29" i="49"/>
  <c r="C50" i="49"/>
  <c r="F50" i="49" s="1"/>
  <c r="I50" i="49" s="1"/>
  <c r="H34" i="49"/>
  <c r="C55" i="49"/>
  <c r="F55" i="49" s="1"/>
  <c r="I55" i="49" s="1"/>
  <c r="L34" i="49"/>
  <c r="H39" i="49"/>
  <c r="C60" i="49"/>
  <c r="F60" i="49" s="1"/>
  <c r="I60" i="49" s="1"/>
  <c r="L39" i="49"/>
  <c r="H33" i="49"/>
  <c r="L33" i="49"/>
  <c r="C54" i="49"/>
  <c r="F54" i="49" s="1"/>
  <c r="I54" i="49" s="1"/>
  <c r="H38" i="49"/>
  <c r="C59" i="49"/>
  <c r="F59" i="49" s="1"/>
  <c r="I59" i="49" s="1"/>
  <c r="L38" i="49"/>
  <c r="H30" i="49"/>
  <c r="L30" i="49"/>
  <c r="C51" i="49"/>
  <c r="F51" i="49" s="1"/>
  <c r="I51" i="49" s="1"/>
  <c r="C21" i="49"/>
  <c r="L21" i="49" s="1"/>
  <c r="N21" i="49" s="1"/>
  <c r="H5" i="49"/>
  <c r="J5" i="49" s="1"/>
  <c r="C26" i="49"/>
  <c r="AW64" i="35"/>
  <c r="AW69" i="35"/>
  <c r="AW75" i="35"/>
  <c r="AW68" i="35"/>
  <c r="AW77" i="35"/>
  <c r="AW71" i="35"/>
  <c r="AW73" i="35"/>
  <c r="AW76" i="35"/>
  <c r="AW65" i="35"/>
  <c r="AW67" i="35"/>
  <c r="AW66" i="35"/>
  <c r="AW70" i="35"/>
  <c r="AW72" i="35"/>
  <c r="AW79" i="35"/>
  <c r="AW74" i="35"/>
  <c r="AW78" i="35"/>
  <c r="AU70" i="35"/>
  <c r="AV70" i="35" s="1"/>
  <c r="AU79" i="35"/>
  <c r="AV79" i="35" s="1"/>
  <c r="AU69" i="35"/>
  <c r="AV69" i="35" s="1"/>
  <c r="AU75" i="35"/>
  <c r="AV75" i="35" s="1"/>
  <c r="AU68" i="35"/>
  <c r="AV68" i="35" s="1"/>
  <c r="AU74" i="35"/>
  <c r="AV74" i="35" s="1"/>
  <c r="AU78" i="35"/>
  <c r="AV78" i="35" s="1"/>
  <c r="AU66" i="35"/>
  <c r="AV66" i="35" s="1"/>
  <c r="AU72" i="35"/>
  <c r="AV72" i="35" s="1"/>
  <c r="AU77" i="35"/>
  <c r="AV77" i="35" s="1"/>
  <c r="AU71" i="35"/>
  <c r="AV71" i="35" s="1"/>
  <c r="AU73" i="35"/>
  <c r="AV73" i="35" s="1"/>
  <c r="AU76" i="35"/>
  <c r="AV76" i="35" s="1"/>
  <c r="AU65" i="35"/>
  <c r="AV65" i="35" s="1"/>
  <c r="AU67" i="35"/>
  <c r="AV67" i="35" s="1"/>
  <c r="AC64" i="35"/>
  <c r="AF20" i="35"/>
  <c r="D76" i="35"/>
  <c r="Z164" i="35" s="1"/>
  <c r="D82" i="35"/>
  <c r="Z170" i="35" s="1"/>
  <c r="D85" i="35"/>
  <c r="Z173" i="35" s="1"/>
  <c r="D80" i="35"/>
  <c r="Z168" i="35" s="1"/>
  <c r="D72" i="35"/>
  <c r="Z160" i="35" s="1"/>
  <c r="D73" i="35"/>
  <c r="Z161" i="35" s="1"/>
  <c r="D78" i="35"/>
  <c r="Z166" i="35" s="1"/>
  <c r="D77" i="35"/>
  <c r="Z165" i="35" s="1"/>
  <c r="D79" i="35"/>
  <c r="Z167" i="35" s="1"/>
  <c r="D74" i="35"/>
  <c r="Z162" i="35" s="1"/>
  <c r="D75" i="35"/>
  <c r="Z163" i="35" s="1"/>
  <c r="D81" i="35"/>
  <c r="Z169" i="35" s="1"/>
  <c r="D83" i="35"/>
  <c r="Z171" i="35" s="1"/>
  <c r="D84" i="35"/>
  <c r="Z172" i="35" s="1"/>
  <c r="D86" i="35"/>
  <c r="D87" i="35"/>
  <c r="Z175" i="35" s="1"/>
  <c r="AF36" i="35"/>
  <c r="M35" i="13"/>
  <c r="C57" i="13"/>
  <c r="O35" i="13"/>
  <c r="K35" i="13"/>
  <c r="AK32" i="35"/>
  <c r="AH32" i="35"/>
  <c r="AF125" i="35" s="1"/>
  <c r="K34" i="13"/>
  <c r="M34" i="13"/>
  <c r="O34" i="13"/>
  <c r="C56" i="13"/>
  <c r="C30" i="13"/>
  <c r="AH29" i="35"/>
  <c r="AF122" i="35" s="1"/>
  <c r="AK29" i="35"/>
  <c r="O33" i="13"/>
  <c r="K33" i="13"/>
  <c r="M33" i="13"/>
  <c r="C55" i="13"/>
  <c r="K40" i="13"/>
  <c r="M40" i="13"/>
  <c r="O40" i="13"/>
  <c r="C62" i="13"/>
  <c r="AK33" i="35"/>
  <c r="AH33" i="35"/>
  <c r="AF126" i="35" s="1"/>
  <c r="AH35" i="35"/>
  <c r="AF128" i="35" s="1"/>
  <c r="AK35" i="35"/>
  <c r="AC14" i="35"/>
  <c r="AD29" i="35" s="1"/>
  <c r="AD168" i="35" s="1"/>
  <c r="AK36" i="35"/>
  <c r="AH36" i="35"/>
  <c r="AF129" i="35" s="1"/>
  <c r="AK25" i="35"/>
  <c r="AH25" i="35"/>
  <c r="AF118" i="35" s="1"/>
  <c r="C64" i="13"/>
  <c r="O42" i="13"/>
  <c r="M42" i="13"/>
  <c r="K42" i="13"/>
  <c r="AK31" i="35"/>
  <c r="AH31" i="35"/>
  <c r="AF124" i="35" s="1"/>
  <c r="AK34" i="35"/>
  <c r="AH34" i="35"/>
  <c r="AF127" i="35" s="1"/>
  <c r="O32" i="13"/>
  <c r="C54" i="13"/>
  <c r="M32" i="13"/>
  <c r="K32" i="13"/>
  <c r="K37" i="13"/>
  <c r="C59" i="13"/>
  <c r="M37" i="13"/>
  <c r="O37" i="13"/>
  <c r="C58" i="13"/>
  <c r="M36" i="13"/>
  <c r="O36" i="13"/>
  <c r="K36" i="13"/>
  <c r="AK21" i="35"/>
  <c r="AH21" i="35"/>
  <c r="AF114" i="35" s="1"/>
  <c r="K38" i="13"/>
  <c r="C60" i="13"/>
  <c r="M38" i="13"/>
  <c r="O38" i="13"/>
  <c r="Y37" i="35"/>
  <c r="AC37" i="35" s="1"/>
  <c r="C63" i="13"/>
  <c r="O41" i="13"/>
  <c r="K41" i="13"/>
  <c r="M41" i="13"/>
  <c r="K44" i="13"/>
  <c r="M44" i="13"/>
  <c r="O44" i="13"/>
  <c r="C66" i="13"/>
  <c r="AH22" i="35"/>
  <c r="AF115" i="35" s="1"/>
  <c r="AK22" i="35"/>
  <c r="AK27" i="35"/>
  <c r="AH27" i="35"/>
  <c r="AF120" i="35" s="1"/>
  <c r="O39" i="13"/>
  <c r="K39" i="13"/>
  <c r="M39" i="13"/>
  <c r="C61" i="13"/>
  <c r="AH26" i="35"/>
  <c r="AF119" i="35" s="1"/>
  <c r="AK26" i="35"/>
  <c r="C53" i="13"/>
  <c r="M31" i="13"/>
  <c r="O31" i="13"/>
  <c r="K31" i="13"/>
  <c r="AH28" i="35"/>
  <c r="AF121" i="35" s="1"/>
  <c r="AK28" i="35"/>
  <c r="AH23" i="35"/>
  <c r="AF116" i="35" s="1"/>
  <c r="AK23" i="35"/>
  <c r="AH24" i="35"/>
  <c r="AF117" i="35" s="1"/>
  <c r="AK24" i="35"/>
  <c r="AH30" i="35"/>
  <c r="AF123" i="35" s="1"/>
  <c r="AK30" i="35"/>
  <c r="C65" i="13"/>
  <c r="M43" i="13"/>
  <c r="O43" i="13"/>
  <c r="K43" i="13"/>
  <c r="M45" i="13"/>
  <c r="C67" i="13"/>
  <c r="O45" i="13"/>
  <c r="K45" i="13"/>
  <c r="H26" i="49" l="1"/>
  <c r="C47" i="49"/>
  <c r="F47" i="49" s="1"/>
  <c r="I47" i="49" s="1"/>
  <c r="L26" i="49"/>
  <c r="H21" i="49"/>
  <c r="J21" i="49" s="1"/>
  <c r="C42" i="49"/>
  <c r="AU64" i="35"/>
  <c r="J86" i="35"/>
  <c r="Z174" i="35"/>
  <c r="AB163" i="35"/>
  <c r="AA163" i="35"/>
  <c r="AA166" i="35"/>
  <c r="AB166" i="35"/>
  <c r="AB173" i="35"/>
  <c r="AA173" i="35"/>
  <c r="AA172" i="35"/>
  <c r="AB172" i="35"/>
  <c r="AA162" i="35"/>
  <c r="AB162" i="35"/>
  <c r="AB161" i="35"/>
  <c r="AA161" i="35"/>
  <c r="AA170" i="35"/>
  <c r="AB170" i="35"/>
  <c r="AB171" i="35"/>
  <c r="AA171" i="35"/>
  <c r="AB167" i="35"/>
  <c r="AA167" i="35"/>
  <c r="AA160" i="35"/>
  <c r="AB160" i="35"/>
  <c r="AA164" i="35"/>
  <c r="AB164" i="35"/>
  <c r="AB175" i="35"/>
  <c r="AA175" i="35"/>
  <c r="AB169" i="35"/>
  <c r="AA169" i="35"/>
  <c r="AB165" i="35"/>
  <c r="AA165" i="35"/>
  <c r="AA168" i="35"/>
  <c r="AB168" i="35"/>
  <c r="D71" i="35"/>
  <c r="Z159" i="35" s="1"/>
  <c r="AD21" i="35"/>
  <c r="AD34" i="35"/>
  <c r="AD31" i="35"/>
  <c r="AD170" i="35" s="1"/>
  <c r="AD25" i="35"/>
  <c r="AD30" i="35"/>
  <c r="AD24" i="35"/>
  <c r="AD23" i="35"/>
  <c r="AD28" i="35"/>
  <c r="AD167" i="35" s="1"/>
  <c r="AD26" i="35"/>
  <c r="AD27" i="35"/>
  <c r="AD22" i="35"/>
  <c r="AD36" i="35"/>
  <c r="AJ29" i="35"/>
  <c r="AG29" i="35"/>
  <c r="J61" i="13"/>
  <c r="Q61" i="13"/>
  <c r="P61" i="13"/>
  <c r="J59" i="13"/>
  <c r="P59" i="13"/>
  <c r="Q59" i="13"/>
  <c r="J54" i="13"/>
  <c r="P54" i="13"/>
  <c r="Q54" i="13"/>
  <c r="AK20" i="35"/>
  <c r="AH20" i="35"/>
  <c r="AF113" i="35" s="1"/>
  <c r="AB37" i="35"/>
  <c r="AD20" i="35"/>
  <c r="AD159" i="35" s="1"/>
  <c r="J58" i="13"/>
  <c r="Q58" i="13"/>
  <c r="P58" i="13"/>
  <c r="P64" i="13"/>
  <c r="Q64" i="13"/>
  <c r="J64" i="13"/>
  <c r="J56" i="13"/>
  <c r="Q56" i="13"/>
  <c r="P56" i="13"/>
  <c r="AD32" i="35"/>
  <c r="AD171" i="35" s="1"/>
  <c r="Q66" i="13"/>
  <c r="P66" i="13"/>
  <c r="J66" i="13"/>
  <c r="J60" i="13"/>
  <c r="P60" i="13"/>
  <c r="Q60" i="13"/>
  <c r="Q67" i="13"/>
  <c r="J67" i="13"/>
  <c r="P67" i="13"/>
  <c r="J65" i="13"/>
  <c r="Q65" i="13"/>
  <c r="P65" i="13"/>
  <c r="J53" i="13"/>
  <c r="Q53" i="13"/>
  <c r="P53" i="13"/>
  <c r="J63" i="13"/>
  <c r="P63" i="13"/>
  <c r="Q63" i="13"/>
  <c r="AD35" i="35"/>
  <c r="AD174" i="35" s="1"/>
  <c r="AD33" i="35"/>
  <c r="AD172" i="35" s="1"/>
  <c r="J62" i="13"/>
  <c r="P62" i="13"/>
  <c r="Q62" i="13"/>
  <c r="J55" i="13"/>
  <c r="Q55" i="13"/>
  <c r="P55" i="13"/>
  <c r="O30" i="13"/>
  <c r="C47" i="13"/>
  <c r="M30" i="13"/>
  <c r="C52" i="13"/>
  <c r="K30" i="13"/>
  <c r="J57" i="13"/>
  <c r="P57" i="13"/>
  <c r="Q57" i="13"/>
  <c r="C63" i="49" l="1"/>
  <c r="L42" i="49"/>
  <c r="E23" i="49"/>
  <c r="E39" i="49" s="1"/>
  <c r="H42" i="49"/>
  <c r="AW80" i="35"/>
  <c r="AS82" i="35"/>
  <c r="AS101" i="35" s="1"/>
  <c r="AU80" i="35"/>
  <c r="AV80" i="35" s="1"/>
  <c r="AV64" i="35"/>
  <c r="AJ22" i="35"/>
  <c r="AD161" i="35"/>
  <c r="AG23" i="35"/>
  <c r="AD162" i="35"/>
  <c r="AG27" i="35"/>
  <c r="AD166" i="35"/>
  <c r="AJ24" i="35"/>
  <c r="AD163" i="35"/>
  <c r="AG34" i="35"/>
  <c r="AD173" i="35"/>
  <c r="AG26" i="35"/>
  <c r="AD165" i="35"/>
  <c r="AJ30" i="35"/>
  <c r="AD169" i="35"/>
  <c r="AG21" i="35"/>
  <c r="AD160" i="35"/>
  <c r="AA174" i="35"/>
  <c r="AB174" i="35"/>
  <c r="AG36" i="35"/>
  <c r="AD175" i="35"/>
  <c r="AG25" i="35"/>
  <c r="AD164" i="35"/>
  <c r="AA159" i="35"/>
  <c r="AB159" i="35"/>
  <c r="AG37" i="35"/>
  <c r="AC39" i="35"/>
  <c r="L77" i="35"/>
  <c r="AJ21" i="35"/>
  <c r="M81" i="35"/>
  <c r="R81" i="35" s="1"/>
  <c r="AB123" i="35" s="1"/>
  <c r="AJ25" i="35"/>
  <c r="AJ26" i="35"/>
  <c r="AJ23" i="35"/>
  <c r="AJ27" i="35"/>
  <c r="M75" i="35"/>
  <c r="R75" i="35" s="1"/>
  <c r="AB117" i="35" s="1"/>
  <c r="AG30" i="35"/>
  <c r="AJ31" i="35"/>
  <c r="C152" i="35"/>
  <c r="AG22" i="35"/>
  <c r="M87" i="35"/>
  <c r="R87" i="35" s="1"/>
  <c r="AB129" i="35" s="1"/>
  <c r="AJ28" i="35"/>
  <c r="AG31" i="35"/>
  <c r="C156" i="35"/>
  <c r="AG24" i="35"/>
  <c r="AJ34" i="35"/>
  <c r="J76" i="35"/>
  <c r="Q76" i="35" s="1"/>
  <c r="AJ36" i="35"/>
  <c r="G73" i="35"/>
  <c r="AG28" i="35"/>
  <c r="AG33" i="35"/>
  <c r="AJ33" i="35"/>
  <c r="G80" i="35"/>
  <c r="J80" i="35"/>
  <c r="Q80" i="35" s="1"/>
  <c r="M80" i="35"/>
  <c r="R80" i="35" s="1"/>
  <c r="AB122" i="35" s="1"/>
  <c r="L80" i="35"/>
  <c r="C158" i="35"/>
  <c r="AJ35" i="35"/>
  <c r="AG35" i="35"/>
  <c r="P52" i="13"/>
  <c r="Q52" i="13"/>
  <c r="J52" i="13"/>
  <c r="C160" i="35"/>
  <c r="J82" i="35"/>
  <c r="Q82" i="35" s="1"/>
  <c r="L82" i="35"/>
  <c r="G82" i="35"/>
  <c r="M82" i="35"/>
  <c r="R82" i="35" s="1"/>
  <c r="AB124" i="35" s="1"/>
  <c r="L85" i="35"/>
  <c r="M85" i="35"/>
  <c r="R85" i="35" s="1"/>
  <c r="AB127" i="35" s="1"/>
  <c r="C163" i="35"/>
  <c r="G85" i="35"/>
  <c r="J85" i="35"/>
  <c r="Q85" i="35" s="1"/>
  <c r="AJ32" i="35"/>
  <c r="AG32" i="35"/>
  <c r="C69" i="13"/>
  <c r="Q69" i="13" s="1"/>
  <c r="O47" i="13"/>
  <c r="M47" i="13"/>
  <c r="K47" i="13"/>
  <c r="AJ20" i="35"/>
  <c r="AG20" i="35"/>
  <c r="M72" i="35"/>
  <c r="R72" i="35" s="1"/>
  <c r="AB114" i="35" s="1"/>
  <c r="L72" i="35"/>
  <c r="G72" i="35"/>
  <c r="J72" i="35"/>
  <c r="Q72" i="35" s="1"/>
  <c r="C150" i="35"/>
  <c r="J79" i="35"/>
  <c r="Q79" i="35" s="1"/>
  <c r="M79" i="35"/>
  <c r="R79" i="35" s="1"/>
  <c r="AB121" i="35" s="1"/>
  <c r="G79" i="35"/>
  <c r="C157" i="35"/>
  <c r="L79" i="35"/>
  <c r="I39" i="49" l="1"/>
  <c r="J39" i="49" s="1"/>
  <c r="M39" i="49"/>
  <c r="N39" i="49" s="1"/>
  <c r="E30" i="49"/>
  <c r="E28" i="49"/>
  <c r="E38" i="49"/>
  <c r="E31" i="49"/>
  <c r="E36" i="49"/>
  <c r="E35" i="49"/>
  <c r="E40" i="49"/>
  <c r="E27" i="49"/>
  <c r="E32" i="49"/>
  <c r="E59" i="49"/>
  <c r="G59" i="49" s="1"/>
  <c r="H59" i="49" s="1"/>
  <c r="E51" i="49"/>
  <c r="G51" i="49" s="1"/>
  <c r="H51" i="49" s="1"/>
  <c r="E62" i="49"/>
  <c r="G62" i="49" s="1"/>
  <c r="H62" i="49" s="1"/>
  <c r="E54" i="49"/>
  <c r="G54" i="49" s="1"/>
  <c r="H54" i="49" s="1"/>
  <c r="E47" i="49"/>
  <c r="E58" i="49"/>
  <c r="G58" i="49" s="1"/>
  <c r="H58" i="49" s="1"/>
  <c r="E50" i="49"/>
  <c r="G50" i="49" s="1"/>
  <c r="H50" i="49" s="1"/>
  <c r="E55" i="49"/>
  <c r="G55" i="49" s="1"/>
  <c r="H55" i="49" s="1"/>
  <c r="E60" i="49"/>
  <c r="G60" i="49" s="1"/>
  <c r="H60" i="49" s="1"/>
  <c r="E53" i="49"/>
  <c r="G53" i="49" s="1"/>
  <c r="H53" i="49" s="1"/>
  <c r="E57" i="49"/>
  <c r="G57" i="49" s="1"/>
  <c r="H57" i="49" s="1"/>
  <c r="E56" i="49"/>
  <c r="G56" i="49" s="1"/>
  <c r="H56" i="49" s="1"/>
  <c r="E52" i="49"/>
  <c r="G52" i="49" s="1"/>
  <c r="H52" i="49" s="1"/>
  <c r="E61" i="49"/>
  <c r="G61" i="49" s="1"/>
  <c r="H61" i="49" s="1"/>
  <c r="E49" i="49"/>
  <c r="G49" i="49" s="1"/>
  <c r="H49" i="49" s="1"/>
  <c r="E48" i="49"/>
  <c r="G48" i="49" s="1"/>
  <c r="H48" i="49" s="1"/>
  <c r="E26" i="49"/>
  <c r="E41" i="49"/>
  <c r="E33" i="49"/>
  <c r="E44" i="49"/>
  <c r="F63" i="49"/>
  <c r="I63" i="49" s="1"/>
  <c r="E34" i="49"/>
  <c r="E29" i="49"/>
  <c r="E37" i="49"/>
  <c r="AU101" i="35"/>
  <c r="AS120" i="35"/>
  <c r="AV120" i="35" s="1"/>
  <c r="AW120" i="35" s="1"/>
  <c r="AZ120" i="35" s="1"/>
  <c r="AS100" i="35"/>
  <c r="AS96" i="35"/>
  <c r="AS95" i="35"/>
  <c r="AS87" i="35"/>
  <c r="AS98" i="35"/>
  <c r="AS94" i="35"/>
  <c r="AS86" i="35"/>
  <c r="AS90" i="35"/>
  <c r="AS93" i="35"/>
  <c r="AS97" i="35"/>
  <c r="AS91" i="35"/>
  <c r="AS85" i="35"/>
  <c r="AS89" i="35"/>
  <c r="AS99" i="35"/>
  <c r="AS92" i="35"/>
  <c r="AS88" i="35"/>
  <c r="C155" i="35"/>
  <c r="H155" i="35" s="1"/>
  <c r="M77" i="35"/>
  <c r="R77" i="35" s="1"/>
  <c r="AB119" i="35" s="1"/>
  <c r="G77" i="35"/>
  <c r="J77" i="35"/>
  <c r="Q77" i="35" s="1"/>
  <c r="C154" i="35"/>
  <c r="J154" i="35" s="1"/>
  <c r="G74" i="35"/>
  <c r="L81" i="35"/>
  <c r="J74" i="35"/>
  <c r="Q74" i="35" s="1"/>
  <c r="G81" i="35"/>
  <c r="C159" i="35"/>
  <c r="Y207" i="35" s="1"/>
  <c r="AA207" i="35" s="1"/>
  <c r="L76" i="35"/>
  <c r="J81" i="35"/>
  <c r="Q81" i="35" s="1"/>
  <c r="G75" i="35"/>
  <c r="L74" i="35"/>
  <c r="M74" i="35"/>
  <c r="R74" i="35" s="1"/>
  <c r="AB116" i="35" s="1"/>
  <c r="C153" i="35"/>
  <c r="J153" i="35" s="1"/>
  <c r="L78" i="35"/>
  <c r="L87" i="35"/>
  <c r="L73" i="35"/>
  <c r="J75" i="35"/>
  <c r="Q75" i="35" s="1"/>
  <c r="C166" i="35"/>
  <c r="J166" i="35" s="1"/>
  <c r="L75" i="35"/>
  <c r="G76" i="35"/>
  <c r="J87" i="35"/>
  <c r="Q87" i="35" s="1"/>
  <c r="G87" i="35"/>
  <c r="M78" i="35"/>
  <c r="R78" i="35" s="1"/>
  <c r="AB120" i="35" s="1"/>
  <c r="J78" i="35"/>
  <c r="Q78" i="35" s="1"/>
  <c r="G78" i="35"/>
  <c r="M76" i="35"/>
  <c r="R76" i="35" s="1"/>
  <c r="AB118" i="35" s="1"/>
  <c r="J73" i="35"/>
  <c r="Q73" i="35" s="1"/>
  <c r="C151" i="35"/>
  <c r="Y199" i="35" s="1"/>
  <c r="AA199" i="35" s="1"/>
  <c r="M73" i="35"/>
  <c r="R73" i="35" s="1"/>
  <c r="AB115" i="35" s="1"/>
  <c r="H154" i="35"/>
  <c r="G83" i="35"/>
  <c r="M83" i="35"/>
  <c r="R83" i="35" s="1"/>
  <c r="AB125" i="35" s="1"/>
  <c r="J83" i="35"/>
  <c r="Q83" i="35" s="1"/>
  <c r="L83" i="35"/>
  <c r="C161" i="35"/>
  <c r="H152" i="35"/>
  <c r="Y200" i="35"/>
  <c r="AA200" i="35" s="1"/>
  <c r="J152" i="35"/>
  <c r="F152" i="35"/>
  <c r="H158" i="35"/>
  <c r="Y206" i="35"/>
  <c r="AA206" i="35" s="1"/>
  <c r="J158" i="35"/>
  <c r="F158" i="35"/>
  <c r="J157" i="35"/>
  <c r="Y205" i="35"/>
  <c r="AA205" i="35" s="1"/>
  <c r="H157" i="35"/>
  <c r="F157" i="35"/>
  <c r="Y198" i="35"/>
  <c r="AA198" i="35" s="1"/>
  <c r="F150" i="35"/>
  <c r="H150" i="35"/>
  <c r="J150" i="35"/>
  <c r="M71" i="35"/>
  <c r="R71" i="35" s="1"/>
  <c r="AB113" i="35" s="1"/>
  <c r="C149" i="35"/>
  <c r="J71" i="35"/>
  <c r="Q71" i="35" s="1"/>
  <c r="D88" i="35"/>
  <c r="L71" i="35"/>
  <c r="G71" i="35"/>
  <c r="H156" i="35"/>
  <c r="F156" i="35"/>
  <c r="J156" i="35"/>
  <c r="Y204" i="35"/>
  <c r="AA204" i="35" s="1"/>
  <c r="J160" i="35"/>
  <c r="Y208" i="35"/>
  <c r="AA208" i="35" s="1"/>
  <c r="F160" i="35"/>
  <c r="H160" i="35"/>
  <c r="G86" i="35"/>
  <c r="L86" i="35"/>
  <c r="C164" i="35"/>
  <c r="Q86" i="35"/>
  <c r="M86" i="35"/>
  <c r="R86" i="35" s="1"/>
  <c r="AB128" i="35" s="1"/>
  <c r="Y211" i="35"/>
  <c r="AA211" i="35" s="1"/>
  <c r="J163" i="35"/>
  <c r="H163" i="35"/>
  <c r="F163" i="35"/>
  <c r="C162" i="35"/>
  <c r="G84" i="35"/>
  <c r="L84" i="35"/>
  <c r="M84" i="35"/>
  <c r="R84" i="35" s="1"/>
  <c r="AB126" i="35" s="1"/>
  <c r="J84" i="35"/>
  <c r="Q84" i="35" s="1"/>
  <c r="I26" i="49" l="1"/>
  <c r="J26" i="49" s="1"/>
  <c r="M26" i="49"/>
  <c r="N26" i="49" s="1"/>
  <c r="K52" i="49"/>
  <c r="J52" i="49"/>
  <c r="L52" i="49"/>
  <c r="K60" i="49"/>
  <c r="L60" i="49"/>
  <c r="J60" i="49"/>
  <c r="G47" i="49"/>
  <c r="H47" i="49" s="1"/>
  <c r="E63" i="49"/>
  <c r="G63" i="49" s="1"/>
  <c r="H63" i="49" s="1"/>
  <c r="J59" i="49"/>
  <c r="L59" i="49"/>
  <c r="K59" i="49"/>
  <c r="I35" i="49"/>
  <c r="J35" i="49" s="1"/>
  <c r="M35" i="49"/>
  <c r="N35" i="49" s="1"/>
  <c r="I28" i="49"/>
  <c r="J28" i="49" s="1"/>
  <c r="M28" i="49"/>
  <c r="N28" i="49" s="1"/>
  <c r="I37" i="49"/>
  <c r="J37" i="49" s="1"/>
  <c r="M37" i="49"/>
  <c r="N37" i="49" s="1"/>
  <c r="K48" i="49"/>
  <c r="L48" i="49"/>
  <c r="J48" i="49"/>
  <c r="K56" i="49"/>
  <c r="L56" i="49"/>
  <c r="J56" i="49"/>
  <c r="K55" i="49"/>
  <c r="J55" i="49"/>
  <c r="L55" i="49"/>
  <c r="K54" i="49"/>
  <c r="J54" i="49"/>
  <c r="L54" i="49"/>
  <c r="I32" i="49"/>
  <c r="J32" i="49" s="1"/>
  <c r="M32" i="49"/>
  <c r="N32" i="49" s="1"/>
  <c r="I36" i="49"/>
  <c r="J36" i="49" s="1"/>
  <c r="M36" i="49"/>
  <c r="N36" i="49" s="1"/>
  <c r="I30" i="49"/>
  <c r="J30" i="49" s="1"/>
  <c r="M30" i="49"/>
  <c r="N30" i="49" s="1"/>
  <c r="I29" i="49"/>
  <c r="J29" i="49" s="1"/>
  <c r="M29" i="49"/>
  <c r="N29" i="49" s="1"/>
  <c r="I33" i="49"/>
  <c r="J33" i="49" s="1"/>
  <c r="M33" i="49"/>
  <c r="N33" i="49" s="1"/>
  <c r="K49" i="49"/>
  <c r="L49" i="49"/>
  <c r="J49" i="49"/>
  <c r="K57" i="49"/>
  <c r="L57" i="49"/>
  <c r="J57" i="49"/>
  <c r="K50" i="49"/>
  <c r="J50" i="49"/>
  <c r="L50" i="49"/>
  <c r="K62" i="49"/>
  <c r="J62" i="49"/>
  <c r="L62" i="49"/>
  <c r="I27" i="49"/>
  <c r="J27" i="49" s="1"/>
  <c r="M27" i="49"/>
  <c r="N27" i="49" s="1"/>
  <c r="I31" i="49"/>
  <c r="J31" i="49" s="1"/>
  <c r="M31" i="49"/>
  <c r="N31" i="49" s="1"/>
  <c r="I34" i="49"/>
  <c r="J34" i="49" s="1"/>
  <c r="M34" i="49"/>
  <c r="N34" i="49" s="1"/>
  <c r="I41" i="49"/>
  <c r="J41" i="49" s="1"/>
  <c r="M41" i="49"/>
  <c r="N41" i="49" s="1"/>
  <c r="L61" i="49"/>
  <c r="J61" i="49"/>
  <c r="K61" i="49"/>
  <c r="L53" i="49"/>
  <c r="J53" i="49"/>
  <c r="K53" i="49"/>
  <c r="K58" i="49"/>
  <c r="J58" i="49"/>
  <c r="L58" i="49"/>
  <c r="K51" i="49"/>
  <c r="J51" i="49"/>
  <c r="L51" i="49"/>
  <c r="I40" i="49"/>
  <c r="J40" i="49" s="1"/>
  <c r="M40" i="49"/>
  <c r="N40" i="49" s="1"/>
  <c r="I38" i="49"/>
  <c r="J38" i="49" s="1"/>
  <c r="M38" i="49"/>
  <c r="N38" i="49" s="1"/>
  <c r="E42" i="49"/>
  <c r="AV89" i="35"/>
  <c r="AS108" i="35"/>
  <c r="AV93" i="35"/>
  <c r="AS112" i="35"/>
  <c r="AV98" i="35"/>
  <c r="AS117" i="35"/>
  <c r="AV100" i="35"/>
  <c r="AS119" i="35"/>
  <c r="AV88" i="35"/>
  <c r="AS107" i="35"/>
  <c r="AV85" i="35"/>
  <c r="AS104" i="35"/>
  <c r="AV90" i="35"/>
  <c r="AS109" i="35"/>
  <c r="AV87" i="35"/>
  <c r="AS106" i="35"/>
  <c r="AV92" i="35"/>
  <c r="AS111" i="35"/>
  <c r="AV91" i="35"/>
  <c r="AS110" i="35"/>
  <c r="AV86" i="35"/>
  <c r="AS105" i="35"/>
  <c r="AV95" i="35"/>
  <c r="AS114" i="35"/>
  <c r="AV99" i="35"/>
  <c r="AS118" i="35"/>
  <c r="AV97" i="35"/>
  <c r="AS116" i="35"/>
  <c r="AV94" i="35"/>
  <c r="AS113" i="35"/>
  <c r="AV96" i="35"/>
  <c r="AS115" i="35"/>
  <c r="AU88" i="35"/>
  <c r="AU85" i="35"/>
  <c r="AU90" i="35"/>
  <c r="AU87" i="35"/>
  <c r="AU92" i="35"/>
  <c r="AU91" i="35"/>
  <c r="AU86" i="35"/>
  <c r="AU95" i="35"/>
  <c r="AU99" i="35"/>
  <c r="AU97" i="35"/>
  <c r="AU94" i="35"/>
  <c r="AU96" i="35"/>
  <c r="AU89" i="35"/>
  <c r="AU93" i="35"/>
  <c r="AU98" i="35"/>
  <c r="AU100" i="35"/>
  <c r="Y203" i="35"/>
  <c r="AA203" i="35" s="1"/>
  <c r="F155" i="35"/>
  <c r="J155" i="35"/>
  <c r="F154" i="35"/>
  <c r="Y202" i="35"/>
  <c r="AA202" i="35" s="1"/>
  <c r="J159" i="35"/>
  <c r="F159" i="35"/>
  <c r="H159" i="35"/>
  <c r="Y214" i="35"/>
  <c r="AA214" i="35" s="1"/>
  <c r="H153" i="35"/>
  <c r="Y201" i="35"/>
  <c r="AA201" i="35" s="1"/>
  <c r="F153" i="35"/>
  <c r="H151" i="35"/>
  <c r="F166" i="35"/>
  <c r="H166" i="35"/>
  <c r="J151" i="35"/>
  <c r="F151" i="35"/>
  <c r="J162" i="35"/>
  <c r="F162" i="35"/>
  <c r="H162" i="35"/>
  <c r="Y210" i="35"/>
  <c r="AA210" i="35" s="1"/>
  <c r="F161" i="35"/>
  <c r="Y209" i="35"/>
  <c r="AA209" i="35" s="1"/>
  <c r="J161" i="35"/>
  <c r="H161" i="35"/>
  <c r="Y197" i="35"/>
  <c r="J149" i="35"/>
  <c r="H149" i="35"/>
  <c r="F149" i="35"/>
  <c r="H164" i="35"/>
  <c r="F164" i="35"/>
  <c r="Y212" i="35"/>
  <c r="AA212" i="35" s="1"/>
  <c r="J164" i="35"/>
  <c r="I42" i="49" l="1"/>
  <c r="J42" i="49" s="1"/>
  <c r="M42" i="49"/>
  <c r="N42" i="49" s="1"/>
  <c r="J47" i="49"/>
  <c r="J63" i="49" s="1"/>
  <c r="K47" i="49"/>
  <c r="K63" i="49" s="1"/>
  <c r="L47" i="49"/>
  <c r="L63" i="49" s="1"/>
  <c r="AW91" i="35"/>
  <c r="AY70" i="35" s="1"/>
  <c r="AZ70" i="35" s="1"/>
  <c r="BA70" i="35" s="1"/>
  <c r="AW85" i="35"/>
  <c r="AY64" i="35" s="1"/>
  <c r="AZ64" i="35" s="1"/>
  <c r="BA64" i="35" s="1"/>
  <c r="AV115" i="35"/>
  <c r="AW115" i="35" s="1"/>
  <c r="AZ115" i="35" s="1"/>
  <c r="AS55" i="35"/>
  <c r="AX55" i="35" s="1"/>
  <c r="AZ55" i="35" s="1"/>
  <c r="AV116" i="35"/>
  <c r="AW116" i="35" s="1"/>
  <c r="AZ116" i="35" s="1"/>
  <c r="AS56" i="35"/>
  <c r="AX56" i="35" s="1"/>
  <c r="AZ56" i="35" s="1"/>
  <c r="AV101" i="35"/>
  <c r="AV111" i="35"/>
  <c r="AW111" i="35" s="1"/>
  <c r="AZ111" i="35" s="1"/>
  <c r="AS51" i="35"/>
  <c r="AX51" i="35" s="1"/>
  <c r="AZ51" i="35" s="1"/>
  <c r="AV109" i="35"/>
  <c r="AW109" i="35" s="1"/>
  <c r="AZ109" i="35" s="1"/>
  <c r="AS49" i="35"/>
  <c r="AX49" i="35" s="1"/>
  <c r="AZ49" i="35" s="1"/>
  <c r="AV114" i="35"/>
  <c r="AW114" i="35" s="1"/>
  <c r="AZ114" i="35" s="1"/>
  <c r="AS54" i="35"/>
  <c r="AX54" i="35" s="1"/>
  <c r="AZ54" i="35" s="1"/>
  <c r="AV110" i="35"/>
  <c r="AW110" i="35" s="1"/>
  <c r="AZ110" i="35" s="1"/>
  <c r="AS50" i="35"/>
  <c r="AX50" i="35" s="1"/>
  <c r="AZ50" i="35" s="1"/>
  <c r="AV107" i="35"/>
  <c r="AW107" i="35" s="1"/>
  <c r="AZ107" i="35" s="1"/>
  <c r="AS47" i="35"/>
  <c r="AX47" i="35" s="1"/>
  <c r="AZ47" i="35" s="1"/>
  <c r="AV117" i="35"/>
  <c r="AW117" i="35" s="1"/>
  <c r="AZ117" i="35" s="1"/>
  <c r="AS57" i="35"/>
  <c r="AX57" i="35" s="1"/>
  <c r="AZ57" i="35" s="1"/>
  <c r="AV108" i="35"/>
  <c r="AW108" i="35" s="1"/>
  <c r="AZ108" i="35" s="1"/>
  <c r="AS48" i="35"/>
  <c r="AX48" i="35" s="1"/>
  <c r="AZ48" i="35" s="1"/>
  <c r="AW93" i="35"/>
  <c r="AY72" i="35" s="1"/>
  <c r="AZ72" i="35" s="1"/>
  <c r="BA72" i="35" s="1"/>
  <c r="AW97" i="35"/>
  <c r="AY76" i="35" s="1"/>
  <c r="AZ76" i="35" s="1"/>
  <c r="BA76" i="35" s="1"/>
  <c r="AV113" i="35"/>
  <c r="AW113" i="35" s="1"/>
  <c r="AZ113" i="35" s="1"/>
  <c r="AS53" i="35"/>
  <c r="AX53" i="35" s="1"/>
  <c r="AZ53" i="35" s="1"/>
  <c r="AV106" i="35"/>
  <c r="AW106" i="35" s="1"/>
  <c r="AZ106" i="35" s="1"/>
  <c r="AS46" i="35"/>
  <c r="AX46" i="35" s="1"/>
  <c r="AZ46" i="35" s="1"/>
  <c r="AV104" i="35"/>
  <c r="AW104" i="35" s="1"/>
  <c r="AZ104" i="35" s="1"/>
  <c r="AS44" i="35"/>
  <c r="AW89" i="35"/>
  <c r="AY68" i="35" s="1"/>
  <c r="AZ68" i="35" s="1"/>
  <c r="BA68" i="35" s="1"/>
  <c r="AW99" i="35"/>
  <c r="AW92" i="35"/>
  <c r="AW88" i="35"/>
  <c r="AV118" i="35"/>
  <c r="AW118" i="35" s="1"/>
  <c r="AZ118" i="35" s="1"/>
  <c r="AS58" i="35"/>
  <c r="AX58" i="35" s="1"/>
  <c r="AZ58" i="35" s="1"/>
  <c r="AV105" i="35"/>
  <c r="AW105" i="35" s="1"/>
  <c r="AZ105" i="35" s="1"/>
  <c r="AS45" i="35"/>
  <c r="AX45" i="35" s="1"/>
  <c r="AZ45" i="35" s="1"/>
  <c r="AV119" i="35"/>
  <c r="AW119" i="35" s="1"/>
  <c r="AZ119" i="35" s="1"/>
  <c r="AS59" i="35"/>
  <c r="AX59" i="35" s="1"/>
  <c r="AZ59" i="35" s="1"/>
  <c r="AV112" i="35"/>
  <c r="AW112" i="35" s="1"/>
  <c r="AZ112" i="35" s="1"/>
  <c r="AS52" i="35"/>
  <c r="AX52" i="35" s="1"/>
  <c r="AZ52" i="35" s="1"/>
  <c r="AW100" i="35"/>
  <c r="AW96" i="35"/>
  <c r="AW95" i="35"/>
  <c r="AW87" i="35"/>
  <c r="AW98" i="35"/>
  <c r="AW94" i="35"/>
  <c r="AW86" i="35"/>
  <c r="AW90" i="35"/>
  <c r="Y215" i="35"/>
  <c r="AA197" i="35"/>
  <c r="AY91" i="35" l="1"/>
  <c r="AY93" i="35"/>
  <c r="AY89" i="35"/>
  <c r="AY85" i="35"/>
  <c r="AY97" i="35"/>
  <c r="AY67" i="35"/>
  <c r="AZ67" i="35" s="1"/>
  <c r="BA67" i="35" s="1"/>
  <c r="AY88" i="35"/>
  <c r="AS60" i="35"/>
  <c r="AX60" i="35" s="1"/>
  <c r="AZ60" i="35" s="1"/>
  <c r="AX44" i="35"/>
  <c r="AZ44" i="35" s="1"/>
  <c r="AY71" i="35"/>
  <c r="AZ71" i="35" s="1"/>
  <c r="BA71" i="35" s="1"/>
  <c r="AY92" i="35"/>
  <c r="AY78" i="35"/>
  <c r="AZ78" i="35" s="1"/>
  <c r="BA78" i="35" s="1"/>
  <c r="AY99" i="35"/>
  <c r="AY69" i="35"/>
  <c r="AZ69" i="35" s="1"/>
  <c r="BA69" i="35" s="1"/>
  <c r="AY90" i="35"/>
  <c r="AY75" i="35"/>
  <c r="AZ75" i="35" s="1"/>
  <c r="BA75" i="35" s="1"/>
  <c r="AY96" i="35"/>
  <c r="AY65" i="35"/>
  <c r="AZ65" i="35" s="1"/>
  <c r="BA65" i="35" s="1"/>
  <c r="AY86" i="35"/>
  <c r="AY79" i="35"/>
  <c r="AZ79" i="35" s="1"/>
  <c r="BA79" i="35" s="1"/>
  <c r="AY100" i="35"/>
  <c r="AY73" i="35"/>
  <c r="AZ73" i="35" s="1"/>
  <c r="BA73" i="35" s="1"/>
  <c r="AY94" i="35"/>
  <c r="AY66" i="35"/>
  <c r="AZ66" i="35" s="1"/>
  <c r="BA66" i="35" s="1"/>
  <c r="AY87" i="35"/>
  <c r="AW101" i="35"/>
  <c r="AY80" i="35" s="1"/>
  <c r="AZ80" i="35" s="1"/>
  <c r="BA80" i="35" s="1"/>
  <c r="AY77" i="35"/>
  <c r="AZ77" i="35" s="1"/>
  <c r="BA77" i="35" s="1"/>
  <c r="AY98" i="35"/>
  <c r="AY74" i="35"/>
  <c r="AZ74" i="35" s="1"/>
  <c r="BA74" i="35" s="1"/>
  <c r="AY95" i="35"/>
  <c r="AY101" i="35" l="1"/>
</calcChain>
</file>

<file path=xl/sharedStrings.xml><?xml version="1.0" encoding="utf-8"?>
<sst xmlns="http://schemas.openxmlformats.org/spreadsheetml/2006/main" count="7804" uniqueCount="803">
  <si>
    <t>Basbelopp</t>
  </si>
  <si>
    <t>2013, euro per inv.</t>
  </si>
  <si>
    <t>Socialvård</t>
  </si>
  <si>
    <t>0-6</t>
  </si>
  <si>
    <t>7-64</t>
  </si>
  <si>
    <t>65-74</t>
  </si>
  <si>
    <t>75-84</t>
  </si>
  <si>
    <t>85+</t>
  </si>
  <si>
    <t>Brändö</t>
  </si>
  <si>
    <t>Eckerö</t>
  </si>
  <si>
    <t>Finström</t>
  </si>
  <si>
    <t>Föglö</t>
  </si>
  <si>
    <t>Geta</t>
  </si>
  <si>
    <t>Hammarland</t>
  </si>
  <si>
    <t>Jomala</t>
  </si>
  <si>
    <t>Kumlinge</t>
  </si>
  <si>
    <t>Kökar</t>
  </si>
  <si>
    <t>Lemland</t>
  </si>
  <si>
    <t>Lumparland</t>
  </si>
  <si>
    <t>Saltvik</t>
  </si>
  <si>
    <t>Sottunga</t>
  </si>
  <si>
    <t>Sund</t>
  </si>
  <si>
    <t>Vårdö</t>
  </si>
  <si>
    <t>Mariehamn</t>
  </si>
  <si>
    <t>Åland</t>
  </si>
  <si>
    <t>18-64</t>
  </si>
  <si>
    <t>20-64</t>
  </si>
  <si>
    <t>Tot. Åland</t>
  </si>
  <si>
    <t>Kvoter</t>
  </si>
  <si>
    <t>Skillnad kvot-medel</t>
  </si>
  <si>
    <t>Antal personer d gäller</t>
  </si>
  <si>
    <t>Utbetalning</t>
  </si>
  <si>
    <t>Summa</t>
  </si>
  <si>
    <t>Summa:</t>
  </si>
  <si>
    <t>Totalt:</t>
  </si>
  <si>
    <t>Tot/inv</t>
  </si>
  <si>
    <t>Kontroll</t>
  </si>
  <si>
    <t>från asub 2014.4</t>
  </si>
  <si>
    <t>..</t>
  </si>
  <si>
    <t>Regression:</t>
  </si>
  <si>
    <t>Kost.</t>
  </si>
  <si>
    <t>kontroll, summa:</t>
  </si>
  <si>
    <t>kontroll, :</t>
  </si>
  <si>
    <t>Inv</t>
  </si>
  <si>
    <t>Inivånarantal</t>
  </si>
  <si>
    <t>Kost/inv</t>
  </si>
  <si>
    <t>Modell, utjämning socialvård</t>
  </si>
  <si>
    <t>Kvot mot hela Åland</t>
  </si>
  <si>
    <t>Inv. Antal (1.1.2012)</t>
  </si>
  <si>
    <t>*Socialvård</t>
  </si>
  <si>
    <t>Landskapsandelar för 2013</t>
  </si>
  <si>
    <t>Kostnad per invånare mot storlek på kommunen, för fyra år.</t>
  </si>
  <si>
    <t>Ser ingen större skillnad för kommuner över ca 600 invånare, förutom Sund som har exceptionellt höga kostnader per invånare. Varför? Eckerö i samma storleksordning har ju mycket lägre kostnader per invånare.</t>
  </si>
  <si>
    <t>Nedanstående regression tar även hänsyn till specialområdena, dvs alla kostnader inom socialvården, mot kostnader per invånare.</t>
  </si>
  <si>
    <t>Tot'</t>
  </si>
  <si>
    <t>Befolkning, sista varje år. Så för att få bef 1.1.2012 tas alltså 2011 års siffror.</t>
  </si>
  <si>
    <t>Dölj</t>
  </si>
  <si>
    <t>Nya ls-systemet</t>
  </si>
  <si>
    <t>Äldre lssystemet</t>
  </si>
  <si>
    <t>Skillnad%</t>
  </si>
  <si>
    <t>Jämförelse med äldre systemet, då utan inräkning av specialområdena.</t>
  </si>
  <si>
    <t>Det känns som att ovanstående regression är mer relevant än nedanstående, speciellt då vi ämnar göra en "total utjämning" där specialområdena finansieras solidariskt mellan kommuner.</t>
  </si>
  <si>
    <t>Tar man istället regression utan kommuner för mindre än ca 625 invånare så ser det lite annorlunda ut.</t>
  </si>
  <si>
    <t>1. Regression, utan specialområden</t>
  </si>
  <si>
    <t>2. Regression, med specialområden</t>
  </si>
  <si>
    <t>Modell, total solidarisk utjämning av specialområden</t>
  </si>
  <si>
    <t>Åldersgrupper</t>
  </si>
  <si>
    <t>5-70</t>
  </si>
  <si>
    <t>71+</t>
  </si>
  <si>
    <t>0-4</t>
  </si>
  <si>
    <t>Elever STR</t>
  </si>
  <si>
    <t>Kvot 5-70</t>
  </si>
  <si>
    <t>*Träningsundervisning</t>
  </si>
  <si>
    <t>*Svenska för inflyttade</t>
  </si>
  <si>
    <t>Summa kostnader</t>
  </si>
  <si>
    <t>Ersätts, delas ut:</t>
  </si>
  <si>
    <t>Ersätts solidariskt</t>
  </si>
  <si>
    <t>Kommunernas självrisk</t>
  </si>
  <si>
    <t>Betalas solidariskt</t>
  </si>
  <si>
    <t>En  i ålder 5-70 kostar i sjlvrisk</t>
  </si>
  <si>
    <t>Betalning/ersättning</t>
  </si>
  <si>
    <t>Totalt</t>
  </si>
  <si>
    <t>*summa barnsk, specialomsorg, handikapp, missbrukar,</t>
  </si>
  <si>
    <t>Utbetalas(positivt)/dras av(negativt)</t>
  </si>
  <si>
    <t>(specialdelar,nya)</t>
  </si>
  <si>
    <t>Euro, utdelning</t>
  </si>
  <si>
    <t>Utan kompensationer, samarbetsstöd.</t>
  </si>
  <si>
    <t>Handikappservice</t>
  </si>
  <si>
    <t>Övrig socialvård</t>
  </si>
  <si>
    <t>Addera med</t>
  </si>
  <si>
    <t>Vilket år?</t>
  </si>
  <si>
    <t>Antal 7-64 Åringar</t>
  </si>
  <si>
    <t>Andel i åldern 5-70 av hela Ål.bef</t>
  </si>
  <si>
    <t>Andel av hela Åland, tot bef</t>
  </si>
  <si>
    <t>special</t>
  </si>
  <si>
    <t>*Specialomsorg</t>
  </si>
  <si>
    <t>*Missbrukarvård</t>
  </si>
  <si>
    <t>Uträkningar och dataförklaring</t>
  </si>
  <si>
    <t>Förklaringar och härledning av nedanstående uträkningar, se nedan(dolda rader):</t>
  </si>
  <si>
    <t>Siktar på utjämning mellan kommunerna, på basen av andelen personer i kommunen. Andel personer i ålder 5-70 anger hur mycket som kommunen således "borde" betala av hela Ålands kostnader.</t>
  </si>
  <si>
    <t>KOSTNAD STR</t>
  </si>
  <si>
    <t>Modell, grundskola</t>
  </si>
  <si>
    <t xml:space="preserve">Geta </t>
  </si>
  <si>
    <t>Intervall, personer</t>
  </si>
  <si>
    <t>MODELL, ändra här i intervall, ersättnignsgrad, så så ändrar allt i slutet sen. Kan expereimentera med olika intervall och ersättningsgrad</t>
  </si>
  <si>
    <t>2013 års</t>
  </si>
  <si>
    <t>Euro</t>
  </si>
  <si>
    <t>Inv.antal kommun i 6-15</t>
  </si>
  <si>
    <t>Antal</t>
  </si>
  <si>
    <t>Ersättningsgrad</t>
  </si>
  <si>
    <t>0-40</t>
  </si>
  <si>
    <t>40-60</t>
  </si>
  <si>
    <t>60-80</t>
  </si>
  <si>
    <t>80-100</t>
  </si>
  <si>
    <t>100-150</t>
  </si>
  <si>
    <t>150-200</t>
  </si>
  <si>
    <t>200-250</t>
  </si>
  <si>
    <t>250-350</t>
  </si>
  <si>
    <t>350-450</t>
  </si>
  <si>
    <t>450-650</t>
  </si>
  <si>
    <t>650-2000</t>
  </si>
  <si>
    <t>---&gt;</t>
  </si>
  <si>
    <t>Intervall</t>
  </si>
  <si>
    <t>Inv. 6-15</t>
  </si>
  <si>
    <t>Sätt in bef:</t>
  </si>
  <si>
    <t>----&gt;</t>
  </si>
  <si>
    <t>Obs, kommunordningen olik</t>
  </si>
  <si>
    <t>Inv. Antal 1.1.2012 sista</t>
  </si>
  <si>
    <t xml:space="preserve">Sottunga </t>
  </si>
  <si>
    <t>Utbetalning, tot euro</t>
  </si>
  <si>
    <t>Gamla lsandelar, 2013 bara grundskola</t>
  </si>
  <si>
    <t>Skillnad,%</t>
  </si>
  <si>
    <t>Ny, Euro/inv</t>
  </si>
  <si>
    <t>Finström (BG4)</t>
  </si>
  <si>
    <t>Jomala (BG5)</t>
  </si>
  <si>
    <t>Mariehamn (BG8)</t>
  </si>
  <si>
    <t>Kontr.</t>
  </si>
  <si>
    <t>Skillnaden i % ovan är mest intressant för att se vem som gynnas/missgynans av detta system. Har inte tagit hänsyn till träningsundervisning i gamla siffrorna.</t>
  </si>
  <si>
    <t>Tot antal</t>
  </si>
  <si>
    <t>2012 års</t>
  </si>
  <si>
    <t>Inv. Antal 1.1.2011 sista</t>
  </si>
  <si>
    <t>Gamla lsandelar, 2012 bara grundskola</t>
  </si>
  <si>
    <t>Kontroller</t>
  </si>
  <si>
    <t>2011 års</t>
  </si>
  <si>
    <t>Inv. Antal 1.1.2010 sista</t>
  </si>
  <si>
    <t>Gamla lsandelar, 2011 bara grundskola</t>
  </si>
  <si>
    <t>Grundskola antal inv.</t>
  </si>
  <si>
    <t>6-15</t>
  </si>
  <si>
    <t>Kostnad grundskola 1000tals</t>
  </si>
  <si>
    <t>STR, antal elever</t>
  </si>
  <si>
    <t>Ndk, skillnad</t>
  </si>
  <si>
    <t>Ndk</t>
  </si>
  <si>
    <t>Ndk baserad på Åsubs uträkning, se bild ovan.</t>
  </si>
  <si>
    <t>Antal elever kommer från LRs (lindbloms) utdelning av LS-andelar för detta</t>
  </si>
  <si>
    <t>Kostnad grundskola MINUS STR (antal elever gånger Ndk)</t>
  </si>
  <si>
    <t>Inv.antal</t>
  </si>
  <si>
    <t>Kostnad utan STR</t>
  </si>
  <si>
    <t>Kostnad/inv utan STR</t>
  </si>
  <si>
    <t>Kostnad eurohela Åland</t>
  </si>
  <si>
    <t>Vad som läggs på Basbelopp</t>
  </si>
  <si>
    <t>Regressionsbakgrund</t>
  </si>
  <si>
    <t>Kostn/inv.</t>
  </si>
  <si>
    <t>Nytt basbelopp för grundskola, tillägger STR (träningsundervisning)</t>
  </si>
  <si>
    <t>Ndk, skillnad!</t>
  </si>
  <si>
    <t>Extra kostnad STR, hela Åland</t>
  </si>
  <si>
    <t>Invånarantal (för 2013 gäller 2011 års invånartal.. Ty eftersläpning osv)</t>
  </si>
  <si>
    <t>Nytt basbeloppstillägg: Kostnad hela Åland / antal elever 6-15 hela Åland.</t>
  </si>
  <si>
    <t>Basbeloppstillägg:</t>
  </si>
  <si>
    <t>*Barnskydd(212,217)</t>
  </si>
  <si>
    <t>Total</t>
  </si>
  <si>
    <t>Kostnader att dela på 2013</t>
  </si>
  <si>
    <t>*Handikappvård (asub 2014.4)</t>
  </si>
  <si>
    <t>Kostnader, uppräknade(2013 ndk)</t>
  </si>
  <si>
    <t>Euro, utdelas:</t>
  </si>
  <si>
    <t>Inkomstsidan</t>
  </si>
  <si>
    <t>Skolsektor</t>
  </si>
  <si>
    <t>Utjämning</t>
  </si>
  <si>
    <t>Kostnadsutjämning</t>
  </si>
  <si>
    <t>Strukturer</t>
  </si>
  <si>
    <t>Skärgårdstillägg</t>
  </si>
  <si>
    <t>Egenandelar</t>
  </si>
  <si>
    <t>"Intäkter" Lsandelar</t>
  </si>
  <si>
    <t>Ndk Skola</t>
  </si>
  <si>
    <t>Ndk Socialvård</t>
  </si>
  <si>
    <t>Totala egenandelar</t>
  </si>
  <si>
    <t>Totala skatteintätker</t>
  </si>
  <si>
    <t>Totala intäkter/Tot kost</t>
  </si>
  <si>
    <t>Skillnad mot äldre</t>
  </si>
  <si>
    <t>LS-system, 2013</t>
  </si>
  <si>
    <t>Kalkylering</t>
  </si>
  <si>
    <t>siffror från 2011</t>
  </si>
  <si>
    <t>skatteprocent från 2011</t>
  </si>
  <si>
    <t>Inkomstutjämning, kalkylering</t>
  </si>
  <si>
    <t>Besk. Medel</t>
  </si>
  <si>
    <t xml:space="preserve">Besk, ink. </t>
  </si>
  <si>
    <t>per inv.</t>
  </si>
  <si>
    <t>Gm. Skatt</t>
  </si>
  <si>
    <t>Skatteinkomster</t>
  </si>
  <si>
    <t>Utj gräns</t>
  </si>
  <si>
    <t>&lt;&lt;Skatteinkomster, ber</t>
  </si>
  <si>
    <t>Smf. Mdl/inv</t>
  </si>
  <si>
    <t>&lt;&lt;Skatteinkomster, smf utbetl</t>
  </si>
  <si>
    <t>&lt;&lt;Skatteprocent, 2011</t>
  </si>
  <si>
    <t>skatt som räknas med.</t>
  </si>
  <si>
    <t>Skillnad mot gräns</t>
  </si>
  <si>
    <t>Utbetalas (90procent)</t>
  </si>
  <si>
    <t>blir ju så att de med från början högre skattprocent kan tjäna på att sänka den, får således mer lsandelar... Om vi har som i nu läget.</t>
  </si>
  <si>
    <t>kunde tänka sig använda som norge att man får lägre ersättning högre upp i kurvan...</t>
  </si>
  <si>
    <t>Beräkning</t>
  </si>
  <si>
    <t>Resultat</t>
  </si>
  <si>
    <t>Euro, lsdelar per inv.</t>
  </si>
  <si>
    <t>Utr.</t>
  </si>
  <si>
    <t>Nytt</t>
  </si>
  <si>
    <t>Gammal</t>
  </si>
  <si>
    <t>Bef.</t>
  </si>
  <si>
    <t>tot. Euro</t>
  </si>
  <si>
    <t>Skillnad, totala siffror</t>
  </si>
  <si>
    <t>Nytt system</t>
  </si>
  <si>
    <t>LS-Andelar</t>
  </si>
  <si>
    <t>Skillnad</t>
  </si>
  <si>
    <t>euro/invånare</t>
  </si>
  <si>
    <t>totalt euro</t>
  </si>
  <si>
    <t>%</t>
  </si>
  <si>
    <t>Övriga delar</t>
  </si>
  <si>
    <t>Alla delar euro</t>
  </si>
  <si>
    <t>*Lö till Lö 22/10: Utför kontroller på varje helhetsdel med +/- och summa</t>
  </si>
  <si>
    <t>Tilägg på 15 procent</t>
  </si>
  <si>
    <t>Skola</t>
  </si>
  <si>
    <t>Social</t>
  </si>
  <si>
    <t>Soc, spec</t>
  </si>
  <si>
    <t>LS-andelar, äldre syst</t>
  </si>
  <si>
    <t>Inv. 1.1.2012</t>
  </si>
  <si>
    <t>ska användas</t>
  </si>
  <si>
    <t>*Övrig socialvård (290)</t>
  </si>
  <si>
    <t>*Missbrukarvård (245)</t>
  </si>
  <si>
    <t>*Specialomsorg (230)</t>
  </si>
  <si>
    <t>ANTAL Elever STR</t>
  </si>
  <si>
    <t>*Handikappvård 2011(asub 2014.4)</t>
  </si>
  <si>
    <t>Invånare 1.1. samma år, dvs 1.1.2008 för 2008 och 1.1.2013 för 2013.</t>
  </si>
  <si>
    <t>Beskattningsbar inkomst/ invånare</t>
  </si>
  <si>
    <t>Smfskatter / invånare. Utbetalning</t>
  </si>
  <si>
    <t>Ok, kontrollerat. (12/10)</t>
  </si>
  <si>
    <t>Skatteprocent</t>
  </si>
  <si>
    <t>Beskbar inkomst/inv</t>
  </si>
  <si>
    <t>MEDEL</t>
  </si>
  <si>
    <t>Smfskatt/inv</t>
  </si>
  <si>
    <t>Skatte%</t>
  </si>
  <si>
    <t>^Åland</t>
  </si>
  <si>
    <t>Beskattnignsbar inkomst, Medel:</t>
  </si>
  <si>
    <t>kolla upp om medel kan göras såhär</t>
  </si>
  <si>
    <t>Beskattnignsbar inkomst, Medel x1,10:</t>
  </si>
  <si>
    <t>Smfskatter/medel</t>
  </si>
  <si>
    <t>Medelskatte%</t>
  </si>
  <si>
    <t>Utjämningsgräns:</t>
  </si>
  <si>
    <t>Utjämningsgränsx1,10</t>
  </si>
  <si>
    <t>Variant 1, baserat på "beräknad inkomst" inklusive smfsskatter och variant med x1,10</t>
  </si>
  <si>
    <t>Variant 2: Baserat på medel beskattningsbar inkomst, utan smfskatt (hur hantera dem i detta system)</t>
  </si>
  <si>
    <t>Beräknade skatteinkomster, inklusive reella smfskatter</t>
  </si>
  <si>
    <t>Skillnad, beskattningsbar inkomst och medel beskattningsbar inkomst.</t>
  </si>
  <si>
    <t>Skillnad, beskattningsbar inkomst och medel beskattningsbar inkomst. (x110)</t>
  </si>
  <si>
    <t>Utbetalas per inv., gm skatte% om den egna är högre.</t>
  </si>
  <si>
    <t>Utbetalas per invånare, x110</t>
  </si>
  <si>
    <t>Skillnad, Utjämningsgräns mot beräknade inkomster</t>
  </si>
  <si>
    <t>Skillnad, Utj.gr. mot ber. inkomster (x1,1)</t>
  </si>
  <si>
    <t>Utbetalning  per inv.(90 procent)</t>
  </si>
  <si>
    <t>Utbetalning  per inv (90 %) av x1,10</t>
  </si>
  <si>
    <t>Totalt, Eur</t>
  </si>
  <si>
    <t>Totalt, Eur 1,10</t>
  </si>
  <si>
    <t>Totalt euro</t>
  </si>
  <si>
    <t>Totalt euro x110</t>
  </si>
  <si>
    <t>Skattekomplettering (x110)</t>
  </si>
  <si>
    <t>geta rätt? Ty KST ber. (RL 1810)</t>
  </si>
  <si>
    <t>Kostnader, uppräknade(2011 ndk)</t>
  </si>
  <si>
    <t>skärgårdstillägg t tillkommer för skärgårdskommuner</t>
  </si>
  <si>
    <t>belopp</t>
  </si>
  <si>
    <t>procent</t>
  </si>
  <si>
    <t>Inv. Antal</t>
  </si>
  <si>
    <t>Kostnad</t>
  </si>
  <si>
    <t>Kostnad/inv</t>
  </si>
  <si>
    <t>bild1</t>
  </si>
  <si>
    <t>bild3</t>
  </si>
  <si>
    <t>Regression med kostnader utan träningsundervisning</t>
  </si>
  <si>
    <t>1. Regressionsanalys för kostnader euro/invånare för åldersgruppen 6-15 inom grundskola, utom den särskilda träningsundervisnignen. Kostnader för åländska kommunerna för 4 år.</t>
  </si>
  <si>
    <t>Kost. Äldre</t>
  </si>
  <si>
    <t>Kost Äldre/inv</t>
  </si>
  <si>
    <t>Kost Barn/inv</t>
  </si>
  <si>
    <t>Kostnader Äldreomsorg (1000-tals euro)</t>
  </si>
  <si>
    <t>Kostnader Barnomsorg (1000-tals euro)</t>
  </si>
  <si>
    <t>Barnomsorg:(ndk nr  204, 205,207 från åsubs statistk)</t>
  </si>
  <si>
    <t>Barnomsorg i daghem</t>
  </si>
  <si>
    <t>Familjedagvård för barn</t>
  </si>
  <si>
    <t>Övrig barndagvård</t>
  </si>
  <si>
    <t>Definitioner: Från Åsubs statistik:</t>
  </si>
  <si>
    <t>Åland tot</t>
  </si>
  <si>
    <t>kontroll</t>
  </si>
  <si>
    <t>Kost. Barn (1000-tals eujro)</t>
  </si>
  <si>
    <t>Invånarantal 0-6</t>
  </si>
  <si>
    <t>Invånare 0-6</t>
  </si>
  <si>
    <t>Inv.antal 6-15</t>
  </si>
  <si>
    <t>Invånarantal 65+</t>
  </si>
  <si>
    <t>utgår ty 0 invåanre i 0-6 för barnomsorg</t>
  </si>
  <si>
    <t>utgår ty 1 invånare och 0 kostnader i barnomsorg</t>
  </si>
  <si>
    <t>Åland tot 0-6</t>
  </si>
  <si>
    <t>Invånare 65+</t>
  </si>
  <si>
    <t>Åland tot 65+</t>
  </si>
  <si>
    <t>Kostnader Äldreomsorg (220,225,235,240)</t>
  </si>
  <si>
    <t>Summa Åland</t>
  </si>
  <si>
    <t>Vård på åldringshem</t>
  </si>
  <si>
    <t>Vård av handikapp. på inr.</t>
  </si>
  <si>
    <t>Hemtjänst</t>
  </si>
  <si>
    <t>Annan serv. för åldr. o. handik.</t>
  </si>
  <si>
    <t>Kalkylerad Äldreomsorg</t>
  </si>
  <si>
    <t>1. Regression barnomsorg, 4 år för de åländska kommunerna</t>
  </si>
  <si>
    <t>2. Regression, äldreomsorg, 4 år för de åländska kommunerna</t>
  </si>
  <si>
    <t xml:space="preserve">(handikappvård, framräknat av ÅSUB) kostnader </t>
  </si>
  <si>
    <t>För att få äldreomsorgskostnader summeras kostnader först ihop, sedan dras handikappservicen av så att bara just äldreomsorgen ska synas.</t>
  </si>
  <si>
    <t>Hela socialvård</t>
  </si>
  <si>
    <t>KST kostnader</t>
  </si>
  <si>
    <t>kostnader</t>
  </si>
  <si>
    <t>3. Regression, utan specialområden(KST), utan kommuner under 625</t>
  </si>
  <si>
    <t>Regressionsanalys för kostnader inom socialvården, utan specialområdena (specialomsorg, barnskydd, handikappvård, missbrukarvård, övrig socialvård)</t>
  </si>
  <si>
    <t>sund</t>
  </si>
  <si>
    <t>4. Regression, kostnadder inom socialvård utan specialområden, alla kommuner utom skärgård</t>
  </si>
  <si>
    <t>5. Regression, bara KST-områdena</t>
  </si>
  <si>
    <t>bild 2</t>
  </si>
  <si>
    <t>Kost (1000-tals)</t>
  </si>
  <si>
    <t>STR (träningsundervisning), antal elever</t>
  </si>
  <si>
    <t>Regressionsanalys för ålands kommuner utom skärgården och geta/lumparland. 4 år, utan STR kostnad/invånare (6-15)</t>
  </si>
  <si>
    <t xml:space="preserve">Man ser att även för de lite "större" kommunerna så finns det ett tydligt samband i att kostnaden för de större kommunerna blir lägre. </t>
  </si>
  <si>
    <t>Om det sen beror på att de är effektivare eller helt enkelt satsar mindre på skolan i de större skolorna är ju svårt att svar på utan djupare analys.</t>
  </si>
  <si>
    <t>en viss uppfattning från mariehamns skolsektor menar att de inte har råd att satsa lika mycket, som andra kommuners skolor, på assistenter och dylikt, eftersom de får för lite LS-andelar</t>
  </si>
  <si>
    <t>1. Befolkningsuppgifter</t>
  </si>
  <si>
    <t>Bef, åldersgrupp</t>
  </si>
  <si>
    <t>1. Tillväxtbidrag</t>
  </si>
  <si>
    <t xml:space="preserve"> (ca) LS-Andelar nytt sytsem /inv</t>
  </si>
  <si>
    <t>Treårsmedel, förändring</t>
  </si>
  <si>
    <t>Befolkningsprognos, totalt (31.12 varje år) Basscenario</t>
  </si>
  <si>
    <t>Prognos</t>
  </si>
  <si>
    <t>Rell data</t>
  </si>
  <si>
    <t>Indexhöjer med 1,02 per år.-</t>
  </si>
  <si>
    <t>Utbetalning (dubbelt)</t>
  </si>
  <si>
    <t>1.1.Befolkningsuppgifter, reell data från Åsubs register</t>
  </si>
  <si>
    <t>1.2 Befolkningsprognoser</t>
  </si>
  <si>
    <t>Prognoser, 2015</t>
  </si>
  <si>
    <t>Tot bef (31.12 varje år), data och prognos</t>
  </si>
  <si>
    <t>Tot, äldre syst. tinkl alla delar och justering.</t>
  </si>
  <si>
    <t>Treårsmedel, förändring personer</t>
  </si>
  <si>
    <t>Skatteintäkter totalt 1000-tals euro</t>
  </si>
  <si>
    <t>Skatteintäkter totalt / invånare och invånrarantal 31.12 året före</t>
  </si>
  <si>
    <t>(åsub bokslut 2013)</t>
  </si>
  <si>
    <t xml:space="preserve">Totala kostander </t>
  </si>
  <si>
    <t>2013 ndk</t>
  </si>
  <si>
    <t>LS/tot int</t>
  </si>
  <si>
    <t xml:space="preserve">Variant 4, "gamla vanliga" baserat på "beräknad inkomst" inklusive smfsskatter </t>
  </si>
  <si>
    <t>Variant 2, allmänt avdrag</t>
  </si>
  <si>
    <t>Variant 3,resekostnadsavdrag</t>
  </si>
  <si>
    <t>Variant ,1 utan avdrag</t>
  </si>
  <si>
    <t>Fyran minus trean</t>
  </si>
  <si>
    <t>4 minus 1</t>
  </si>
  <si>
    <t>Variant  5, ny smfskattberäkning, med skatteören</t>
  </si>
  <si>
    <t>UTBETALNIGN PER INVÅNARE</t>
  </si>
  <si>
    <t>Var 1</t>
  </si>
  <si>
    <t>Var 2</t>
  </si>
  <si>
    <t>Var 3</t>
  </si>
  <si>
    <t>Var 4</t>
  </si>
  <si>
    <t>Var 5</t>
  </si>
  <si>
    <t>Beräkningar nedan.</t>
  </si>
  <si>
    <t>Före avdrag</t>
  </si>
  <si>
    <t>Allmänt avdrag 5%</t>
  </si>
  <si>
    <t>Dubblat resekostandsavdrag</t>
  </si>
  <si>
    <t>per invånare 2013</t>
  </si>
  <si>
    <t>Skattepliktig FI</t>
  </si>
  <si>
    <t>Beskattnignsbar FI</t>
  </si>
  <si>
    <t>Beskattningsbar FI</t>
  </si>
  <si>
    <t>Beskattningsbar inkomst</t>
  </si>
  <si>
    <t>exempel....</t>
  </si>
  <si>
    <t>Inv 1.1.2012</t>
  </si>
  <si>
    <t>Inv 1.1.2014</t>
  </si>
  <si>
    <t xml:space="preserve"> </t>
  </si>
  <si>
    <t>V1</t>
  </si>
  <si>
    <t>V2</t>
  </si>
  <si>
    <t>V3</t>
  </si>
  <si>
    <t>V4</t>
  </si>
  <si>
    <t>v5</t>
  </si>
  <si>
    <t>Per invånare 2013</t>
  </si>
  <si>
    <t>per invånare..</t>
  </si>
  <si>
    <t>smfskatter</t>
  </si>
  <si>
    <t>divmedskatte%</t>
  </si>
  <si>
    <t>per inv</t>
  </si>
  <si>
    <t>UTRÄKNINGSMODELLEN NEDANFÖR::::</t>
  </si>
  <si>
    <t>Variant 5 , allmänt avdrag1</t>
  </si>
  <si>
    <t>Samfundsskatter, totalt euro</t>
  </si>
  <si>
    <t>PER INV.</t>
  </si>
  <si>
    <t>Samfundsskatter, totalt</t>
  </si>
  <si>
    <t>MEDELTAL</t>
  </si>
  <si>
    <t>"Gamla" beräkningarna nedan  , som vi räknat förut alltså(RL 10112015)</t>
  </si>
  <si>
    <t>Kultur?</t>
  </si>
  <si>
    <t>SMFsören: Samfundsskatt / kommunens skatte%</t>
  </si>
  <si>
    <t>SmfsÖREN / invånare</t>
  </si>
  <si>
    <t>Kostnad 1000 tals euro</t>
  </si>
  <si>
    <t>Kostand/inv</t>
  </si>
  <si>
    <t>Kostnader:Medborgarinstitut, Biblioteksväsendet, idrott och friluftsliv, ungdomsväsendet, musei och utställning, teater dans och cirkus, musikverksamhet, övrig kulturverksamhet</t>
  </si>
  <si>
    <t>Kostander: 325, 350, 355, 360, 370, 375,385, 390</t>
  </si>
  <si>
    <t>ÅLAND TO</t>
  </si>
  <si>
    <t>Basbelopp:</t>
  </si>
  <si>
    <t>Kommuner</t>
  </si>
  <si>
    <t>Utbetalning per kommun totalt</t>
  </si>
  <si>
    <t>kostnad 1000 tals(UTAN MEDIS)</t>
  </si>
  <si>
    <t>medis kostnad 1000tals euro</t>
  </si>
  <si>
    <t>Medis BB:</t>
  </si>
  <si>
    <t>Identifierbara kostnader</t>
  </si>
  <si>
    <t>3. Idrott/kultur</t>
  </si>
  <si>
    <t>1. Skola</t>
  </si>
  <si>
    <t>2. Socialvård</t>
  </si>
  <si>
    <t>1. Skärgårdstillägg inom skolsektorn</t>
  </si>
  <si>
    <t>3. Skärgårdstillägg inom Idrott/kultur</t>
  </si>
  <si>
    <t>2. Skärgårdstillägg inom Socialvård</t>
  </si>
  <si>
    <t>Idrott/ungdom</t>
  </si>
  <si>
    <t>Medis</t>
  </si>
  <si>
    <t>Kalkyl</t>
  </si>
  <si>
    <t>-idrott / ungdom</t>
  </si>
  <si>
    <t>"Vanlig" modell</t>
  </si>
  <si>
    <t>dubbla resekostnads-avdrag</t>
  </si>
  <si>
    <t>Inför allmänt avdrag på 5 procent</t>
  </si>
  <si>
    <t>Inte ta hänsyn till avdrag överhuvudtaget, dvs basera underlaget på siffror som är FÖRE avdragen</t>
  </si>
  <si>
    <t>Förvärvsinkomster</t>
  </si>
  <si>
    <t>förändring, %</t>
  </si>
  <si>
    <t>därav utlandsinkomster</t>
  </si>
  <si>
    <t>Avdrag, riks-</t>
  </si>
  <si>
    <t>Avdrag för inkomstens förvärvande</t>
  </si>
  <si>
    <t>Förvärvsinkomstavdrag</t>
  </si>
  <si>
    <t>Grundavdrag</t>
  </si>
  <si>
    <t>Övr avdrag inkl  pensionsink avdrag</t>
  </si>
  <si>
    <t>Avdrag, åländska</t>
  </si>
  <si>
    <t>Resekostnadsavdrag</t>
  </si>
  <si>
    <t>Studielåneavdrag</t>
  </si>
  <si>
    <t>Sjukdomskostn.avdrag</t>
  </si>
  <si>
    <t>Studieavdrag</t>
  </si>
  <si>
    <t>Allmänt avdrag</t>
  </si>
  <si>
    <t>Avdrag, sammanlagt</t>
  </si>
  <si>
    <t>"Beskattningsbar inkomst"</t>
  </si>
  <si>
    <t>Skattesats</t>
  </si>
  <si>
    <t>Kalkylerad skatt</t>
  </si>
  <si>
    <t>Arbetsinkomstavdrag</t>
  </si>
  <si>
    <t>Övr. avdrag från skatten mm.</t>
  </si>
  <si>
    <t>Debiteras</t>
  </si>
  <si>
    <t>Den inkomst som motsvarar debiterad skatt</t>
  </si>
  <si>
    <t>MH</t>
  </si>
  <si>
    <t>2. Idrott och kultur/medis</t>
  </si>
  <si>
    <t>Befolkning. 31.12 samma år</t>
  </si>
  <si>
    <t>Baserar på siffroran på det som kallas " den inkomst som motsvarar debiterad skatt" som finns från Åsub. Se "förvskattkalk..."</t>
  </si>
  <si>
    <t>2014**</t>
  </si>
  <si>
    <t>2015**</t>
  </si>
  <si>
    <t>Inv 1.1.2013</t>
  </si>
  <si>
    <t>Inte reellt vad kommunerna får, utan siffran före utdelnignen.</t>
  </si>
  <si>
    <t>Inv. Antal 31.12 sista året (1.1 året efter)</t>
  </si>
  <si>
    <t>Två år före aktuellt år, samt 2 år före det.</t>
  </si>
  <si>
    <t>(2012 för att räkna 2014 års ls-andel, samt 2011 och 2010)</t>
  </si>
  <si>
    <t>Inv. Antal 1.1.2013 sista</t>
  </si>
  <si>
    <t>2014 års</t>
  </si>
  <si>
    <t>indexhöjer 2013 med 1,02</t>
  </si>
  <si>
    <t>Höjer basbelopp från 2013</t>
  </si>
  <si>
    <t>med 1,02</t>
  </si>
  <si>
    <t>Inv. Antal (1.1.2013)</t>
  </si>
  <si>
    <t>Landskapsandelar för 2014</t>
  </si>
  <si>
    <t>2014, euro per inv.</t>
  </si>
  <si>
    <t>Kostnader, uppräknade(2012 ndk)</t>
  </si>
  <si>
    <t>Modell, total solidarisk utjämning av specialområden 2014</t>
  </si>
  <si>
    <t>Kostnader att dela på 2014</t>
  </si>
  <si>
    <t>ANTAL Elever STR 2014?</t>
  </si>
  <si>
    <t>*Handikappvård 2012(asub 2014.4)</t>
  </si>
  <si>
    <t>(2013 för att räkna 2015 års ls-andel, samt 2012 och 2011)</t>
  </si>
  <si>
    <t>2015 års</t>
  </si>
  <si>
    <t>indexhöjer 2013 med 1,02*1,02</t>
  </si>
  <si>
    <t>Inv. Antal 1.1.2014 sista</t>
  </si>
  <si>
    <t>Inv. Antal (1.1.2014)</t>
  </si>
  <si>
    <t>2015, euro per inv.</t>
  </si>
  <si>
    <t>Landskapsandelar för 2015</t>
  </si>
  <si>
    <t xml:space="preserve">Ersättningsgrad Medis: </t>
  </si>
  <si>
    <t>Inv. 1.1.2014</t>
  </si>
  <si>
    <t>1. Skattekomplettering</t>
  </si>
  <si>
    <t>&gt;&gt;Faktor för skattekompletteringen:</t>
  </si>
  <si>
    <t>&gt;&gt;Ersättningsgrader</t>
  </si>
  <si>
    <t>Landskapsandelssystemet: Kontrollpanel för styrning av centrala faktorer som påverkar utdelningen</t>
  </si>
  <si>
    <t>A. INPUT centrala faktorer som går att ändra för att få olika utfall</t>
  </si>
  <si>
    <t>Faktor:</t>
  </si>
  <si>
    <t>3. Kalkylerade LS-andelar socialvård</t>
  </si>
  <si>
    <t>&gt;&gt;Ersättningsgrad</t>
  </si>
  <si>
    <t xml:space="preserve">   (Faktorn som multipliceras med utjämningsgränsen för att höja denna gräns)</t>
  </si>
  <si>
    <t xml:space="preserve">   (Av skillnaden mellen utjämnignsgräns och kommuens uträknade gräns)</t>
  </si>
  <si>
    <t>4. Utjämningsdel</t>
  </si>
  <si>
    <t>5. Skärgårdstillägg</t>
  </si>
  <si>
    <t>&gt;&gt;Ersättningsgrad Skola</t>
  </si>
  <si>
    <t>&gt;&gt;Ersättningsgrad Socialvård</t>
  </si>
  <si>
    <t>Faktor</t>
  </si>
  <si>
    <t>&gt;&gt;Ersättningsgrad Idrott/kultur</t>
  </si>
  <si>
    <t>6. Övriga delar</t>
  </si>
  <si>
    <t>&gt;&gt;Tillväxtbidrag</t>
  </si>
  <si>
    <t>&gt;&gt;Ersättnignsgrad Idrott/kultur</t>
  </si>
  <si>
    <t>&gt;&gt;Ersättningsgrad Medis</t>
  </si>
  <si>
    <t>2. LS skola</t>
  </si>
  <si>
    <t>3. LS social</t>
  </si>
  <si>
    <t>7.TOTALT</t>
  </si>
  <si>
    <t>B. OUTPUT - LS andelar utdelning 2013-2015</t>
  </si>
  <si>
    <t>C. OUTPUT - Nyckeltal att jämföras</t>
  </si>
  <si>
    <t>Totala kostander  ndK</t>
  </si>
  <si>
    <t>Ersättningsgrad,</t>
  </si>
  <si>
    <t xml:space="preserve">Ersättnignsgrad medis: </t>
  </si>
  <si>
    <t>Tilägg på lika mycket till</t>
  </si>
  <si>
    <t>Ersättningsgrad:</t>
  </si>
  <si>
    <t>Ersättnignsgrad medis:</t>
  </si>
  <si>
    <t>Tillägg på lika mycket till, dubbelt</t>
  </si>
  <si>
    <t>Inv. 1.1.2013</t>
  </si>
  <si>
    <t>inget</t>
  </si>
  <si>
    <t>Se till höger ----------------------&gt;</t>
  </si>
  <si>
    <t>A: Input - kontrollerar olika variabler</t>
  </si>
  <si>
    <t>B: Output - Lsandelar för aktuella åren</t>
  </si>
  <si>
    <t>C: Output - Nyckeltalsjämförelser.</t>
  </si>
  <si>
    <t>Gamla LS-systnt</t>
  </si>
  <si>
    <t>"Gamla systemet"</t>
  </si>
  <si>
    <t>LS+Skatt/Tot kostn</t>
  </si>
  <si>
    <t>Skillnad mot föregående syst</t>
  </si>
  <si>
    <t>LS+skatt/tot kost</t>
  </si>
  <si>
    <t>Utan utjämning</t>
  </si>
  <si>
    <t>Ndk grundskola</t>
  </si>
  <si>
    <t>Borttagen just nu.</t>
  </si>
  <si>
    <t>Tot. gamla LS-systnt</t>
  </si>
  <si>
    <t>Utan Komp, gamla syst</t>
  </si>
  <si>
    <t>Utan utj, ut komp</t>
  </si>
  <si>
    <t>Utan utj, komp</t>
  </si>
  <si>
    <t>LS/tot skatt.int</t>
  </si>
  <si>
    <t>LS/tot kost</t>
  </si>
  <si>
    <t>Ålands statistik- och utredningsbyrå</t>
  </si>
  <si>
    <t>Skattesatser för kommunal inkomstskatt 1998-2016</t>
  </si>
  <si>
    <t>Kommun</t>
  </si>
  <si>
    <t>Landskomm.</t>
  </si>
  <si>
    <t>-Landsbygden</t>
  </si>
  <si>
    <t>-Skärgården</t>
  </si>
  <si>
    <t>Fotnot: Uppgifterna för den genomsnittliga kommunalskattesatsen är reviderade</t>
  </si>
  <si>
    <t>Källa: ÅSUB Offentlig ekonomi</t>
  </si>
  <si>
    <t>Uppdaterad 18.11.2015</t>
  </si>
  <si>
    <t>kontroll 12/12/15</t>
  </si>
  <si>
    <t>Åsub hemsida exempelvis</t>
  </si>
  <si>
    <t>Åsub hemsida, OK</t>
  </si>
  <si>
    <t>kontroll ok</t>
  </si>
  <si>
    <t>okontrollerad, kolla upp!</t>
  </si>
  <si>
    <t>Varifrån ska jag ta uppgifter?</t>
  </si>
  <si>
    <t>beskattningsbar inkomst? Skiljer sig mot bokslutsstatistik. (senaste gröna boken från åsub)</t>
  </si>
  <si>
    <t>skiljer sig från bokslut samt från de siffror jag fått av KATARINA</t>
  </si>
  <si>
    <t>OK/RL121215</t>
  </si>
  <si>
    <t>behöver kontroll 12/12/15</t>
  </si>
  <si>
    <t>ok 12/12/15</t>
  </si>
  <si>
    <t>ok 121215</t>
  </si>
  <si>
    <t>använder dessa siffror:</t>
  </si>
  <si>
    <t xml:space="preserve">bör kontrolleras </t>
  </si>
  <si>
    <t>bör kontrolleras, ty vilka siffror använda</t>
  </si>
  <si>
    <t>Beräknade skatteinkomster, inklusive beräknade skatteören för smfskatter</t>
  </si>
  <si>
    <t>Beräknade skatteinkomster, inklusiveberäknade skatteören för smfskatter</t>
  </si>
  <si>
    <t>ok rl 121215</t>
  </si>
  <si>
    <t>bör kollas...</t>
  </si>
  <si>
    <t>Kalkylerad skatt, 1000 tals</t>
  </si>
  <si>
    <t>"Beskattningsbar inkomst" 1000-tals</t>
  </si>
  <si>
    <t>inkomst som motsvarar debiterad skatt, 1000-tals</t>
  </si>
  <si>
    <t>Kalkylerad skatt, 1000 tals ((INTE skatteintäkter)))</t>
  </si>
  <si>
    <t>OBSERVERA SKILLNADER PÅ VILKA TOTALSIFFROR MAN ANVÄNDER HÄR</t>
  </si>
  <si>
    <t>SKILJER SIG OM MAN SUMMERAR VARJE KOMMUN VAR FÖR SIG ELLER OM MAN TAR SLUTSUMMA FÖR ÅLAN</t>
  </si>
  <si>
    <t>GÅNGER PROCENTSATS</t>
  </si>
  <si>
    <t>utan vägd</t>
  </si>
  <si>
    <t>Tot, äldre syst. tinkl utan kompensationer</t>
  </si>
  <si>
    <t>Äldre syst, Euro/inv</t>
  </si>
  <si>
    <t>LS-system, 2014</t>
  </si>
  <si>
    <t>Tot, äldre syst. tinkl alla delar och justering utan komp</t>
  </si>
  <si>
    <t>LS-system, 2015</t>
  </si>
  <si>
    <t>skattesats</t>
  </si>
  <si>
    <t>Skatteintäkter</t>
  </si>
  <si>
    <t>Nya lsandelar</t>
  </si>
  <si>
    <t>gammal SK.FI</t>
  </si>
  <si>
    <t>ny SK.FI</t>
  </si>
  <si>
    <t>Åland total</t>
  </si>
  <si>
    <t>Gamla lsandelar (utan komp)</t>
  </si>
  <si>
    <t>BP-index:</t>
  </si>
  <si>
    <t>75-85</t>
  </si>
  <si>
    <t>obs 0</t>
  </si>
  <si>
    <t>basbelopp</t>
  </si>
  <si>
    <t>inkl str</t>
  </si>
  <si>
    <t>&gt;&gt;Basbelopp</t>
  </si>
  <si>
    <t>Ersättningsgrader</t>
  </si>
  <si>
    <t>bokslut</t>
  </si>
  <si>
    <t>indexerar kostnaderna med BPI för att få 2015 kostnader</t>
  </si>
  <si>
    <t>index.</t>
  </si>
  <si>
    <t>indexerar bokslut</t>
  </si>
  <si>
    <t>Skillnader</t>
  </si>
  <si>
    <t>Ls/kost</t>
  </si>
  <si>
    <t>ls+skatt/kost</t>
  </si>
  <si>
    <t>från kst 19 434 000</t>
  </si>
  <si>
    <t>från kst 19 213 000</t>
  </si>
  <si>
    <t>STR -basbelopp</t>
  </si>
  <si>
    <t>*andel av socialförvaltning 2012 ndk</t>
  </si>
  <si>
    <t>*andel av soc. Förvltning (201, del av)</t>
  </si>
  <si>
    <t>från kst, soc förvl.</t>
  </si>
  <si>
    <t>rätt /RL 21/12/15)</t>
  </si>
  <si>
    <t>*andel av soc förvaltning,del av (201) 2011 ndk</t>
  </si>
  <si>
    <t>kst 2011,siffror.(ty fel i specialomsrog I kstmodellen), dvs rätt ovan med 17 399, förutom avrundnignsfel på 2000</t>
  </si>
  <si>
    <t>OUTPUT E: SKATTEFINANSIERING</t>
  </si>
  <si>
    <t>E: Output - SKATTEFINANSIERING</t>
  </si>
  <si>
    <t>OUTPUT D: Jämförelser euro per invånare, och totalsummor</t>
  </si>
  <si>
    <t>Output D: Jämförelser euro per invånare, och totalsummor</t>
  </si>
  <si>
    <t>Tot, äldre syst.  utan kompensationer</t>
  </si>
  <si>
    <t xml:space="preserve">  </t>
  </si>
  <si>
    <t>Index för jämförelse</t>
  </si>
  <si>
    <t>Indexerar upp!</t>
  </si>
  <si>
    <t>Skillnad, UTAN kompensationer</t>
  </si>
  <si>
    <t>INDEXERADE</t>
  </si>
  <si>
    <t>INDEX, nytt</t>
  </si>
  <si>
    <t>Indexerar upp nya systemet för att underlätta jämförelser mellan kommuner, slutsumman är dock TBD</t>
  </si>
  <si>
    <t>(obs, saknas 185 000)</t>
  </si>
  <si>
    <t>(Extra i KST mot andra versionen)</t>
  </si>
  <si>
    <t xml:space="preserve">Kommentarer: </t>
  </si>
  <si>
    <t>Saknas 185 000 euro i eckerös specialomsorgskostnader</t>
  </si>
  <si>
    <t>Indexerar upp LS-andelar för att få mer rättvis jämförelse mellan kommuner och mellan gamla LS-syst och nya ls-syst</t>
  </si>
  <si>
    <t>Indexerar upp intäkter från 2014 till 2015, ty saknas uppgifter</t>
  </si>
  <si>
    <t>(tagit bort 185 000 på eckerö)</t>
  </si>
  <si>
    <t>FÖR kostnader i nettodriftskostnader skriv 2, för kostnader i NYCKELMODELL skriv 1 eller annat</t>
  </si>
  <si>
    <t>Saknas kostnader enligt nyckelmodell för 2014 och 2015, observera de brister som det innebär i jämförelser i output C mellan kostnader och LS-andelar</t>
  </si>
  <si>
    <t>Nettodriftskostnader, totalt</t>
  </si>
  <si>
    <t>KST nyckelmodellskostnader</t>
  </si>
  <si>
    <t>ofördelat</t>
  </si>
  <si>
    <t>fördelat</t>
  </si>
  <si>
    <t>index</t>
  </si>
  <si>
    <t>utan index</t>
  </si>
  <si>
    <t>yta</t>
  </si>
  <si>
    <t>ta från vero.fi</t>
  </si>
  <si>
    <t>Källa: Åsub, OK 29/01 /16</t>
  </si>
  <si>
    <t>ERSÄTTNgrad</t>
  </si>
  <si>
    <t>inkl str.. Ändra?</t>
  </si>
  <si>
    <t>inv tot.</t>
  </si>
  <si>
    <t>inv/km2</t>
  </si>
  <si>
    <t>Referensyta</t>
  </si>
  <si>
    <t>kostnad/inv i grundksla</t>
  </si>
  <si>
    <t>Avstånd</t>
  </si>
  <si>
    <t>bytte 2015</t>
  </si>
  <si>
    <t xml:space="preserve">jomala bytte </t>
  </si>
  <si>
    <t>lemland byter ca 2020</t>
  </si>
  <si>
    <t>geta kanske sjunker</t>
  </si>
  <si>
    <t>Kostnad 2013, ndk grundskola 305</t>
  </si>
  <si>
    <t>Antal elever 6-15</t>
  </si>
  <si>
    <t>Kostnad 2011</t>
  </si>
  <si>
    <t>Upp till 40</t>
  </si>
  <si>
    <t>Utbetalning. OM Basbelopp * INV * FAKTOR</t>
  </si>
  <si>
    <t>Belopp 1</t>
  </si>
  <si>
    <t>Belopp 2</t>
  </si>
  <si>
    <t>Belopp 3</t>
  </si>
  <si>
    <t>Belopp 4</t>
  </si>
  <si>
    <t>YTTERSKÄRGÅRDSTILLÄGG</t>
  </si>
  <si>
    <t>Ytterskärgård: Brändö, kumlinge, kökar, sottunga</t>
  </si>
  <si>
    <t>Ytterskärgårdstillägg</t>
  </si>
  <si>
    <t>0-60</t>
  </si>
  <si>
    <t>ersättningsgrad, tillägg</t>
  </si>
  <si>
    <t>ersättningsgrad, total</t>
  </si>
  <si>
    <t>Ytterskärgård</t>
  </si>
  <si>
    <t>Skärgård</t>
  </si>
  <si>
    <t>FI,SU,GET</t>
  </si>
  <si>
    <t>Lem+Lump</t>
  </si>
  <si>
    <t>3. Yta</t>
  </si>
  <si>
    <t>euro/inv</t>
  </si>
  <si>
    <t>total</t>
  </si>
  <si>
    <t>under 21 km2</t>
  </si>
  <si>
    <t>under 31</t>
  </si>
  <si>
    <t>under 61</t>
  </si>
  <si>
    <t>under 121</t>
  </si>
  <si>
    <t>euro/täthet</t>
  </si>
  <si>
    <t>NDK</t>
  </si>
  <si>
    <t xml:space="preserve">LS-andelar för KST enligt dagens modell: </t>
  </si>
  <si>
    <t>Egenandel (ndk minus "Lsandel för kst" gamla systemet)</t>
  </si>
  <si>
    <t>Kostnader enligt KST</t>
  </si>
  <si>
    <t>hälften</t>
  </si>
  <si>
    <t>hälften enlgigt solidarisk och skattekraft</t>
  </si>
  <si>
    <t>utjämning 2012</t>
  </si>
  <si>
    <t>20 % ls-andel (vårt förslag), kostnader som är kvar</t>
  </si>
  <si>
    <t>faktorer listade</t>
  </si>
  <si>
    <t>hälften enligt olika fkatorer</t>
  </si>
  <si>
    <t>egenandel (betala själv)</t>
  </si>
  <si>
    <t>Fördelar enligt KST-nyckelmodell. Kostnaderna som är kvar efter LS-andelarna i nya systemet</t>
  </si>
  <si>
    <t>sk komp gamla syst</t>
  </si>
  <si>
    <t>Vad man betalar efter lsandelar och sk komplettering</t>
  </si>
  <si>
    <t>inv</t>
  </si>
  <si>
    <t>Att betala efter LS-andelar</t>
  </si>
  <si>
    <t>avrundningsfel</t>
  </si>
  <si>
    <t>vad varje kommun "betalar"</t>
  </si>
  <si>
    <t>skillnad mot "gamla systemet"</t>
  </si>
  <si>
    <t>skattekomplettering nya systemet</t>
  </si>
  <si>
    <t>0</t>
  </si>
  <si>
    <t>SUMMA 80 %</t>
  </si>
  <si>
    <t>SUMMA KOSTNADER 80%</t>
  </si>
  <si>
    <t>LR BETALAR</t>
  </si>
  <si>
    <t>Summa kostnader 80&amp;</t>
  </si>
  <si>
    <t>Summa kostnader 80 %</t>
  </si>
  <si>
    <t>LR ersätter</t>
  </si>
  <si>
    <t>KST, 2015</t>
  </si>
  <si>
    <t>KST, 2014</t>
  </si>
  <si>
    <t>Röda siffror så har man pengar kvar</t>
  </si>
  <si>
    <t>ndk 2012</t>
  </si>
  <si>
    <t>jfrse</t>
  </si>
  <si>
    <t>??</t>
  </si>
  <si>
    <t>LS/TOT.K</t>
  </si>
  <si>
    <t>LS/Gr/socK</t>
  </si>
  <si>
    <t>Tot, äldre syst. utan kompensationer</t>
  </si>
  <si>
    <t>OBS INDEX</t>
  </si>
  <si>
    <t>Grundskola, nettodriftskostnader</t>
  </si>
  <si>
    <t>Socialvård, nettodriftskostnader</t>
  </si>
  <si>
    <t>obs indexerat</t>
  </si>
  <si>
    <t>utan index!!!!!!!!!</t>
  </si>
  <si>
    <t>ofördelat (NDK)</t>
  </si>
  <si>
    <t>EFTER LS-andelar?</t>
  </si>
  <si>
    <t>Tot kost Förut</t>
  </si>
  <si>
    <t>Tot kost förut</t>
  </si>
  <si>
    <t>inte str</t>
  </si>
  <si>
    <t>Besk inkomst + smfskatter</t>
  </si>
  <si>
    <t>Medeltal av kommuner</t>
  </si>
  <si>
    <t>Upphöjt medel av kommuner</t>
  </si>
  <si>
    <t>Kommunvis beskattningsbar inkomst och smfskatter per invånare</t>
  </si>
  <si>
    <t>Skillnad utan KST</t>
  </si>
  <si>
    <t>Gamla syst, utan komp utan KST</t>
  </si>
  <si>
    <t>KST-Utdelning gamla systemet</t>
  </si>
  <si>
    <t>Total, indexerat</t>
  </si>
  <si>
    <t>Total, utan index</t>
  </si>
  <si>
    <t>TOT. Index</t>
  </si>
  <si>
    <t>TOT. utan index</t>
  </si>
  <si>
    <t>Andel 7-64</t>
  </si>
  <si>
    <t>UTJ. BASBELOPP</t>
  </si>
  <si>
    <t>BASBELOPP</t>
  </si>
  <si>
    <t>Egenandel</t>
  </si>
  <si>
    <t>Egenandel/inv</t>
  </si>
  <si>
    <t>Egenandel/skatteöre</t>
  </si>
  <si>
    <t>Jämförelser 2015</t>
  </si>
  <si>
    <t>Nya LS-systemet</t>
  </si>
  <si>
    <t>kostnad grundskola</t>
  </si>
  <si>
    <t>antal inv</t>
  </si>
  <si>
    <t>Basbelopp enl. Storleksklass</t>
  </si>
  <si>
    <t>Ny, Euro/inv 6-15</t>
  </si>
  <si>
    <t>överföringar</t>
  </si>
  <si>
    <t>4. Utjmn+Utdelning</t>
  </si>
  <si>
    <t>Jämförelser 2014</t>
  </si>
  <si>
    <t>Jämförelser 2013</t>
  </si>
  <si>
    <t>från gamla till nya</t>
  </si>
  <si>
    <t>förändring euro/inv från</t>
  </si>
  <si>
    <t>förändring %</t>
  </si>
  <si>
    <t xml:space="preserve">Skillnad nytt system mot </t>
  </si>
  <si>
    <t>nu gällande,</t>
  </si>
  <si>
    <t>LS+Skatt/Kostnad</t>
  </si>
  <si>
    <t>2. Kalkylerade LS-andelar grundskola</t>
  </si>
  <si>
    <t>gammal</t>
  </si>
  <si>
    <t>ny</t>
  </si>
  <si>
    <t>egenandel</t>
  </si>
  <si>
    <t>lsandelar ny</t>
  </si>
  <si>
    <t>lsgammal</t>
  </si>
  <si>
    <t>kostnader-ls-skatt</t>
  </si>
  <si>
    <t xml:space="preserve">Medel </t>
  </si>
  <si>
    <t>NYTT system</t>
  </si>
  <si>
    <t>Äldre system</t>
  </si>
  <si>
    <t>Medel</t>
  </si>
  <si>
    <t>skillnad</t>
  </si>
  <si>
    <t>Index</t>
  </si>
  <si>
    <t>Övergångsystem</t>
  </si>
  <si>
    <t>Nya LS-andelar</t>
  </si>
  <si>
    <t>vad kommun</t>
  </si>
  <si>
    <t>erhåller</t>
  </si>
  <si>
    <t>Inklusv. Övergång år 1</t>
  </si>
  <si>
    <t>Nytt system, adderat övergång 1 utan index</t>
  </si>
  <si>
    <t>Kostnader</t>
  </si>
  <si>
    <t>Egenandel, med index</t>
  </si>
  <si>
    <t>LS-andel index och övergång</t>
  </si>
  <si>
    <t>Gammalt system</t>
  </si>
  <si>
    <t>Gamla egenandelar</t>
  </si>
  <si>
    <t>Gamla egenandelar/inv</t>
  </si>
  <si>
    <t xml:space="preserve">Skillnad </t>
  </si>
  <si>
    <t>Skattefinansiering</t>
  </si>
  <si>
    <t>Medel LS ny indexerad</t>
  </si>
  <si>
    <t>Indexerad</t>
  </si>
  <si>
    <t>Ny</t>
  </si>
  <si>
    <t>2013-2015 medel</t>
  </si>
  <si>
    <t>icke indexerad</t>
  </si>
  <si>
    <t>LS-andel utan index utan övergång</t>
  </si>
  <si>
    <t>Yttersk</t>
  </si>
  <si>
    <t>TILLÄGG</t>
  </si>
  <si>
    <t>TOTALT TILLÄGG</t>
  </si>
  <si>
    <t>Basbelopp skgård</t>
  </si>
  <si>
    <t>Samfundsskatter, totalt euro/inv</t>
  </si>
  <si>
    <t>Indexerar ner äldre system</t>
  </si>
  <si>
    <t>Index:</t>
  </si>
  <si>
    <t>LS/(totala intäkter)</t>
  </si>
  <si>
    <t>LS/(totala int)</t>
  </si>
  <si>
    <t>procentenheter</t>
  </si>
  <si>
    <t xml:space="preserve">Skillnad, </t>
  </si>
  <si>
    <t>Gammalt syst</t>
  </si>
  <si>
    <t>Totala nettodrifts-</t>
  </si>
  <si>
    <t>indexerat</t>
  </si>
  <si>
    <t>euro, inv</t>
  </si>
  <si>
    <t>euro, inv(index)</t>
  </si>
  <si>
    <t>Övergångssystem</t>
  </si>
  <si>
    <t>INV</t>
  </si>
  <si>
    <t>Inv 1.1.2015</t>
  </si>
  <si>
    <t>Äldre syst euro/inv</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</si>
</sst>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 _€_-;\-* #,##0.00\ _€_-;_-* &quot;-&quot;??\ _€_-;_-@_-"/>
    <numFmt numFmtId="164" formatCode="#,##0.0"/>
    <numFmt numFmtId="165" formatCode="_-* #,##0.00\ _k_r_-;\-* #,##0.00\ _k_r_-;_-* &quot;-&quot;??\ _k_r_-;_-@_-"/>
    <numFmt numFmtId="166" formatCode="0.0\ %"/>
    <numFmt numFmtId="167" formatCode="_-* #,##0\ _k_r_-;\-* #,##0\ _k_r_-;_-* &quot;-&quot;??\ _k_r_-;_-@_-"/>
    <numFmt numFmtId="168" formatCode="0.000"/>
    <numFmt numFmtId="169" formatCode="0.0"/>
    <numFmt numFmtId="170" formatCode="#,##0\ &quot;€&quot;"/>
    <numFmt numFmtId="171" formatCode="#,##0.000"/>
    <numFmt numFmtId="172" formatCode="0.0000"/>
    <numFmt numFmtId="173" formatCode="0.000\ %"/>
    <numFmt numFmtId="174" formatCode="#,##0_ ;[Red]\-#,##0\ "/>
  </numFmts>
  <fonts count="104" x14ac:knownFonts="1">
    <font>
      <sz val="12"/>
      <color theme="1"/>
      <name val="Arial"/>
      <family val="2"/>
    </font>
    <font>
      <sz val="12"/>
      <color theme="1"/>
      <name val="Arial"/>
      <family val="2"/>
    </font>
    <font>
      <b/>
      <sz val="11"/>
      <color theme="3"/>
      <name val="Arial"/>
      <family val="2"/>
    </font>
    <font>
      <b/>
      <sz val="12"/>
      <color theme="1"/>
      <name val="Arial"/>
      <family val="2"/>
    </font>
    <font>
      <i/>
      <sz val="12"/>
      <color theme="1"/>
      <name val="Arial"/>
      <family val="2"/>
    </font>
    <font>
      <sz val="18"/>
      <color rgb="FF006100"/>
      <name val="Calibri"/>
      <family val="2"/>
      <scheme val="minor"/>
    </font>
    <font>
      <sz val="12"/>
      <name val="Arial"/>
      <family val="2"/>
    </font>
    <font>
      <sz val="12"/>
      <color theme="1"/>
      <name val="Calibri"/>
      <family val="2"/>
      <scheme val="minor"/>
    </font>
    <font>
      <sz val="11"/>
      <color rgb="FF000000"/>
      <name val="Calibri"/>
      <family val="2"/>
    </font>
    <font>
      <sz val="11"/>
      <color theme="1"/>
      <name val="Calibri"/>
      <family val="2"/>
      <scheme val="minor"/>
    </font>
    <font>
      <sz val="18"/>
      <color theme="1"/>
      <name val="Calibri"/>
      <family val="2"/>
      <scheme val="minor"/>
    </font>
    <font>
      <sz val="10"/>
      <name val="Arial"/>
      <family val="2"/>
    </font>
    <font>
      <b/>
      <u/>
      <sz val="12"/>
      <color theme="1"/>
      <name val="Arial"/>
      <family val="2"/>
    </font>
    <font>
      <sz val="10"/>
      <color theme="1"/>
      <name val="Arial"/>
      <family val="2"/>
    </font>
    <font>
      <b/>
      <sz val="15"/>
      <color theme="3"/>
      <name val="Arial"/>
      <family val="2"/>
    </font>
    <font>
      <sz val="12"/>
      <color rgb="FF3F3F76"/>
      <name val="Arial"/>
      <family val="2"/>
    </font>
    <font>
      <sz val="12"/>
      <color theme="0"/>
      <name val="Arial"/>
      <family val="2"/>
    </font>
    <font>
      <b/>
      <sz val="12"/>
      <color rgb="FF3F3F76"/>
      <name val="Arial"/>
      <family val="2"/>
    </font>
    <font>
      <b/>
      <u/>
      <sz val="12"/>
      <color rgb="FF3F3F76"/>
      <name val="Arial"/>
      <family val="2"/>
    </font>
    <font>
      <b/>
      <sz val="12"/>
      <color rgb="FFFA7D00"/>
      <name val="Arial"/>
      <family val="2"/>
    </font>
    <font>
      <sz val="12"/>
      <color rgb="FFFA7D00"/>
      <name val="Arial"/>
      <family val="2"/>
    </font>
    <font>
      <b/>
      <u/>
      <sz val="12"/>
      <color rgb="FFFA7D00"/>
      <name val="Arial"/>
      <family val="2"/>
    </font>
    <font>
      <b/>
      <sz val="11"/>
      <color rgb="FFFA7D00"/>
      <name val="Arial"/>
      <family val="2"/>
    </font>
    <font>
      <i/>
      <sz val="12"/>
      <color rgb="FF3F3F76"/>
      <name val="Arial"/>
      <family val="2"/>
    </font>
    <font>
      <b/>
      <sz val="18"/>
      <color theme="3"/>
      <name val="Cambria"/>
      <family val="2"/>
      <scheme val="major"/>
    </font>
    <font>
      <b/>
      <sz val="13"/>
      <color theme="3"/>
      <name val="Arial"/>
      <family val="2"/>
    </font>
    <font>
      <sz val="12"/>
      <color rgb="FF006100"/>
      <name val="Arial"/>
      <family val="2"/>
    </font>
    <font>
      <b/>
      <i/>
      <u/>
      <sz val="12"/>
      <color rgb="FF3F3F76"/>
      <name val="Arial"/>
      <family val="2"/>
    </font>
    <font>
      <b/>
      <sz val="12"/>
      <name val="Arial"/>
      <family val="2"/>
    </font>
    <font>
      <b/>
      <sz val="11"/>
      <color theme="1"/>
      <name val="Arial"/>
      <family val="2"/>
    </font>
    <font>
      <b/>
      <sz val="12"/>
      <color rgb="FF006100"/>
      <name val="Arial"/>
      <family val="2"/>
    </font>
    <font>
      <u/>
      <sz val="12"/>
      <color theme="1"/>
      <name val="Arial"/>
      <family val="2"/>
    </font>
    <font>
      <i/>
      <sz val="10"/>
      <color theme="1"/>
      <name val="Arial"/>
      <family val="2"/>
    </font>
    <font>
      <b/>
      <i/>
      <sz val="12"/>
      <color theme="1"/>
      <name val="Arial"/>
      <family val="2"/>
    </font>
    <font>
      <b/>
      <i/>
      <u/>
      <sz val="11"/>
      <color rgb="FFFA7D00"/>
      <name val="Arial"/>
      <family val="2"/>
    </font>
    <font>
      <b/>
      <i/>
      <u/>
      <sz val="12"/>
      <color rgb="FFFA7D00"/>
      <name val="Arial"/>
      <family val="2"/>
    </font>
    <font>
      <sz val="16"/>
      <color theme="0"/>
      <name val="Times New Roman"/>
      <family val="1"/>
    </font>
    <font>
      <sz val="12"/>
      <color theme="1"/>
      <name val="Times New Roman"/>
      <family val="1"/>
    </font>
    <font>
      <sz val="12"/>
      <color theme="0"/>
      <name val="Times New Roman"/>
      <family val="1"/>
    </font>
    <font>
      <i/>
      <sz val="12"/>
      <color theme="0"/>
      <name val="Arial"/>
      <family val="2"/>
    </font>
    <font>
      <u/>
      <sz val="12"/>
      <color theme="0"/>
      <name val="Times New Roman"/>
      <family val="1"/>
    </font>
    <font>
      <u/>
      <sz val="12"/>
      <color theme="0"/>
      <name val="Arial"/>
      <family val="2"/>
    </font>
    <font>
      <i/>
      <sz val="11"/>
      <color theme="0"/>
      <name val="Arial"/>
      <family val="2"/>
    </font>
    <font>
      <sz val="12"/>
      <color rgb="FF9C6500"/>
      <name val="Arial"/>
      <family val="2"/>
    </font>
    <font>
      <b/>
      <sz val="16"/>
      <color rgb="FF006100"/>
      <name val="Arial"/>
      <family val="2"/>
    </font>
    <font>
      <b/>
      <sz val="18"/>
      <color rgb="FF006100"/>
      <name val="Arial"/>
      <family val="2"/>
    </font>
    <font>
      <b/>
      <sz val="12"/>
      <color rgb="FF9C6500"/>
      <name val="Arial"/>
      <family val="2"/>
    </font>
    <font>
      <sz val="10"/>
      <name val="Calibri"/>
      <family val="2"/>
      <scheme val="minor"/>
    </font>
    <font>
      <b/>
      <sz val="10"/>
      <name val="Calibri"/>
      <family val="2"/>
      <scheme val="minor"/>
    </font>
    <font>
      <sz val="9"/>
      <name val="Calibri"/>
      <family val="2"/>
      <scheme val="minor"/>
    </font>
    <font>
      <b/>
      <sz val="9"/>
      <name val="Calibri"/>
      <family val="2"/>
      <scheme val="minor"/>
    </font>
    <font>
      <b/>
      <u/>
      <sz val="14"/>
      <color rgb="FF000000"/>
      <name val="Calibri"/>
      <family val="2"/>
    </font>
    <font>
      <b/>
      <i/>
      <sz val="14"/>
      <color theme="1"/>
      <name val="Arial"/>
      <family val="2"/>
    </font>
    <font>
      <b/>
      <i/>
      <sz val="14"/>
      <color rgb="FF000000"/>
      <name val="Calibri"/>
      <family val="2"/>
    </font>
    <font>
      <i/>
      <sz val="14"/>
      <color rgb="FF000000"/>
      <name val="Calibri"/>
      <family val="2"/>
    </font>
    <font>
      <sz val="12"/>
      <color theme="3"/>
      <name val="Arial"/>
      <family val="2"/>
    </font>
    <font>
      <b/>
      <u/>
      <sz val="12"/>
      <color theme="3"/>
      <name val="Arial"/>
      <family val="2"/>
    </font>
    <font>
      <u/>
      <sz val="12"/>
      <color theme="3"/>
      <name val="Arial"/>
      <family val="2"/>
    </font>
    <font>
      <b/>
      <sz val="11"/>
      <color rgb="FF000000"/>
      <name val="Calibri"/>
      <family val="2"/>
    </font>
    <font>
      <sz val="12"/>
      <color rgb="FF000000"/>
      <name val="Calibri"/>
      <family val="2"/>
    </font>
    <font>
      <b/>
      <sz val="20"/>
      <color theme="3"/>
      <name val="Arial"/>
      <family val="2"/>
    </font>
    <font>
      <b/>
      <sz val="22"/>
      <color theme="3"/>
      <name val="Arial"/>
      <family val="2"/>
    </font>
    <font>
      <b/>
      <sz val="26"/>
      <color theme="3"/>
      <name val="Arial"/>
      <family val="2"/>
    </font>
    <font>
      <sz val="12"/>
      <color rgb="FF9C0006"/>
      <name val="Arial"/>
      <family val="2"/>
    </font>
    <font>
      <b/>
      <sz val="11"/>
      <name val="Calibri"/>
      <family val="2"/>
      <scheme val="minor"/>
    </font>
    <font>
      <sz val="11"/>
      <name val="Calibri"/>
      <family val="2"/>
      <scheme val="minor"/>
    </font>
    <font>
      <i/>
      <sz val="11"/>
      <name val="Calibri"/>
      <family val="2"/>
      <scheme val="minor"/>
    </font>
    <font>
      <b/>
      <sz val="16"/>
      <color theme="3"/>
      <name val="Arial"/>
      <family val="2"/>
    </font>
    <font>
      <sz val="16"/>
      <color theme="1"/>
      <name val="Arial"/>
      <family val="2"/>
    </font>
    <font>
      <sz val="16"/>
      <color rgb="FF9C6500"/>
      <name val="Arial"/>
      <family val="2"/>
    </font>
    <font>
      <b/>
      <u/>
      <sz val="16"/>
      <color theme="1"/>
      <name val="Arial"/>
      <family val="2"/>
    </font>
    <font>
      <u/>
      <sz val="16"/>
      <color theme="1"/>
      <name val="Arial"/>
      <family val="2"/>
    </font>
    <font>
      <b/>
      <i/>
      <sz val="16"/>
      <color theme="1"/>
      <name val="Arial"/>
      <family val="2"/>
    </font>
    <font>
      <sz val="12"/>
      <color rgb="FFFF0000"/>
      <name val="Arial"/>
      <family val="2"/>
    </font>
    <font>
      <b/>
      <sz val="14"/>
      <color rgb="FFFA7D00"/>
      <name val="Arial"/>
      <family val="2"/>
    </font>
    <font>
      <i/>
      <sz val="12"/>
      <name val="Arial"/>
      <family val="2"/>
    </font>
    <font>
      <b/>
      <sz val="12"/>
      <color theme="0"/>
      <name val="Arial"/>
      <family val="2"/>
    </font>
    <font>
      <i/>
      <sz val="10"/>
      <name val="Arial"/>
      <family val="2"/>
    </font>
    <font>
      <sz val="9"/>
      <color theme="1"/>
      <name val="Calibri"/>
      <family val="2"/>
      <scheme val="minor"/>
    </font>
    <font>
      <b/>
      <sz val="10"/>
      <color theme="1"/>
      <name val="Calibri"/>
      <family val="2"/>
      <scheme val="minor"/>
    </font>
    <font>
      <sz val="8"/>
      <name val="Calibri"/>
      <family val="2"/>
      <scheme val="minor"/>
    </font>
    <font>
      <sz val="8"/>
      <color theme="1"/>
      <name val="Calibri"/>
      <family val="2"/>
      <scheme val="minor"/>
    </font>
    <font>
      <sz val="10"/>
      <name val="Times New Roman"/>
      <family val="1"/>
    </font>
    <font>
      <i/>
      <sz val="11"/>
      <color theme="1"/>
      <name val="Arial"/>
      <family val="2"/>
    </font>
    <font>
      <i/>
      <sz val="9"/>
      <color theme="1"/>
      <name val="Arial"/>
      <family val="2"/>
    </font>
    <font>
      <b/>
      <i/>
      <u/>
      <sz val="12"/>
      <color theme="1"/>
      <name val="Arial"/>
      <family val="2"/>
    </font>
    <font>
      <b/>
      <sz val="14"/>
      <name val="Arial"/>
      <family val="2"/>
    </font>
    <font>
      <b/>
      <u/>
      <sz val="14"/>
      <color theme="1"/>
      <name val="Arial"/>
      <family val="2"/>
    </font>
    <font>
      <b/>
      <sz val="9"/>
      <name val="Arial"/>
      <family val="2"/>
    </font>
    <font>
      <b/>
      <i/>
      <u/>
      <sz val="18"/>
      <color theme="1"/>
      <name val="Arial"/>
      <family val="2"/>
    </font>
    <font>
      <b/>
      <u/>
      <sz val="18"/>
      <color theme="1"/>
      <name val="Arial"/>
      <family val="2"/>
    </font>
    <font>
      <sz val="8"/>
      <color theme="1"/>
      <name val="Arial"/>
      <family val="2"/>
    </font>
    <font>
      <sz val="9"/>
      <color theme="1"/>
      <name val="Arial"/>
      <family val="2"/>
    </font>
    <font>
      <sz val="9"/>
      <name val="Arial"/>
      <family val="2"/>
    </font>
    <font>
      <u/>
      <sz val="12"/>
      <name val="Arial"/>
      <family val="2"/>
    </font>
    <font>
      <sz val="14"/>
      <color theme="1"/>
      <name val="Arial"/>
      <family val="2"/>
    </font>
    <font>
      <sz val="16"/>
      <name val="Arial"/>
      <family val="2"/>
    </font>
    <font>
      <sz val="16"/>
      <color rgb="FF006100"/>
      <name val="Arial"/>
      <family val="2"/>
    </font>
    <font>
      <b/>
      <sz val="14"/>
      <color theme="1"/>
      <name val="Arial"/>
      <family val="2"/>
    </font>
    <font>
      <i/>
      <u/>
      <sz val="12"/>
      <color theme="1"/>
      <name val="Arial"/>
      <family val="2"/>
    </font>
    <font>
      <b/>
      <sz val="16"/>
      <name val="Arial"/>
      <family val="2"/>
    </font>
    <font>
      <b/>
      <u/>
      <sz val="12"/>
      <name val="Arial"/>
      <family val="2"/>
    </font>
    <font>
      <b/>
      <sz val="10"/>
      <color theme="1"/>
      <name val="Arial"/>
      <family val="2"/>
    </font>
    <font>
      <b/>
      <sz val="11"/>
      <color theme="1"/>
      <name val="Calibri"/>
      <family val="2"/>
      <scheme val="minor"/>
    </font>
  </fonts>
  <fills count="22">
    <fill>
      <patternFill patternType="none"/>
    </fill>
    <fill>
      <patternFill patternType="gray125"/>
    </fill>
    <fill>
      <patternFill patternType="solid">
        <fgColor rgb="FFC6EFCE"/>
      </patternFill>
    </fill>
    <fill>
      <patternFill patternType="solid">
        <fgColor theme="0"/>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rgb="FFFFCC99"/>
      </patternFill>
    </fill>
    <fill>
      <patternFill patternType="solid">
        <fgColor rgb="FFFFFFCC"/>
      </patternFill>
    </fill>
    <fill>
      <patternFill patternType="solid">
        <fgColor rgb="FFFF0000"/>
        <bgColor indexed="64"/>
      </patternFill>
    </fill>
    <fill>
      <patternFill patternType="solid">
        <fgColor rgb="FFF2F2F2"/>
      </patternFill>
    </fill>
    <fill>
      <patternFill patternType="solid">
        <fgColor rgb="FFFFFF00"/>
        <bgColor indexed="64"/>
      </patternFill>
    </fill>
    <fill>
      <patternFill patternType="solid">
        <fgColor theme="6" tint="0.79998168889431442"/>
        <bgColor indexed="64"/>
      </patternFill>
    </fill>
    <fill>
      <patternFill patternType="solid">
        <fgColor theme="2" tint="-0.89999084444715716"/>
        <bgColor indexed="64"/>
      </patternFill>
    </fill>
    <fill>
      <patternFill patternType="solid">
        <fgColor theme="2" tint="-0.499984740745262"/>
        <bgColor indexed="64"/>
      </patternFill>
    </fill>
    <fill>
      <patternFill patternType="solid">
        <fgColor rgb="FFFFEB9C"/>
      </patternFill>
    </fill>
    <fill>
      <patternFill patternType="solid">
        <fgColor theme="4" tint="0.79998168889431442"/>
        <bgColor indexed="64"/>
      </patternFill>
    </fill>
    <fill>
      <patternFill patternType="solid">
        <fgColor theme="5"/>
        <bgColor indexed="64"/>
      </patternFill>
    </fill>
    <fill>
      <patternFill patternType="solid">
        <fgColor rgb="FFFFC7CE"/>
      </patternFill>
    </fill>
    <fill>
      <patternFill patternType="solid">
        <fgColor theme="6" tint="0.79998168889431442"/>
        <bgColor indexed="65"/>
      </patternFill>
    </fill>
    <fill>
      <patternFill patternType="solid">
        <fgColor theme="8" tint="0.79998168889431442"/>
        <bgColor indexed="64"/>
      </patternFill>
    </fill>
    <fill>
      <patternFill patternType="solid">
        <fgColor theme="4" tint="0.79998168889431442"/>
        <bgColor indexed="65"/>
      </patternFill>
    </fill>
    <fill>
      <patternFill patternType="solid">
        <fgColor rgb="FFA5A5A5"/>
      </patternFill>
    </fill>
  </fills>
  <borders count="83">
    <border>
      <left/>
      <right/>
      <top/>
      <bottom/>
      <diagonal/>
    </border>
    <border>
      <left/>
      <right/>
      <top/>
      <bottom style="medium">
        <color theme="4" tint="0.39997558519241921"/>
      </bottom>
      <diagonal/>
    </border>
    <border>
      <left/>
      <right style="thin">
        <color indexed="64"/>
      </right>
      <top style="thin">
        <color indexed="64"/>
      </top>
      <bottom/>
      <diagonal/>
    </border>
    <border>
      <left/>
      <right style="thin">
        <color indexed="64"/>
      </right>
      <top/>
      <bottom/>
      <diagonal/>
    </border>
    <border>
      <left/>
      <right/>
      <top/>
      <bottom style="thin">
        <color auto="1"/>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tint="0.499984740745262"/>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rgb="FF7F7F7F"/>
      </right>
      <top style="thin">
        <color rgb="FF7F7F7F"/>
      </top>
      <bottom style="thin">
        <color rgb="FF7F7F7F"/>
      </bottom>
      <diagonal/>
    </border>
    <border>
      <left style="thin">
        <color rgb="FF7F7F7F"/>
      </left>
      <right style="medium">
        <color indexed="64"/>
      </right>
      <top style="thin">
        <color rgb="FF7F7F7F"/>
      </top>
      <bottom style="thin">
        <color rgb="FF7F7F7F"/>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theme="0"/>
      </top>
      <bottom/>
      <diagonal/>
    </border>
    <border>
      <left/>
      <right style="thin">
        <color indexed="64"/>
      </right>
      <top style="medium">
        <color theme="0"/>
      </top>
      <bottom/>
      <diagonal/>
    </border>
    <border>
      <left/>
      <right/>
      <top style="thin">
        <color theme="0"/>
      </top>
      <bottom/>
      <diagonal/>
    </border>
    <border>
      <left/>
      <right style="thin">
        <color indexed="64"/>
      </right>
      <top style="thin">
        <color theme="0"/>
      </top>
      <bottom/>
      <diagonal/>
    </border>
    <border>
      <left/>
      <right style="thin">
        <color theme="0"/>
      </right>
      <top style="thin">
        <color theme="0"/>
      </top>
      <bottom/>
      <diagonal/>
    </border>
    <border>
      <left/>
      <right/>
      <top/>
      <bottom style="thin">
        <color theme="0"/>
      </bottom>
      <diagonal/>
    </border>
    <border>
      <left/>
      <right style="thin">
        <color indexed="64"/>
      </right>
      <top/>
      <bottom style="thin">
        <color theme="0"/>
      </bottom>
      <diagonal/>
    </border>
    <border>
      <left/>
      <right style="thin">
        <color theme="0"/>
      </right>
      <top/>
      <bottom style="thin">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indexed="64"/>
      </left>
      <right style="medium">
        <color indexed="64"/>
      </right>
      <top style="thin">
        <color indexed="64"/>
      </top>
      <bottom/>
      <diagonal/>
    </border>
    <border>
      <left/>
      <right/>
      <top style="thin">
        <color auto="1"/>
      </top>
      <bottom style="thin">
        <color auto="1"/>
      </bottom>
      <diagonal/>
    </border>
    <border>
      <left/>
      <right/>
      <top style="thin">
        <color auto="1"/>
      </top>
      <bottom/>
      <diagonal/>
    </border>
    <border>
      <left style="medium">
        <color indexed="64"/>
      </left>
      <right style="thin">
        <color rgb="FF7F7F7F"/>
      </right>
      <top style="thin">
        <color rgb="FF7F7F7F"/>
      </top>
      <bottom style="medium">
        <color indexed="64"/>
      </bottom>
      <diagonal/>
    </border>
    <border>
      <left style="thin">
        <color rgb="FF7F7F7F"/>
      </left>
      <right style="thin">
        <color rgb="FF7F7F7F"/>
      </right>
      <top style="thin">
        <color rgb="FF7F7F7F"/>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ck">
        <color theme="4" tint="0.499984740745262"/>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double">
        <color rgb="FFFF8001"/>
      </bottom>
      <diagonal/>
    </border>
    <border>
      <left style="medium">
        <color indexed="64"/>
      </left>
      <right/>
      <top/>
      <bottom style="medium">
        <color theme="4" tint="0.39997558519241921"/>
      </bottom>
      <diagonal/>
    </border>
    <border>
      <left style="medium">
        <color indexed="64"/>
      </left>
      <right style="medium">
        <color indexed="64"/>
      </right>
      <top style="medium">
        <color indexed="64"/>
      </top>
      <bottom style="thin">
        <color rgb="FF7F7F7F"/>
      </bottom>
      <diagonal/>
    </border>
    <border>
      <left style="thin">
        <color rgb="FF7F7F7F"/>
      </left>
      <right/>
      <top style="thin">
        <color rgb="FF7F7F7F"/>
      </top>
      <bottom style="thin">
        <color rgb="FF7F7F7F"/>
      </bottom>
      <diagonal/>
    </border>
    <border>
      <left/>
      <right/>
      <top style="medium">
        <color indexed="64"/>
      </top>
      <bottom style="thick">
        <color theme="4" tint="0.499984740745262"/>
      </bottom>
      <diagonal/>
    </border>
    <border>
      <left style="medium">
        <color indexed="64"/>
      </left>
      <right style="thin">
        <color rgb="FF7F7F7F"/>
      </right>
      <top style="medium">
        <color indexed="64"/>
      </top>
      <bottom style="thin">
        <color rgb="FF7F7F7F"/>
      </bottom>
      <diagonal/>
    </border>
    <border>
      <left style="thin">
        <color rgb="FF7F7F7F"/>
      </left>
      <right style="thin">
        <color rgb="FF7F7F7F"/>
      </right>
      <top style="medium">
        <color indexed="64"/>
      </top>
      <bottom style="thin">
        <color rgb="FF7F7F7F"/>
      </bottom>
      <diagonal/>
    </border>
    <border>
      <left style="thin">
        <color rgb="FF7F7F7F"/>
      </left>
      <right style="medium">
        <color indexed="64"/>
      </right>
      <top style="medium">
        <color indexed="64"/>
      </top>
      <bottom style="thin">
        <color rgb="FF7F7F7F"/>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medium">
        <color indexed="64"/>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s>
  <cellStyleXfs count="42">
    <xf numFmtId="0" fontId="0" fillId="0" borderId="0"/>
    <xf numFmtId="9" fontId="1" fillId="0" borderId="0" applyFont="0" applyFill="0" applyBorder="0" applyAlignment="0" applyProtection="0"/>
    <xf numFmtId="0" fontId="5" fillId="2" borderId="0" applyNumberFormat="0" applyBorder="0" applyAlignment="0" applyProtection="0"/>
    <xf numFmtId="3" fontId="6" fillId="0" borderId="0"/>
    <xf numFmtId="3" fontId="6" fillId="0" borderId="0"/>
    <xf numFmtId="49" fontId="7" fillId="0" borderId="0"/>
    <xf numFmtId="164" fontId="8" fillId="0" borderId="0" applyBorder="0" applyAlignment="0"/>
    <xf numFmtId="0" fontId="9" fillId="0" borderId="0"/>
    <xf numFmtId="0" fontId="9" fillId="0" borderId="0"/>
    <xf numFmtId="0" fontId="10" fillId="0" borderId="0"/>
    <xf numFmtId="0" fontId="10" fillId="0" borderId="0"/>
    <xf numFmtId="0" fontId="10" fillId="0" borderId="0"/>
    <xf numFmtId="0" fontId="1" fillId="0" borderId="0"/>
    <xf numFmtId="9" fontId="9"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0" fontId="2" fillId="0" borderId="1" applyNumberFormat="0" applyFill="0" applyAlignment="0" applyProtection="0"/>
    <xf numFmtId="165" fontId="11" fillId="0" borderId="0" applyFont="0" applyFill="0" applyBorder="0" applyAlignment="0" applyProtection="0"/>
    <xf numFmtId="0" fontId="14" fillId="0" borderId="12" applyNumberFormat="0" applyFill="0" applyAlignment="0" applyProtection="0"/>
    <xf numFmtId="0" fontId="15" fillId="6" borderId="13" applyNumberFormat="0" applyAlignment="0" applyProtection="0"/>
    <xf numFmtId="0" fontId="1" fillId="7" borderId="14" applyNumberFormat="0" applyFont="0" applyAlignment="0" applyProtection="0"/>
    <xf numFmtId="0" fontId="19" fillId="9" borderId="13" applyNumberFormat="0" applyAlignment="0" applyProtection="0"/>
    <xf numFmtId="0" fontId="24" fillId="0" borderId="0" applyNumberFormat="0" applyFill="0" applyBorder="0" applyAlignment="0" applyProtection="0"/>
    <xf numFmtId="0" fontId="25" fillId="0" borderId="25" applyNumberFormat="0" applyFill="0" applyAlignment="0" applyProtection="0"/>
    <xf numFmtId="0" fontId="26" fillId="2" borderId="0" applyNumberFormat="0" applyBorder="0" applyAlignment="0" applyProtection="0"/>
    <xf numFmtId="0" fontId="43" fillId="14" borderId="0" applyNumberFormat="0" applyBorder="0" applyAlignment="0" applyProtection="0"/>
    <xf numFmtId="0" fontId="63" fillId="17" borderId="0" applyNumberFormat="0" applyBorder="0" applyAlignment="0" applyProtection="0"/>
    <xf numFmtId="0" fontId="1" fillId="18" borderId="0" applyNumberFormat="0" applyBorder="0" applyAlignment="0" applyProtection="0"/>
    <xf numFmtId="0" fontId="20" fillId="0" borderId="61" applyNumberFormat="0" applyFill="0" applyAlignment="0" applyProtection="0"/>
    <xf numFmtId="0" fontId="1" fillId="20" borderId="0" applyNumberFormat="0" applyBorder="0" applyAlignment="0" applyProtection="0"/>
    <xf numFmtId="0" fontId="76" fillId="21" borderId="74" applyNumberFormat="0" applyAlignment="0" applyProtection="0"/>
    <xf numFmtId="0" fontId="11" fillId="0" borderId="0"/>
    <xf numFmtId="0" fontId="11" fillId="0" borderId="0"/>
    <xf numFmtId="0" fontId="82" fillId="0" borderId="0"/>
    <xf numFmtId="0" fontId="9" fillId="0" borderId="0"/>
    <xf numFmtId="0" fontId="9" fillId="0" borderId="0"/>
    <xf numFmtId="0" fontId="9" fillId="0" borderId="0"/>
    <xf numFmtId="0" fontId="9" fillId="0" borderId="0"/>
    <xf numFmtId="0" fontId="9" fillId="0" borderId="0"/>
    <xf numFmtId="9" fontId="11" fillId="0" borderId="0" applyFont="0" applyFill="0" applyBorder="0" applyAlignment="0" applyProtection="0"/>
    <xf numFmtId="165" fontId="11" fillId="0" borderId="0" applyFont="0" applyFill="0" applyBorder="0" applyAlignment="0" applyProtection="0"/>
  </cellStyleXfs>
  <cellXfs count="1425">
    <xf numFmtId="0" fontId="0" fillId="0" borderId="0" xfId="0"/>
    <xf numFmtId="0" fontId="0" fillId="3" borderId="0" xfId="0" applyFill="1"/>
    <xf numFmtId="0" fontId="0" fillId="3" borderId="6" xfId="0" applyFill="1" applyBorder="1"/>
    <xf numFmtId="0" fontId="0" fillId="3" borderId="7" xfId="0" applyFill="1" applyBorder="1"/>
    <xf numFmtId="0" fontId="3" fillId="3" borderId="8" xfId="0" applyFont="1" applyFill="1" applyBorder="1"/>
    <xf numFmtId="0" fontId="3" fillId="3" borderId="0" xfId="0" applyFont="1" applyFill="1"/>
    <xf numFmtId="0" fontId="3" fillId="3" borderId="0" xfId="0" applyFont="1" applyFill="1" applyBorder="1"/>
    <xf numFmtId="0" fontId="0" fillId="3" borderId="0" xfId="0" applyFill="1" applyAlignment="1">
      <alignment horizontal="center"/>
    </xf>
    <xf numFmtId="0" fontId="0" fillId="4" borderId="2" xfId="0" applyFill="1" applyBorder="1"/>
    <xf numFmtId="0" fontId="0" fillId="3" borderId="0" xfId="0" applyFill="1" applyBorder="1"/>
    <xf numFmtId="0" fontId="3" fillId="3" borderId="3" xfId="0" applyFont="1" applyFill="1" applyBorder="1" applyAlignment="1">
      <alignment horizontal="right"/>
    </xf>
    <xf numFmtId="0" fontId="0" fillId="3" borderId="3" xfId="0" applyFill="1" applyBorder="1"/>
    <xf numFmtId="0" fontId="0" fillId="5" borderId="0" xfId="0" applyFill="1" applyBorder="1"/>
    <xf numFmtId="0" fontId="3" fillId="5" borderId="3" xfId="0" applyFont="1" applyFill="1" applyBorder="1" applyAlignment="1">
      <alignment horizontal="right"/>
    </xf>
    <xf numFmtId="0" fontId="0" fillId="5" borderId="3" xfId="0" applyFill="1" applyBorder="1"/>
    <xf numFmtId="9" fontId="0" fillId="5" borderId="0" xfId="1" applyFont="1" applyFill="1" applyBorder="1"/>
    <xf numFmtId="2" fontId="0" fillId="5" borderId="0" xfId="0" applyNumberFormat="1" applyFill="1" applyBorder="1"/>
    <xf numFmtId="9" fontId="0" fillId="5" borderId="0" xfId="0" applyNumberFormat="1" applyFill="1" applyBorder="1"/>
    <xf numFmtId="0" fontId="0" fillId="4" borderId="3" xfId="0" applyFill="1" applyBorder="1"/>
    <xf numFmtId="0" fontId="0" fillId="4" borderId="5" xfId="0" applyFill="1" applyBorder="1"/>
    <xf numFmtId="0" fontId="0" fillId="3" borderId="5" xfId="0" applyFill="1" applyBorder="1"/>
    <xf numFmtId="1" fontId="0" fillId="3" borderId="0" xfId="0" applyNumberFormat="1" applyFill="1" applyBorder="1"/>
    <xf numFmtId="3" fontId="0" fillId="3" borderId="0" xfId="0" applyNumberFormat="1" applyFill="1"/>
    <xf numFmtId="0" fontId="12" fillId="3" borderId="0" xfId="0" applyFont="1" applyFill="1"/>
    <xf numFmtId="0" fontId="4" fillId="3" borderId="0" xfId="0" applyFont="1" applyFill="1"/>
    <xf numFmtId="0" fontId="0" fillId="3" borderId="0" xfId="0" applyFill="1" applyAlignment="1">
      <alignment horizontal="right"/>
    </xf>
    <xf numFmtId="3" fontId="11" fillId="0" borderId="0" xfId="0" applyNumberFormat="1" applyFont="1" applyBorder="1"/>
    <xf numFmtId="3" fontId="11" fillId="0" borderId="4" xfId="0" applyNumberFormat="1" applyFont="1" applyBorder="1"/>
    <xf numFmtId="3" fontId="11" fillId="3" borderId="0" xfId="0" applyNumberFormat="1" applyFont="1" applyFill="1" applyBorder="1"/>
    <xf numFmtId="3" fontId="11" fillId="3" borderId="4" xfId="0" applyNumberFormat="1" applyFont="1" applyFill="1" applyBorder="1"/>
    <xf numFmtId="0" fontId="0" fillId="3" borderId="4" xfId="0" applyFill="1" applyBorder="1" applyAlignment="1">
      <alignment horizontal="right"/>
    </xf>
    <xf numFmtId="0" fontId="13" fillId="3" borderId="0" xfId="0" applyFont="1" applyFill="1" applyAlignment="1">
      <alignment horizontal="right"/>
    </xf>
    <xf numFmtId="0" fontId="13" fillId="3" borderId="4" xfId="0" applyFont="1" applyFill="1" applyBorder="1" applyAlignment="1">
      <alignment horizontal="right"/>
    </xf>
    <xf numFmtId="0" fontId="13" fillId="3" borderId="0" xfId="0" applyFont="1" applyFill="1" applyBorder="1" applyAlignment="1">
      <alignment horizontal="right"/>
    </xf>
    <xf numFmtId="0" fontId="0" fillId="3" borderId="0" xfId="0" applyFill="1" applyAlignment="1">
      <alignment horizontal="left"/>
    </xf>
    <xf numFmtId="0" fontId="3" fillId="3" borderId="0" xfId="0" applyFont="1" applyFill="1" applyAlignment="1">
      <alignment horizontal="right"/>
    </xf>
    <xf numFmtId="3" fontId="0" fillId="3" borderId="0" xfId="0" applyNumberFormat="1" applyFill="1" applyBorder="1"/>
    <xf numFmtId="9" fontId="0" fillId="3" borderId="0" xfId="1" applyFont="1" applyFill="1" applyBorder="1"/>
    <xf numFmtId="0" fontId="15" fillId="6" borderId="0" xfId="20" applyBorder="1"/>
    <xf numFmtId="0" fontId="17" fillId="6" borderId="7" xfId="20" applyFont="1" applyBorder="1"/>
    <xf numFmtId="0" fontId="17" fillId="6" borderId="17" xfId="20" applyFont="1" applyBorder="1"/>
    <xf numFmtId="0" fontId="17" fillId="6" borderId="11" xfId="20" applyFont="1" applyBorder="1"/>
    <xf numFmtId="0" fontId="17" fillId="6" borderId="18" xfId="20" applyFont="1" applyBorder="1"/>
    <xf numFmtId="0" fontId="18" fillId="6" borderId="19" xfId="20" applyFont="1" applyBorder="1"/>
    <xf numFmtId="0" fontId="15" fillId="6" borderId="10" xfId="20" applyBorder="1"/>
    <xf numFmtId="0" fontId="18" fillId="3" borderId="0" xfId="20" applyFont="1" applyFill="1" applyBorder="1"/>
    <xf numFmtId="0" fontId="17" fillId="3" borderId="0" xfId="20" applyFont="1" applyFill="1" applyBorder="1"/>
    <xf numFmtId="0" fontId="18" fillId="6" borderId="8" xfId="20" applyFont="1" applyBorder="1" applyAlignment="1">
      <alignment horizontal="right"/>
    </xf>
    <xf numFmtId="1" fontId="17" fillId="6" borderId="11" xfId="20" applyNumberFormat="1" applyFont="1" applyBorder="1"/>
    <xf numFmtId="1" fontId="17" fillId="6" borderId="15" xfId="20" applyNumberFormat="1" applyFont="1" applyBorder="1"/>
    <xf numFmtId="0" fontId="0" fillId="3" borderId="16" xfId="0" applyFill="1" applyBorder="1"/>
    <xf numFmtId="0" fontId="0" fillId="5" borderId="16" xfId="0" applyFill="1" applyBorder="1"/>
    <xf numFmtId="0" fontId="3" fillId="3" borderId="20" xfId="0" applyFont="1" applyFill="1" applyBorder="1"/>
    <xf numFmtId="0" fontId="3" fillId="3" borderId="0" xfId="0" applyFont="1" applyFill="1" applyBorder="1" applyAlignment="1">
      <alignment horizontal="center"/>
    </xf>
    <xf numFmtId="0" fontId="15" fillId="6" borderId="0" xfId="20" applyBorder="1" applyAlignment="1">
      <alignment horizontal="center"/>
    </xf>
    <xf numFmtId="0" fontId="15" fillId="6" borderId="0" xfId="20" applyBorder="1" applyAlignment="1">
      <alignment horizontal="right"/>
    </xf>
    <xf numFmtId="0" fontId="15" fillId="6" borderId="10" xfId="20" applyBorder="1" applyAlignment="1">
      <alignment horizontal="center"/>
    </xf>
    <xf numFmtId="0" fontId="17" fillId="6" borderId="7" xfId="20" applyFont="1" applyBorder="1" applyAlignment="1">
      <alignment horizontal="center"/>
    </xf>
    <xf numFmtId="0" fontId="17" fillId="6" borderId="6" xfId="20" applyFont="1" applyBorder="1"/>
    <xf numFmtId="0" fontId="17" fillId="6" borderId="20" xfId="20" applyFont="1" applyBorder="1"/>
    <xf numFmtId="0" fontId="17" fillId="6" borderId="9" xfId="20" applyFont="1" applyBorder="1"/>
    <xf numFmtId="0" fontId="0" fillId="3" borderId="20" xfId="0" applyFill="1" applyBorder="1"/>
    <xf numFmtId="0" fontId="4" fillId="5" borderId="20" xfId="0" applyFont="1" applyFill="1" applyBorder="1"/>
    <xf numFmtId="0" fontId="0" fillId="5" borderId="20" xfId="0" applyFill="1" applyBorder="1"/>
    <xf numFmtId="0" fontId="0" fillId="3" borderId="0" xfId="0" applyFill="1" applyBorder="1" applyAlignment="1">
      <alignment horizontal="center"/>
    </xf>
    <xf numFmtId="0" fontId="1" fillId="7" borderId="0" xfId="21" applyBorder="1"/>
    <xf numFmtId="0" fontId="3" fillId="7" borderId="0" xfId="21" applyFont="1" applyBorder="1"/>
    <xf numFmtId="0" fontId="1" fillId="7" borderId="19" xfId="21" applyBorder="1"/>
    <xf numFmtId="0" fontId="1" fillId="7" borderId="7" xfId="21" applyBorder="1"/>
    <xf numFmtId="0" fontId="1" fillId="7" borderId="8" xfId="21" applyBorder="1"/>
    <xf numFmtId="0" fontId="3" fillId="7" borderId="17" xfId="21" applyFont="1" applyBorder="1"/>
    <xf numFmtId="0" fontId="1" fillId="7" borderId="11" xfId="21" applyBorder="1"/>
    <xf numFmtId="0" fontId="3" fillId="7" borderId="18" xfId="21" applyFont="1" applyBorder="1"/>
    <xf numFmtId="0" fontId="1" fillId="7" borderId="15" xfId="21" applyBorder="1"/>
    <xf numFmtId="0" fontId="3" fillId="7" borderId="20" xfId="21" applyFont="1" applyBorder="1"/>
    <xf numFmtId="0" fontId="3" fillId="3" borderId="0" xfId="0" applyFont="1" applyFill="1" applyBorder="1" applyAlignment="1">
      <alignment horizontal="left"/>
    </xf>
    <xf numFmtId="0" fontId="1" fillId="7" borderId="8" xfId="21" applyBorder="1" applyAlignment="1">
      <alignment horizontal="right"/>
    </xf>
    <xf numFmtId="0" fontId="3" fillId="7" borderId="17" xfId="21" applyFont="1" applyBorder="1" applyAlignment="1">
      <alignment horizontal="left"/>
    </xf>
    <xf numFmtId="0" fontId="1" fillId="7" borderId="11" xfId="21" applyBorder="1" applyAlignment="1">
      <alignment horizontal="right"/>
    </xf>
    <xf numFmtId="3" fontId="1" fillId="7" borderId="17" xfId="21" applyNumberFormat="1" applyBorder="1"/>
    <xf numFmtId="0" fontId="1" fillId="7" borderId="15" xfId="21" applyBorder="1" applyAlignment="1">
      <alignment horizontal="right"/>
    </xf>
    <xf numFmtId="3" fontId="3" fillId="7" borderId="0" xfId="21" applyNumberFormat="1" applyFont="1" applyBorder="1" applyAlignment="1"/>
    <xf numFmtId="0" fontId="1" fillId="7" borderId="0" xfId="21" applyBorder="1" applyAlignment="1"/>
    <xf numFmtId="3" fontId="1" fillId="7" borderId="0" xfId="21" applyNumberFormat="1" applyBorder="1" applyAlignment="1"/>
    <xf numFmtId="0" fontId="3" fillId="7" borderId="19" xfId="21" applyFont="1" applyBorder="1"/>
    <xf numFmtId="3" fontId="3" fillId="7" borderId="7" xfId="21" applyNumberFormat="1" applyFont="1" applyBorder="1" applyAlignment="1"/>
    <xf numFmtId="0" fontId="3" fillId="7" borderId="7" xfId="21" applyFont="1" applyBorder="1" applyAlignment="1"/>
    <xf numFmtId="0" fontId="3" fillId="7" borderId="8" xfId="21" applyFont="1" applyBorder="1"/>
    <xf numFmtId="0" fontId="1" fillId="7" borderId="10" xfId="21" applyBorder="1" applyAlignment="1"/>
    <xf numFmtId="0" fontId="3" fillId="7" borderId="6" xfId="21" applyFont="1" applyBorder="1"/>
    <xf numFmtId="0" fontId="1" fillId="7" borderId="20" xfId="21" applyBorder="1"/>
    <xf numFmtId="0" fontId="1" fillId="7" borderId="9" xfId="21" applyBorder="1"/>
    <xf numFmtId="3" fontId="3" fillId="7" borderId="20" xfId="21" applyNumberFormat="1" applyFont="1" applyBorder="1"/>
    <xf numFmtId="3" fontId="1" fillId="7" borderId="20" xfId="21" applyNumberFormat="1" applyBorder="1"/>
    <xf numFmtId="0" fontId="0" fillId="8" borderId="0" xfId="0" applyFill="1"/>
    <xf numFmtId="0" fontId="0" fillId="8" borderId="0" xfId="0" applyFill="1" applyAlignment="1">
      <alignment horizontal="center"/>
    </xf>
    <xf numFmtId="3" fontId="3" fillId="3" borderId="0" xfId="21" applyNumberFormat="1" applyFont="1" applyFill="1" applyBorder="1" applyAlignment="1"/>
    <xf numFmtId="0" fontId="0" fillId="7" borderId="0" xfId="21" applyFont="1" applyBorder="1"/>
    <xf numFmtId="3" fontId="0" fillId="7" borderId="0" xfId="21" applyNumberFormat="1" applyFont="1" applyBorder="1"/>
    <xf numFmtId="0" fontId="0" fillId="7" borderId="19" xfId="21" applyFont="1" applyBorder="1"/>
    <xf numFmtId="0" fontId="0" fillId="7" borderId="7" xfId="21" applyFont="1" applyBorder="1"/>
    <xf numFmtId="0" fontId="0" fillId="7" borderId="8" xfId="21" applyFont="1" applyBorder="1"/>
    <xf numFmtId="0" fontId="0" fillId="7" borderId="11" xfId="21" applyFont="1" applyBorder="1"/>
    <xf numFmtId="0" fontId="3" fillId="7" borderId="18" xfId="21" applyFont="1" applyBorder="1" applyAlignment="1">
      <alignment horizontal="left"/>
    </xf>
    <xf numFmtId="3" fontId="0" fillId="7" borderId="10" xfId="21" applyNumberFormat="1" applyFont="1" applyBorder="1"/>
    <xf numFmtId="0" fontId="0" fillId="7" borderId="10" xfId="21" applyFont="1" applyBorder="1"/>
    <xf numFmtId="0" fontId="0" fillId="7" borderId="15" xfId="21" applyFont="1" applyBorder="1"/>
    <xf numFmtId="0" fontId="3" fillId="7" borderId="7" xfId="21" applyFont="1" applyBorder="1"/>
    <xf numFmtId="0" fontId="3" fillId="3" borderId="11" xfId="0" applyFont="1" applyFill="1" applyBorder="1" applyAlignment="1">
      <alignment horizontal="right"/>
    </xf>
    <xf numFmtId="9" fontId="3" fillId="7" borderId="6" xfId="21" applyNumberFormat="1" applyFont="1" applyBorder="1"/>
    <xf numFmtId="9" fontId="3" fillId="7" borderId="20" xfId="21" applyNumberFormat="1" applyFont="1" applyBorder="1"/>
    <xf numFmtId="9" fontId="3" fillId="7" borderId="9" xfId="21" applyNumberFormat="1" applyFont="1" applyBorder="1"/>
    <xf numFmtId="9" fontId="3" fillId="7" borderId="11" xfId="1" applyFont="1" applyFill="1" applyBorder="1" applyAlignment="1"/>
    <xf numFmtId="9" fontId="3" fillId="7" borderId="15" xfId="1" applyFont="1" applyFill="1" applyBorder="1" applyAlignment="1"/>
    <xf numFmtId="9" fontId="3" fillId="3" borderId="0" xfId="1" applyFont="1" applyFill="1" applyBorder="1" applyAlignment="1"/>
    <xf numFmtId="9" fontId="0" fillId="3" borderId="0" xfId="1" applyFont="1" applyFill="1"/>
    <xf numFmtId="0" fontId="16" fillId="3" borderId="0" xfId="0" applyFont="1" applyFill="1" applyBorder="1"/>
    <xf numFmtId="0" fontId="6" fillId="3" borderId="0" xfId="0" applyFont="1" applyFill="1" applyBorder="1"/>
    <xf numFmtId="3" fontId="6" fillId="3" borderId="0" xfId="21" applyNumberFormat="1" applyFont="1" applyFill="1" applyBorder="1"/>
    <xf numFmtId="0" fontId="6" fillId="3" borderId="0" xfId="0" applyFont="1" applyFill="1"/>
    <xf numFmtId="0" fontId="14" fillId="3" borderId="12" xfId="19" applyFill="1"/>
    <xf numFmtId="0" fontId="14" fillId="3" borderId="12" xfId="19" applyFill="1" applyAlignment="1"/>
    <xf numFmtId="0" fontId="17" fillId="6" borderId="19" xfId="20" applyFont="1" applyBorder="1"/>
    <xf numFmtId="0" fontId="18" fillId="3" borderId="0" xfId="20" applyFont="1" applyFill="1" applyBorder="1" applyAlignment="1">
      <alignment horizontal="right"/>
    </xf>
    <xf numFmtId="0" fontId="15" fillId="3" borderId="0" xfId="20" applyFill="1" applyBorder="1"/>
    <xf numFmtId="1" fontId="17" fillId="3" borderId="0" xfId="20" applyNumberFormat="1" applyFont="1" applyFill="1" applyBorder="1"/>
    <xf numFmtId="0" fontId="17" fillId="6" borderId="19" xfId="20" applyFont="1" applyBorder="1" applyAlignment="1">
      <alignment horizontal="center"/>
    </xf>
    <xf numFmtId="0" fontId="17" fillId="6" borderId="8" xfId="20" applyFont="1" applyBorder="1" applyAlignment="1">
      <alignment horizontal="center"/>
    </xf>
    <xf numFmtId="9" fontId="3" fillId="7" borderId="8" xfId="21" applyNumberFormat="1" applyFont="1" applyBorder="1"/>
    <xf numFmtId="49" fontId="17" fillId="6" borderId="17" xfId="20" applyNumberFormat="1" applyFont="1" applyBorder="1"/>
    <xf numFmtId="0" fontId="15" fillId="6" borderId="17" xfId="20" applyBorder="1" applyAlignment="1">
      <alignment horizontal="center"/>
    </xf>
    <xf numFmtId="0" fontId="15" fillId="6" borderId="11" xfId="20" applyBorder="1" applyAlignment="1">
      <alignment horizontal="center"/>
    </xf>
    <xf numFmtId="166" fontId="3" fillId="7" borderId="11" xfId="21" applyNumberFormat="1" applyFont="1" applyBorder="1"/>
    <xf numFmtId="9" fontId="3" fillId="7" borderId="11" xfId="21" applyNumberFormat="1" applyFont="1" applyBorder="1"/>
    <xf numFmtId="0" fontId="15" fillId="6" borderId="17" xfId="20" applyBorder="1"/>
    <xf numFmtId="0" fontId="15" fillId="6" borderId="11" xfId="20" applyBorder="1" applyAlignment="1">
      <alignment horizontal="right"/>
    </xf>
    <xf numFmtId="0" fontId="6" fillId="3" borderId="0" xfId="0" applyFont="1" applyFill="1" applyAlignment="1">
      <alignment horizontal="center"/>
    </xf>
    <xf numFmtId="9" fontId="3" fillId="7" borderId="15" xfId="21" applyNumberFormat="1" applyFont="1" applyBorder="1"/>
    <xf numFmtId="0" fontId="3" fillId="3" borderId="0" xfId="0" applyFont="1" applyFill="1" applyBorder="1" applyAlignment="1">
      <alignment horizontal="right"/>
    </xf>
    <xf numFmtId="0" fontId="21" fillId="9" borderId="6" xfId="22" applyFont="1" applyBorder="1"/>
    <xf numFmtId="0" fontId="20" fillId="9" borderId="7" xfId="22" applyFont="1" applyBorder="1"/>
    <xf numFmtId="0" fontId="19" fillId="9" borderId="6" xfId="22" applyFont="1" applyBorder="1" applyAlignment="1">
      <alignment horizontal="right"/>
    </xf>
    <xf numFmtId="0" fontId="22" fillId="9" borderId="20" xfId="22" applyFont="1" applyBorder="1"/>
    <xf numFmtId="166" fontId="20" fillId="9" borderId="0" xfId="22" applyNumberFormat="1" applyFont="1" applyBorder="1"/>
    <xf numFmtId="9" fontId="19" fillId="9" borderId="20" xfId="22" applyNumberFormat="1" applyFont="1" applyBorder="1" applyAlignment="1">
      <alignment horizontal="right"/>
    </xf>
    <xf numFmtId="0" fontId="19" fillId="9" borderId="20" xfId="22" applyFont="1" applyBorder="1"/>
    <xf numFmtId="0" fontId="21" fillId="9" borderId="20" xfId="22" applyFont="1" applyBorder="1"/>
    <xf numFmtId="0" fontId="20" fillId="9" borderId="0" xfId="22" applyFont="1" applyBorder="1"/>
    <xf numFmtId="0" fontId="19" fillId="9" borderId="20" xfId="22" applyFont="1" applyBorder="1" applyAlignment="1">
      <alignment horizontal="right"/>
    </xf>
    <xf numFmtId="2" fontId="20" fillId="9" borderId="0" xfId="22" applyNumberFormat="1" applyFont="1" applyBorder="1"/>
    <xf numFmtId="0" fontId="3" fillId="3" borderId="0" xfId="21" applyFont="1" applyFill="1" applyBorder="1"/>
    <xf numFmtId="0" fontId="3" fillId="3" borderId="0" xfId="21" applyFont="1" applyFill="1" applyBorder="1" applyAlignment="1">
      <alignment horizontal="left"/>
    </xf>
    <xf numFmtId="0" fontId="1" fillId="3" borderId="0" xfId="21" applyFill="1" applyBorder="1"/>
    <xf numFmtId="0" fontId="1" fillId="3" borderId="0" xfId="21" applyFill="1" applyBorder="1" applyAlignment="1">
      <alignment horizontal="right"/>
    </xf>
    <xf numFmtId="0" fontId="17" fillId="3" borderId="21" xfId="20" applyFont="1" applyFill="1" applyBorder="1"/>
    <xf numFmtId="3" fontId="17" fillId="3" borderId="22" xfId="20" applyNumberFormat="1" applyFont="1" applyFill="1" applyBorder="1"/>
    <xf numFmtId="0" fontId="17" fillId="3" borderId="22" xfId="20" applyFont="1" applyFill="1" applyBorder="1" applyAlignment="1">
      <alignment horizontal="right"/>
    </xf>
    <xf numFmtId="0" fontId="15" fillId="3" borderId="8" xfId="20" applyFill="1" applyBorder="1"/>
    <xf numFmtId="0" fontId="23" fillId="6" borderId="6" xfId="20" applyFont="1" applyBorder="1"/>
    <xf numFmtId="3" fontId="15" fillId="6" borderId="7" xfId="20" applyNumberFormat="1" applyBorder="1"/>
    <xf numFmtId="3" fontId="17" fillId="6" borderId="7" xfId="20" applyNumberFormat="1" applyFont="1" applyBorder="1"/>
    <xf numFmtId="0" fontId="15" fillId="7" borderId="6" xfId="21" applyFont="1" applyBorder="1"/>
    <xf numFmtId="0" fontId="23" fillId="6" borderId="20" xfId="20" applyFont="1" applyBorder="1"/>
    <xf numFmtId="3" fontId="15" fillId="6" borderId="0" xfId="20" applyNumberFormat="1" applyBorder="1"/>
    <xf numFmtId="0" fontId="17" fillId="6" borderId="0" xfId="20" applyFont="1" applyBorder="1" applyAlignment="1">
      <alignment horizontal="right"/>
    </xf>
    <xf numFmtId="0" fontId="15" fillId="7" borderId="20" xfId="21" applyFont="1" applyBorder="1"/>
    <xf numFmtId="0" fontId="15" fillId="6" borderId="20" xfId="20" applyBorder="1"/>
    <xf numFmtId="0" fontId="17" fillId="6" borderId="0" xfId="20" applyFont="1" applyBorder="1" applyAlignment="1">
      <alignment horizontal="center"/>
    </xf>
    <xf numFmtId="0" fontId="15" fillId="6" borderId="9" xfId="20" applyBorder="1"/>
    <xf numFmtId="3" fontId="15" fillId="6" borderId="10" xfId="20" applyNumberFormat="1" applyBorder="1" applyAlignment="1">
      <alignment horizontal="center"/>
    </xf>
    <xf numFmtId="0" fontId="15" fillId="7" borderId="9" xfId="21" applyFont="1" applyBorder="1" applyAlignment="1">
      <alignment horizontal="center"/>
    </xf>
    <xf numFmtId="3" fontId="15" fillId="3" borderId="0" xfId="20" applyNumberFormat="1" applyFill="1" applyBorder="1" applyAlignment="1"/>
    <xf numFmtId="0" fontId="17" fillId="3" borderId="0" xfId="20" applyFont="1" applyFill="1" applyBorder="1" applyAlignment="1"/>
    <xf numFmtId="0" fontId="15" fillId="3" borderId="0" xfId="21" applyFont="1" applyFill="1" applyBorder="1"/>
    <xf numFmtId="0" fontId="17" fillId="3" borderId="23" xfId="20" applyFont="1" applyFill="1" applyBorder="1"/>
    <xf numFmtId="0" fontId="15" fillId="3" borderId="22" xfId="20" applyFill="1" applyBorder="1" applyAlignment="1"/>
    <xf numFmtId="0" fontId="15" fillId="3" borderId="24" xfId="20" applyFill="1" applyBorder="1" applyAlignment="1"/>
    <xf numFmtId="0" fontId="15" fillId="3" borderId="0" xfId="20" applyFill="1" applyBorder="1" applyAlignment="1"/>
    <xf numFmtId="0" fontId="19" fillId="9" borderId="19" xfId="22" applyBorder="1"/>
    <xf numFmtId="0" fontId="19" fillId="9" borderId="7" xfId="22" applyBorder="1" applyAlignment="1"/>
    <xf numFmtId="0" fontId="19" fillId="9" borderId="8" xfId="22" applyBorder="1" applyAlignment="1"/>
    <xf numFmtId="0" fontId="19" fillId="9" borderId="17" xfId="22" applyBorder="1"/>
    <xf numFmtId="3" fontId="19" fillId="9" borderId="0" xfId="22" applyNumberFormat="1" applyBorder="1" applyAlignment="1"/>
    <xf numFmtId="3" fontId="19" fillId="9" borderId="11" xfId="22" applyNumberFormat="1" applyBorder="1" applyAlignment="1"/>
    <xf numFmtId="3" fontId="3" fillId="3" borderId="0" xfId="21" applyNumberFormat="1" applyFont="1" applyFill="1" applyBorder="1"/>
    <xf numFmtId="3" fontId="1" fillId="3" borderId="0" xfId="21" applyNumberFormat="1" applyFill="1" applyBorder="1" applyAlignment="1"/>
    <xf numFmtId="3" fontId="1" fillId="3" borderId="0" xfId="21" applyNumberFormat="1" applyFill="1" applyBorder="1"/>
    <xf numFmtId="0" fontId="19" fillId="9" borderId="18" xfId="22" applyBorder="1"/>
    <xf numFmtId="3" fontId="19" fillId="9" borderId="10" xfId="22" applyNumberFormat="1" applyBorder="1" applyAlignment="1"/>
    <xf numFmtId="0" fontId="19" fillId="9" borderId="10" xfId="22" applyBorder="1" applyAlignment="1"/>
    <xf numFmtId="0" fontId="19" fillId="9" borderId="15" xfId="22" applyBorder="1" applyAlignment="1"/>
    <xf numFmtId="0" fontId="1" fillId="3" borderId="0" xfId="21" applyFill="1" applyBorder="1" applyAlignment="1"/>
    <xf numFmtId="0" fontId="17" fillId="6" borderId="10" xfId="20" applyFont="1" applyBorder="1" applyAlignment="1">
      <alignment horizontal="center"/>
    </xf>
    <xf numFmtId="3" fontId="0" fillId="3" borderId="0" xfId="21" applyNumberFormat="1" applyFont="1" applyFill="1" applyBorder="1"/>
    <xf numFmtId="0" fontId="0" fillId="3" borderId="0" xfId="21" applyFont="1" applyFill="1" applyBorder="1"/>
    <xf numFmtId="0" fontId="0" fillId="3" borderId="0" xfId="21" applyFont="1" applyFill="1" applyBorder="1" applyAlignment="1">
      <alignment horizontal="left"/>
    </xf>
    <xf numFmtId="9" fontId="3" fillId="3" borderId="0" xfId="21" applyNumberFormat="1" applyFont="1" applyFill="1" applyBorder="1"/>
    <xf numFmtId="9" fontId="3" fillId="3" borderId="0" xfId="1" applyFont="1" applyFill="1" applyBorder="1"/>
    <xf numFmtId="3" fontId="17" fillId="6" borderId="0" xfId="20" applyNumberFormat="1" applyFont="1" applyBorder="1"/>
    <xf numFmtId="0" fontId="23" fillId="6" borderId="19" xfId="20" applyFont="1" applyBorder="1"/>
    <xf numFmtId="0" fontId="23" fillId="6" borderId="17" xfId="20" applyFont="1" applyBorder="1"/>
    <xf numFmtId="0" fontId="15" fillId="6" borderId="18" xfId="20" applyBorder="1"/>
    <xf numFmtId="0" fontId="15" fillId="7" borderId="8" xfId="21" applyFont="1" applyBorder="1"/>
    <xf numFmtId="0" fontId="15" fillId="7" borderId="11" xfId="21" applyFont="1" applyBorder="1"/>
    <xf numFmtId="0" fontId="15" fillId="7" borderId="15" xfId="21" applyFont="1" applyBorder="1" applyAlignment="1">
      <alignment horizontal="center"/>
    </xf>
    <xf numFmtId="3" fontId="17" fillId="3" borderId="7" xfId="20" applyNumberFormat="1" applyFont="1" applyFill="1" applyBorder="1"/>
    <xf numFmtId="0" fontId="17" fillId="3" borderId="7" xfId="20" applyFont="1" applyFill="1" applyBorder="1" applyAlignment="1">
      <alignment horizontal="right"/>
    </xf>
    <xf numFmtId="3" fontId="15" fillId="6" borderId="19" xfId="20" applyNumberFormat="1" applyBorder="1"/>
    <xf numFmtId="3" fontId="17" fillId="6" borderId="8" xfId="20" applyNumberFormat="1" applyFont="1" applyBorder="1"/>
    <xf numFmtId="3" fontId="15" fillId="6" borderId="17" xfId="20" applyNumberFormat="1" applyBorder="1"/>
    <xf numFmtId="3" fontId="17" fillId="6" borderId="11" xfId="20" applyNumberFormat="1" applyFont="1" applyBorder="1"/>
    <xf numFmtId="0" fontId="17" fillId="6" borderId="11" xfId="20" applyFont="1" applyBorder="1" applyAlignment="1">
      <alignment horizontal="right"/>
    </xf>
    <xf numFmtId="3" fontId="15" fillId="6" borderId="18" xfId="20" applyNumberFormat="1" applyBorder="1" applyAlignment="1">
      <alignment horizontal="center"/>
    </xf>
    <xf numFmtId="3" fontId="17" fillId="6" borderId="15" xfId="20" applyNumberFormat="1" applyFont="1" applyBorder="1" applyAlignment="1">
      <alignment horizontal="center"/>
    </xf>
    <xf numFmtId="0" fontId="3" fillId="7" borderId="6" xfId="21" applyFont="1" applyBorder="1" applyAlignment="1">
      <alignment horizontal="left"/>
    </xf>
    <xf numFmtId="0" fontId="3" fillId="7" borderId="20" xfId="21" applyFont="1" applyBorder="1" applyAlignment="1">
      <alignment horizontal="left"/>
    </xf>
    <xf numFmtId="0" fontId="3" fillId="7" borderId="9" xfId="21" applyFont="1" applyBorder="1" applyAlignment="1">
      <alignment horizontal="left"/>
    </xf>
    <xf numFmtId="3" fontId="3" fillId="3" borderId="0" xfId="0" applyNumberFormat="1" applyFont="1" applyFill="1"/>
    <xf numFmtId="2" fontId="0" fillId="3" borderId="0" xfId="0" applyNumberFormat="1" applyFill="1"/>
    <xf numFmtId="1" fontId="0" fillId="3" borderId="0" xfId="0" applyNumberFormat="1" applyFill="1"/>
    <xf numFmtId="3" fontId="0" fillId="7" borderId="20" xfId="21" applyNumberFormat="1" applyFont="1" applyBorder="1"/>
    <xf numFmtId="3" fontId="0" fillId="7" borderId="9" xfId="21" applyNumberFormat="1" applyFont="1" applyBorder="1"/>
    <xf numFmtId="3" fontId="3" fillId="3" borderId="0" xfId="0" applyNumberFormat="1" applyFont="1" applyFill="1" applyBorder="1"/>
    <xf numFmtId="0" fontId="25" fillId="3" borderId="25" xfId="24" applyFill="1"/>
    <xf numFmtId="0" fontId="0" fillId="3" borderId="4" xfId="0" applyFill="1" applyBorder="1"/>
    <xf numFmtId="0" fontId="24" fillId="3" borderId="12" xfId="23" applyFill="1" applyBorder="1" applyAlignment="1"/>
    <xf numFmtId="3" fontId="6" fillId="0" borderId="0" xfId="3"/>
    <xf numFmtId="3" fontId="25" fillId="3" borderId="25" xfId="24" applyNumberFormat="1" applyFill="1"/>
    <xf numFmtId="9" fontId="20" fillId="9" borderId="20" xfId="22" applyNumberFormat="1" applyFont="1" applyBorder="1"/>
    <xf numFmtId="0" fontId="19" fillId="9" borderId="13" xfId="22"/>
    <xf numFmtId="0" fontId="27" fillId="6" borderId="13" xfId="20" applyFont="1"/>
    <xf numFmtId="0" fontId="22" fillId="3" borderId="0" xfId="22" applyFont="1" applyFill="1" applyBorder="1"/>
    <xf numFmtId="2" fontId="20" fillId="3" borderId="0" xfId="22" applyNumberFormat="1" applyFont="1" applyFill="1" applyBorder="1"/>
    <xf numFmtId="2" fontId="19" fillId="3" borderId="0" xfId="22" applyNumberFormat="1" applyFont="1" applyFill="1" applyBorder="1" applyAlignment="1">
      <alignment horizontal="right"/>
    </xf>
    <xf numFmtId="0" fontId="2" fillId="3" borderId="1" xfId="17" applyFill="1"/>
    <xf numFmtId="0" fontId="0" fillId="3" borderId="26" xfId="0" applyFill="1" applyBorder="1"/>
    <xf numFmtId="0" fontId="19" fillId="9" borderId="13" xfId="22" applyAlignment="1">
      <alignment horizontal="center"/>
    </xf>
    <xf numFmtId="0" fontId="0" fillId="7" borderId="17" xfId="21" applyFont="1" applyBorder="1"/>
    <xf numFmtId="167" fontId="19" fillId="9" borderId="13" xfId="22" applyNumberFormat="1" applyAlignment="1">
      <alignment horizontal="center"/>
    </xf>
    <xf numFmtId="167" fontId="0" fillId="3" borderId="0" xfId="0" applyNumberFormat="1" applyFill="1"/>
    <xf numFmtId="0" fontId="19" fillId="7" borderId="27" xfId="21" applyFont="1" applyBorder="1"/>
    <xf numFmtId="0" fontId="19" fillId="7" borderId="28" xfId="21" applyFont="1" applyBorder="1"/>
    <xf numFmtId="0" fontId="28" fillId="7" borderId="17" xfId="21" applyFont="1" applyBorder="1"/>
    <xf numFmtId="0" fontId="28" fillId="7" borderId="0" xfId="21" applyFont="1" applyBorder="1"/>
    <xf numFmtId="0" fontId="28" fillId="7" borderId="11" xfId="21" applyFont="1" applyBorder="1"/>
    <xf numFmtId="49" fontId="0" fillId="3" borderId="0" xfId="0" applyNumberFormat="1" applyFill="1"/>
    <xf numFmtId="0" fontId="19" fillId="7" borderId="17" xfId="21" applyFont="1" applyBorder="1"/>
    <xf numFmtId="1" fontId="0" fillId="7" borderId="11" xfId="21" applyNumberFormat="1" applyFont="1" applyBorder="1"/>
    <xf numFmtId="0" fontId="19" fillId="9" borderId="29" xfId="22" applyBorder="1"/>
    <xf numFmtId="0" fontId="19" fillId="9" borderId="13" xfId="22" applyBorder="1"/>
    <xf numFmtId="2" fontId="19" fillId="9" borderId="13" xfId="22" applyNumberFormat="1" applyBorder="1"/>
    <xf numFmtId="2" fontId="19" fillId="9" borderId="30" xfId="22" applyNumberFormat="1" applyBorder="1"/>
    <xf numFmtId="0" fontId="29" fillId="3" borderId="0" xfId="0" applyFont="1" applyFill="1"/>
    <xf numFmtId="0" fontId="0" fillId="7" borderId="18" xfId="21" applyFont="1" applyBorder="1"/>
    <xf numFmtId="0" fontId="19" fillId="9" borderId="13" xfId="22" applyAlignment="1" applyProtection="1">
      <alignment horizontal="left"/>
    </xf>
    <xf numFmtId="0" fontId="19" fillId="9" borderId="13" xfId="22" applyAlignment="1" applyProtection="1">
      <alignment horizontal="right"/>
    </xf>
    <xf numFmtId="0" fontId="19" fillId="9" borderId="13" xfId="22" applyProtection="1"/>
    <xf numFmtId="0" fontId="26" fillId="7" borderId="19" xfId="21" applyFont="1" applyBorder="1"/>
    <xf numFmtId="0" fontId="26" fillId="7" borderId="7" xfId="21" applyFont="1" applyBorder="1"/>
    <xf numFmtId="0" fontId="26" fillId="7" borderId="8" xfId="21" applyFont="1" applyBorder="1"/>
    <xf numFmtId="0" fontId="26" fillId="7" borderId="17" xfId="21" applyFont="1" applyBorder="1"/>
    <xf numFmtId="0" fontId="30" fillId="7" borderId="0" xfId="21" applyFont="1" applyBorder="1" applyAlignment="1">
      <alignment horizontal="center"/>
    </xf>
    <xf numFmtId="0" fontId="30" fillId="7" borderId="0" xfId="21" applyFont="1" applyBorder="1"/>
    <xf numFmtId="0" fontId="26" fillId="7" borderId="0" xfId="21" applyFont="1" applyBorder="1"/>
    <xf numFmtId="0" fontId="26" fillId="7" borderId="11" xfId="21" applyFont="1" applyBorder="1"/>
    <xf numFmtId="0" fontId="30" fillId="7" borderId="17" xfId="21" applyFont="1" applyBorder="1"/>
    <xf numFmtId="0" fontId="26" fillId="7" borderId="0" xfId="21" applyFont="1" applyBorder="1" applyAlignment="1" applyProtection="1">
      <alignment horizontal="center"/>
    </xf>
    <xf numFmtId="3" fontId="26" fillId="7" borderId="0" xfId="21" applyNumberFormat="1" applyFont="1" applyBorder="1" applyAlignment="1" applyProtection="1">
      <alignment horizontal="center"/>
    </xf>
    <xf numFmtId="3" fontId="26" fillId="7" borderId="0" xfId="21" applyNumberFormat="1" applyFont="1" applyBorder="1" applyAlignment="1">
      <alignment horizontal="center"/>
    </xf>
    <xf numFmtId="9" fontId="26" fillId="7" borderId="0" xfId="21" applyNumberFormat="1" applyFont="1" applyBorder="1"/>
    <xf numFmtId="1" fontId="26" fillId="7" borderId="0" xfId="21" applyNumberFormat="1" applyFont="1" applyBorder="1"/>
    <xf numFmtId="0" fontId="26" fillId="7" borderId="0" xfId="21" applyFont="1" applyBorder="1" applyAlignment="1">
      <alignment horizontal="center"/>
    </xf>
    <xf numFmtId="0" fontId="26" fillId="7" borderId="0" xfId="21" applyFont="1" applyBorder="1" applyAlignment="1" applyProtection="1">
      <alignment horizontal="right"/>
    </xf>
    <xf numFmtId="0" fontId="26" fillId="7" borderId="0" xfId="21" applyFont="1" applyBorder="1" applyProtection="1"/>
    <xf numFmtId="3" fontId="26" fillId="7" borderId="0" xfId="21" applyNumberFormat="1" applyFont="1" applyBorder="1"/>
    <xf numFmtId="0" fontId="26" fillId="7" borderId="18" xfId="21" applyFont="1" applyBorder="1"/>
    <xf numFmtId="0" fontId="26" fillId="7" borderId="10" xfId="21" applyFont="1" applyBorder="1" applyAlignment="1" applyProtection="1">
      <alignment horizontal="right"/>
    </xf>
    <xf numFmtId="0" fontId="26" fillId="7" borderId="10" xfId="21" applyFont="1" applyBorder="1" applyProtection="1"/>
    <xf numFmtId="0" fontId="26" fillId="7" borderId="10" xfId="21" applyFont="1" applyBorder="1"/>
    <xf numFmtId="0" fontId="26" fillId="7" borderId="15" xfId="21" applyFont="1" applyBorder="1"/>
    <xf numFmtId="0" fontId="3" fillId="3" borderId="26" xfId="0" applyFont="1" applyFill="1" applyBorder="1"/>
    <xf numFmtId="3" fontId="4" fillId="3" borderId="0" xfId="0" applyNumberFormat="1" applyFont="1" applyFill="1"/>
    <xf numFmtId="0" fontId="3" fillId="3" borderId="10" xfId="0" applyFont="1" applyFill="1" applyBorder="1"/>
    <xf numFmtId="0" fontId="3" fillId="3" borderId="10" xfId="0" applyFont="1" applyFill="1" applyBorder="1" applyAlignment="1">
      <alignment horizontal="right"/>
    </xf>
    <xf numFmtId="3" fontId="0" fillId="3" borderId="0" xfId="0" applyNumberFormat="1" applyFill="1" applyBorder="1" applyAlignment="1">
      <alignment horizontal="right"/>
    </xf>
    <xf numFmtId="167" fontId="0" fillId="3" borderId="0" xfId="18" applyNumberFormat="1" applyFont="1" applyFill="1" applyBorder="1" applyAlignment="1">
      <alignment horizontal="right"/>
    </xf>
    <xf numFmtId="167" fontId="3" fillId="3" borderId="0" xfId="0" applyNumberFormat="1" applyFont="1" applyFill="1"/>
    <xf numFmtId="0" fontId="31" fillId="3" borderId="4" xfId="0" applyFont="1" applyFill="1" applyBorder="1"/>
    <xf numFmtId="0" fontId="31" fillId="3" borderId="0" xfId="0" applyFont="1" applyFill="1"/>
    <xf numFmtId="167" fontId="3" fillId="3" borderId="0" xfId="18" applyNumberFormat="1" applyFont="1" applyFill="1" applyBorder="1" applyAlignment="1">
      <alignment horizontal="right"/>
    </xf>
    <xf numFmtId="0" fontId="3" fillId="3" borderId="4" xfId="0" applyFont="1" applyFill="1" applyBorder="1"/>
    <xf numFmtId="0" fontId="32" fillId="3" borderId="0" xfId="0" applyFont="1" applyFill="1"/>
    <xf numFmtId="0" fontId="33" fillId="3" borderId="4" xfId="0" applyFont="1" applyFill="1" applyBorder="1"/>
    <xf numFmtId="1" fontId="20" fillId="3" borderId="0" xfId="22" applyNumberFormat="1" applyFont="1" applyFill="1" applyBorder="1"/>
    <xf numFmtId="3" fontId="19" fillId="9" borderId="20" xfId="22" applyNumberFormat="1" applyFont="1" applyBorder="1" applyAlignment="1">
      <alignment horizontal="right"/>
    </xf>
    <xf numFmtId="1" fontId="20" fillId="9" borderId="0" xfId="22" applyNumberFormat="1" applyFont="1" applyBorder="1"/>
    <xf numFmtId="0" fontId="34" fillId="9" borderId="21" xfId="22" applyFont="1" applyBorder="1"/>
    <xf numFmtId="0" fontId="20" fillId="9" borderId="19" xfId="22" applyFont="1" applyBorder="1"/>
    <xf numFmtId="0" fontId="20" fillId="9" borderId="8" xfId="22" applyFont="1" applyBorder="1"/>
    <xf numFmtId="166" fontId="20" fillId="9" borderId="17" xfId="22" applyNumberFormat="1" applyFont="1" applyBorder="1"/>
    <xf numFmtId="166" fontId="20" fillId="9" borderId="11" xfId="22" applyNumberFormat="1" applyFont="1" applyBorder="1"/>
    <xf numFmtId="0" fontId="20" fillId="9" borderId="17" xfId="22" applyFont="1" applyBorder="1"/>
    <xf numFmtId="0" fontId="20" fillId="9" borderId="11" xfId="22" applyFont="1" applyBorder="1"/>
    <xf numFmtId="1" fontId="20" fillId="9" borderId="17" xfId="22" applyNumberFormat="1" applyFont="1" applyBorder="1"/>
    <xf numFmtId="1" fontId="20" fillId="9" borderId="11" xfId="22" applyNumberFormat="1" applyFont="1" applyBorder="1"/>
    <xf numFmtId="2" fontId="20" fillId="9" borderId="17" xfId="22" applyNumberFormat="1" applyFont="1" applyBorder="1"/>
    <xf numFmtId="2" fontId="20" fillId="9" borderId="11" xfId="22" applyNumberFormat="1" applyFont="1" applyBorder="1"/>
    <xf numFmtId="0" fontId="17" fillId="6" borderId="18" xfId="20" applyFont="1" applyBorder="1" applyAlignment="1">
      <alignment horizontal="center"/>
    </xf>
    <xf numFmtId="0" fontId="17" fillId="6" borderId="15" xfId="20" applyFont="1" applyBorder="1" applyAlignment="1">
      <alignment horizontal="center"/>
    </xf>
    <xf numFmtId="3" fontId="20" fillId="9" borderId="23" xfId="22" applyNumberFormat="1" applyFont="1" applyBorder="1"/>
    <xf numFmtId="166" fontId="20" fillId="3" borderId="0" xfId="22" applyNumberFormat="1" applyFont="1" applyFill="1" applyBorder="1"/>
    <xf numFmtId="0" fontId="6" fillId="3" borderId="0" xfId="0" applyFont="1" applyFill="1" applyBorder="1" applyAlignment="1">
      <alignment horizontal="center"/>
    </xf>
    <xf numFmtId="9" fontId="19" fillId="3" borderId="0" xfId="22" applyNumberFormat="1" applyFont="1" applyFill="1" applyBorder="1" applyAlignment="1">
      <alignment horizontal="right"/>
    </xf>
    <xf numFmtId="0" fontId="19" fillId="3" borderId="0" xfId="22" applyFont="1" applyFill="1" applyBorder="1"/>
    <xf numFmtId="0" fontId="19" fillId="7" borderId="7" xfId="21" applyFont="1" applyBorder="1"/>
    <xf numFmtId="0" fontId="28" fillId="7" borderId="6" xfId="21" applyFont="1" applyBorder="1"/>
    <xf numFmtId="0" fontId="19" fillId="7" borderId="9" xfId="21" applyFont="1" applyBorder="1"/>
    <xf numFmtId="0" fontId="21" fillId="7" borderId="7" xfId="21" applyFont="1" applyBorder="1"/>
    <xf numFmtId="0" fontId="21" fillId="7" borderId="8" xfId="21" applyFont="1" applyBorder="1"/>
    <xf numFmtId="0" fontId="28" fillId="7" borderId="23" xfId="21" applyFont="1" applyBorder="1"/>
    <xf numFmtId="0" fontId="19" fillId="7" borderId="24" xfId="21" applyFont="1" applyBorder="1"/>
    <xf numFmtId="0" fontId="28" fillId="7" borderId="24" xfId="21" applyFont="1" applyBorder="1"/>
    <xf numFmtId="0" fontId="21" fillId="7" borderId="19" xfId="21" applyFont="1" applyBorder="1"/>
    <xf numFmtId="0" fontId="0" fillId="11" borderId="7" xfId="0" applyFill="1" applyBorder="1"/>
    <xf numFmtId="0" fontId="0" fillId="11" borderId="8" xfId="0" applyFill="1" applyBorder="1"/>
    <xf numFmtId="0" fontId="0" fillId="11" borderId="0" xfId="0" applyFill="1" applyBorder="1"/>
    <xf numFmtId="0" fontId="0" fillId="11" borderId="11" xfId="0" applyFill="1" applyBorder="1"/>
    <xf numFmtId="0" fontId="0" fillId="11" borderId="10" xfId="0" applyFill="1" applyBorder="1"/>
    <xf numFmtId="0" fontId="0" fillId="11" borderId="15" xfId="0" applyFill="1" applyBorder="1"/>
    <xf numFmtId="0" fontId="0" fillId="10" borderId="19" xfId="0" applyFill="1" applyBorder="1"/>
    <xf numFmtId="0" fontId="0" fillId="10" borderId="7" xfId="0" applyFill="1" applyBorder="1"/>
    <xf numFmtId="0" fontId="0" fillId="10" borderId="8" xfId="0" applyFill="1" applyBorder="1"/>
    <xf numFmtId="0" fontId="0" fillId="10" borderId="18" xfId="0" applyFill="1" applyBorder="1"/>
    <xf numFmtId="0" fontId="0" fillId="10" borderId="10" xfId="0" applyFill="1" applyBorder="1"/>
    <xf numFmtId="0" fontId="0" fillId="10" borderId="15" xfId="0" applyFill="1" applyBorder="1"/>
    <xf numFmtId="0" fontId="0" fillId="10" borderId="17" xfId="0" applyFill="1" applyBorder="1"/>
    <xf numFmtId="0" fontId="0" fillId="10" borderId="0" xfId="0" applyFill="1" applyBorder="1"/>
    <xf numFmtId="0" fontId="0" fillId="10" borderId="11" xfId="0" applyFill="1" applyBorder="1"/>
    <xf numFmtId="0" fontId="3" fillId="10" borderId="19" xfId="0" applyFont="1" applyFill="1" applyBorder="1"/>
    <xf numFmtId="0" fontId="3" fillId="10" borderId="18" xfId="0" applyFont="1" applyFill="1" applyBorder="1"/>
    <xf numFmtId="0" fontId="3" fillId="10" borderId="8" xfId="0" applyFont="1" applyFill="1" applyBorder="1"/>
    <xf numFmtId="0" fontId="3" fillId="10" borderId="15" xfId="0" applyFont="1" applyFill="1" applyBorder="1"/>
    <xf numFmtId="0" fontId="3" fillId="10" borderId="11" xfId="0" applyFont="1" applyFill="1" applyBorder="1"/>
    <xf numFmtId="0" fontId="3" fillId="10" borderId="17" xfId="0" applyFont="1" applyFill="1" applyBorder="1"/>
    <xf numFmtId="0" fontId="0" fillId="10" borderId="19" xfId="0" applyFont="1" applyFill="1" applyBorder="1"/>
    <xf numFmtId="0" fontId="0" fillId="10" borderId="7" xfId="0" applyFont="1" applyFill="1" applyBorder="1"/>
    <xf numFmtId="0" fontId="0" fillId="10" borderId="10" xfId="0" applyFont="1" applyFill="1" applyBorder="1"/>
    <xf numFmtId="0" fontId="0" fillId="10" borderId="26" xfId="0" applyFill="1" applyBorder="1"/>
    <xf numFmtId="0" fontId="28" fillId="10" borderId="19" xfId="21" applyFont="1" applyFill="1" applyBorder="1"/>
    <xf numFmtId="0" fontId="0" fillId="10" borderId="33" xfId="0" applyFont="1" applyFill="1" applyBorder="1"/>
    <xf numFmtId="0" fontId="0" fillId="10" borderId="34" xfId="0" applyFont="1" applyFill="1" applyBorder="1"/>
    <xf numFmtId="0" fontId="0" fillId="10" borderId="31" xfId="0" applyFont="1" applyFill="1" applyBorder="1"/>
    <xf numFmtId="0" fontId="0" fillId="10" borderId="32" xfId="0" applyFont="1" applyFill="1" applyBorder="1"/>
    <xf numFmtId="0" fontId="3" fillId="10" borderId="23" xfId="0" applyFont="1" applyFill="1" applyBorder="1"/>
    <xf numFmtId="0" fontId="3" fillId="10" borderId="22" xfId="0" applyFont="1" applyFill="1" applyBorder="1"/>
    <xf numFmtId="0" fontId="3" fillId="10" borderId="24" xfId="0" applyFont="1" applyFill="1" applyBorder="1"/>
    <xf numFmtId="0" fontId="28" fillId="10" borderId="18" xfId="21" applyFont="1" applyFill="1" applyBorder="1"/>
    <xf numFmtId="0" fontId="0" fillId="12" borderId="35" xfId="0" applyFill="1" applyBorder="1"/>
    <xf numFmtId="0" fontId="0" fillId="12" borderId="36" xfId="0" applyFill="1" applyBorder="1"/>
    <xf numFmtId="0" fontId="0" fillId="12" borderId="0" xfId="0" applyFill="1"/>
    <xf numFmtId="0" fontId="0" fillId="12" borderId="0" xfId="0" applyFill="1" applyBorder="1"/>
    <xf numFmtId="0" fontId="0" fillId="12" borderId="3" xfId="0" applyFill="1" applyBorder="1"/>
    <xf numFmtId="0" fontId="36" fillId="12" borderId="0" xfId="0" applyFont="1" applyFill="1" applyBorder="1"/>
    <xf numFmtId="0" fontId="37" fillId="12" borderId="0" xfId="0" applyFont="1" applyFill="1" applyBorder="1"/>
    <xf numFmtId="0" fontId="38" fillId="12" borderId="0" xfId="0" applyFont="1" applyFill="1" applyBorder="1"/>
    <xf numFmtId="0" fontId="37" fillId="4" borderId="37" xfId="0" applyFont="1" applyFill="1" applyBorder="1"/>
    <xf numFmtId="0" fontId="0" fillId="4" borderId="38" xfId="0" applyFill="1" applyBorder="1"/>
    <xf numFmtId="0" fontId="0" fillId="4" borderId="37" xfId="0" applyFill="1" applyBorder="1"/>
    <xf numFmtId="0" fontId="4" fillId="4" borderId="37" xfId="0" applyFont="1" applyFill="1" applyBorder="1" applyAlignment="1">
      <alignment horizontal="right"/>
    </xf>
    <xf numFmtId="0" fontId="0" fillId="13" borderId="37" xfId="0" applyFill="1" applyBorder="1"/>
    <xf numFmtId="0" fontId="0" fillId="13" borderId="39" xfId="0" applyFill="1" applyBorder="1"/>
    <xf numFmtId="0" fontId="0" fillId="13" borderId="0" xfId="0" applyFill="1"/>
    <xf numFmtId="0" fontId="38" fillId="4" borderId="40" xfId="0" applyFont="1" applyFill="1" applyBorder="1"/>
    <xf numFmtId="0" fontId="37" fillId="4" borderId="40" xfId="0" applyFont="1" applyFill="1" applyBorder="1"/>
    <xf numFmtId="0" fontId="0" fillId="4" borderId="41" xfId="0" applyFill="1" applyBorder="1"/>
    <xf numFmtId="0" fontId="0" fillId="4" borderId="40" xfId="0" applyFill="1" applyBorder="1"/>
    <xf numFmtId="0" fontId="39" fillId="4" borderId="40" xfId="0" applyFont="1" applyFill="1" applyBorder="1" applyAlignment="1">
      <alignment horizontal="right"/>
    </xf>
    <xf numFmtId="0" fontId="16" fillId="4" borderId="40" xfId="0" applyFont="1" applyFill="1" applyBorder="1"/>
    <xf numFmtId="0" fontId="0" fillId="13" borderId="40" xfId="0" applyFill="1" applyBorder="1"/>
    <xf numFmtId="0" fontId="0" fillId="13" borderId="42" xfId="0" applyFill="1" applyBorder="1"/>
    <xf numFmtId="0" fontId="37" fillId="4" borderId="0" xfId="0" applyFont="1" applyFill="1" applyBorder="1"/>
    <xf numFmtId="0" fontId="0" fillId="4" borderId="0" xfId="0" applyFill="1"/>
    <xf numFmtId="0" fontId="36" fillId="4" borderId="43" xfId="0" applyFont="1" applyFill="1" applyBorder="1"/>
    <xf numFmtId="0" fontId="37" fillId="4" borderId="44" xfId="0" applyFont="1" applyFill="1" applyBorder="1"/>
    <xf numFmtId="0" fontId="36" fillId="4" borderId="0" xfId="0" applyFont="1" applyFill="1" applyBorder="1"/>
    <xf numFmtId="0" fontId="16" fillId="4" borderId="0" xfId="0" applyFont="1" applyFill="1"/>
    <xf numFmtId="3" fontId="16" fillId="4" borderId="0" xfId="0" applyNumberFormat="1" applyFont="1" applyFill="1"/>
    <xf numFmtId="0" fontId="40" fillId="4" borderId="0" xfId="0" applyFont="1" applyFill="1" applyBorder="1"/>
    <xf numFmtId="0" fontId="41" fillId="4" borderId="3" xfId="0" applyFont="1" applyFill="1" applyBorder="1"/>
    <xf numFmtId="1" fontId="16" fillId="4" borderId="0" xfId="0" applyNumberFormat="1" applyFont="1" applyFill="1" applyBorder="1"/>
    <xf numFmtId="168" fontId="16" fillId="4" borderId="0" xfId="1" applyNumberFormat="1" applyFont="1" applyFill="1"/>
    <xf numFmtId="0" fontId="16" fillId="4" borderId="3" xfId="0" applyFont="1" applyFill="1" applyBorder="1"/>
    <xf numFmtId="0" fontId="0" fillId="4" borderId="0" xfId="0" applyFont="1" applyFill="1" applyBorder="1"/>
    <xf numFmtId="3" fontId="41" fillId="4" borderId="0" xfId="0" applyNumberFormat="1" applyFont="1" applyFill="1" applyBorder="1"/>
    <xf numFmtId="1" fontId="16" fillId="4" borderId="0" xfId="0" applyNumberFormat="1" applyFont="1" applyFill="1"/>
    <xf numFmtId="0" fontId="0" fillId="4" borderId="0" xfId="0" applyFill="1" applyBorder="1"/>
    <xf numFmtId="0" fontId="38" fillId="4" borderId="0" xfId="0" applyFont="1" applyFill="1" applyBorder="1"/>
    <xf numFmtId="1" fontId="42" fillId="4" borderId="0" xfId="0" applyNumberFormat="1" applyFont="1" applyFill="1" applyBorder="1"/>
    <xf numFmtId="168" fontId="16" fillId="4" borderId="0" xfId="0" applyNumberFormat="1" applyFont="1" applyFill="1" applyBorder="1"/>
    <xf numFmtId="0" fontId="16" fillId="4" borderId="0" xfId="0" applyFont="1" applyFill="1" applyBorder="1"/>
    <xf numFmtId="169" fontId="16" fillId="4" borderId="3" xfId="0" applyNumberFormat="1" applyFont="1" applyFill="1" applyBorder="1"/>
    <xf numFmtId="3" fontId="16" fillId="4" borderId="3" xfId="0" applyNumberFormat="1" applyFont="1" applyFill="1" applyBorder="1"/>
    <xf numFmtId="3" fontId="16" fillId="4" borderId="0" xfId="0" applyNumberFormat="1" applyFont="1" applyFill="1" applyBorder="1"/>
    <xf numFmtId="0" fontId="0" fillId="4" borderId="0" xfId="0" applyFill="1" applyAlignment="1">
      <alignment horizontal="right"/>
    </xf>
    <xf numFmtId="1" fontId="0" fillId="4" borderId="0" xfId="0" applyNumberFormat="1" applyFill="1"/>
    <xf numFmtId="3" fontId="0" fillId="4" borderId="0" xfId="0" applyNumberFormat="1" applyFill="1"/>
    <xf numFmtId="3" fontId="0" fillId="4" borderId="0" xfId="0" applyNumberFormat="1" applyFill="1" applyBorder="1"/>
    <xf numFmtId="164" fontId="0" fillId="4" borderId="0" xfId="0" applyNumberFormat="1" applyFill="1"/>
    <xf numFmtId="3" fontId="0" fillId="11" borderId="19" xfId="0" applyNumberFormat="1" applyFill="1" applyBorder="1"/>
    <xf numFmtId="3" fontId="0" fillId="11" borderId="17" xfId="0" applyNumberFormat="1" applyFill="1" applyBorder="1"/>
    <xf numFmtId="3" fontId="0" fillId="11" borderId="18" xfId="0" applyNumberFormat="1" applyFill="1" applyBorder="1"/>
    <xf numFmtId="0" fontId="3" fillId="7" borderId="23" xfId="21" applyFont="1" applyBorder="1"/>
    <xf numFmtId="3" fontId="0" fillId="11" borderId="10" xfId="0" applyNumberFormat="1" applyFill="1" applyBorder="1"/>
    <xf numFmtId="3" fontId="0" fillId="11" borderId="0" xfId="0" applyNumberFormat="1" applyFill="1" applyBorder="1"/>
    <xf numFmtId="3" fontId="0" fillId="11" borderId="23" xfId="0" applyNumberFormat="1" applyFill="1" applyBorder="1"/>
    <xf numFmtId="0" fontId="3" fillId="10" borderId="7" xfId="0" applyFont="1" applyFill="1" applyBorder="1"/>
    <xf numFmtId="0" fontId="3" fillId="10" borderId="10" xfId="0" applyFont="1" applyFill="1" applyBorder="1"/>
    <xf numFmtId="0" fontId="3" fillId="10" borderId="0" xfId="0" applyFont="1" applyFill="1" applyBorder="1"/>
    <xf numFmtId="0" fontId="0" fillId="3" borderId="17" xfId="0" applyFill="1" applyBorder="1"/>
    <xf numFmtId="0" fontId="0" fillId="3" borderId="11" xfId="0" applyFill="1" applyBorder="1"/>
    <xf numFmtId="0" fontId="0" fillId="3" borderId="23" xfId="0" applyFill="1" applyBorder="1"/>
    <xf numFmtId="0" fontId="0" fillId="3" borderId="22" xfId="0" applyFill="1" applyBorder="1"/>
    <xf numFmtId="0" fontId="0" fillId="3" borderId="24" xfId="0" applyFill="1" applyBorder="1"/>
    <xf numFmtId="0" fontId="4" fillId="10" borderId="10" xfId="0" applyFont="1" applyFill="1" applyBorder="1"/>
    <xf numFmtId="0" fontId="0" fillId="3" borderId="10" xfId="0" applyFill="1" applyBorder="1"/>
    <xf numFmtId="0" fontId="19" fillId="7" borderId="22" xfId="21" applyFont="1" applyBorder="1"/>
    <xf numFmtId="0" fontId="28" fillId="7" borderId="22" xfId="21" applyFont="1" applyBorder="1"/>
    <xf numFmtId="0" fontId="19" fillId="7" borderId="23" xfId="21" applyFont="1" applyBorder="1"/>
    <xf numFmtId="0" fontId="0" fillId="11" borderId="24" xfId="0" applyFill="1" applyBorder="1"/>
    <xf numFmtId="3" fontId="0" fillId="11" borderId="7" xfId="0" applyNumberFormat="1" applyFill="1" applyBorder="1"/>
    <xf numFmtId="3" fontId="1" fillId="7" borderId="17" xfId="21" applyNumberFormat="1" applyBorder="1" applyAlignment="1">
      <alignment horizontal="center"/>
    </xf>
    <xf numFmtId="3" fontId="1" fillId="7" borderId="18" xfId="21" applyNumberFormat="1" applyBorder="1" applyAlignment="1">
      <alignment horizontal="center"/>
    </xf>
    <xf numFmtId="0" fontId="17" fillId="3" borderId="0" xfId="20" applyFont="1" applyFill="1" applyBorder="1" applyAlignment="1">
      <alignment horizontal="center"/>
    </xf>
    <xf numFmtId="0" fontId="15" fillId="3" borderId="0" xfId="20" applyFill="1" applyBorder="1" applyAlignment="1">
      <alignment horizontal="center"/>
    </xf>
    <xf numFmtId="0" fontId="15" fillId="3" borderId="0" xfId="20" applyFill="1" applyBorder="1" applyAlignment="1">
      <alignment horizontal="right"/>
    </xf>
    <xf numFmtId="0" fontId="3" fillId="3" borderId="21" xfId="0" applyFont="1" applyFill="1" applyBorder="1"/>
    <xf numFmtId="0" fontId="3" fillId="3" borderId="22" xfId="0" applyFont="1" applyFill="1" applyBorder="1" applyAlignment="1">
      <alignment horizontal="center"/>
    </xf>
    <xf numFmtId="0" fontId="0" fillId="3" borderId="22" xfId="0" applyFill="1" applyBorder="1" applyAlignment="1">
      <alignment horizontal="center"/>
    </xf>
    <xf numFmtId="0" fontId="15" fillId="6" borderId="11" xfId="20" applyBorder="1"/>
    <xf numFmtId="0" fontId="15" fillId="6" borderId="18" xfId="20" applyBorder="1" applyAlignment="1">
      <alignment horizontal="center"/>
    </xf>
    <xf numFmtId="0" fontId="15" fillId="6" borderId="15" xfId="20" applyBorder="1" applyAlignment="1">
      <alignment horizontal="center"/>
    </xf>
    <xf numFmtId="0" fontId="3" fillId="7" borderId="19" xfId="21" applyFont="1" applyBorder="1" applyAlignment="1">
      <alignment horizontal="center"/>
    </xf>
    <xf numFmtId="0" fontId="1" fillId="7" borderId="7" xfId="21" applyBorder="1" applyAlignment="1">
      <alignment horizontal="center"/>
    </xf>
    <xf numFmtId="3" fontId="1" fillId="7" borderId="11" xfId="21" applyNumberFormat="1" applyBorder="1"/>
    <xf numFmtId="3" fontId="1" fillId="7" borderId="15" xfId="21" applyNumberFormat="1" applyBorder="1"/>
    <xf numFmtId="3" fontId="1" fillId="7" borderId="23" xfId="21" applyNumberFormat="1" applyBorder="1" applyAlignment="1">
      <alignment horizontal="center"/>
    </xf>
    <xf numFmtId="3" fontId="1" fillId="7" borderId="24" xfId="21" applyNumberFormat="1" applyBorder="1"/>
    <xf numFmtId="0" fontId="44" fillId="2" borderId="19" xfId="25" applyFont="1" applyBorder="1"/>
    <xf numFmtId="0" fontId="44" fillId="2" borderId="7" xfId="25" applyFont="1" applyBorder="1"/>
    <xf numFmtId="0" fontId="45" fillId="2" borderId="8" xfId="25" applyFont="1" applyBorder="1"/>
    <xf numFmtId="3" fontId="44" fillId="2" borderId="17" xfId="25" applyNumberFormat="1" applyFont="1" applyBorder="1"/>
    <xf numFmtId="3" fontId="44" fillId="2" borderId="0" xfId="25" applyNumberFormat="1" applyFont="1" applyBorder="1"/>
    <xf numFmtId="3" fontId="45" fillId="2" borderId="11" xfId="25" applyNumberFormat="1" applyFont="1" applyBorder="1"/>
    <xf numFmtId="0" fontId="44" fillId="2" borderId="18" xfId="25" applyFont="1" applyBorder="1"/>
    <xf numFmtId="0" fontId="44" fillId="2" borderId="10" xfId="25" applyFont="1" applyBorder="1"/>
    <xf numFmtId="0" fontId="45" fillId="2" borderId="15" xfId="25" applyFont="1" applyBorder="1"/>
    <xf numFmtId="0" fontId="3" fillId="10" borderId="17" xfId="21" applyFont="1" applyFill="1" applyBorder="1" applyAlignment="1">
      <alignment horizontal="left"/>
    </xf>
    <xf numFmtId="0" fontId="3" fillId="10" borderId="18" xfId="21" applyFont="1" applyFill="1" applyBorder="1" applyAlignment="1">
      <alignment horizontal="left"/>
    </xf>
    <xf numFmtId="0" fontId="4" fillId="10" borderId="17" xfId="0" applyFont="1" applyFill="1" applyBorder="1"/>
    <xf numFmtId="3" fontId="0" fillId="10" borderId="0" xfId="0" applyNumberFormat="1" applyFill="1" applyBorder="1"/>
    <xf numFmtId="3" fontId="0" fillId="10" borderId="6" xfId="0" applyNumberFormat="1" applyFill="1" applyBorder="1"/>
    <xf numFmtId="3" fontId="0" fillId="10" borderId="20" xfId="0" applyNumberFormat="1" applyFill="1" applyBorder="1"/>
    <xf numFmtId="3" fontId="0" fillId="10" borderId="9" xfId="0" applyNumberFormat="1" applyFill="1" applyBorder="1"/>
    <xf numFmtId="3" fontId="3" fillId="10" borderId="22" xfId="0" applyNumberFormat="1" applyFont="1" applyFill="1" applyBorder="1"/>
    <xf numFmtId="3" fontId="0" fillId="10" borderId="7" xfId="0" applyNumberFormat="1" applyFill="1" applyBorder="1"/>
    <xf numFmtId="3" fontId="0" fillId="10" borderId="10" xfId="0" applyNumberFormat="1" applyFill="1" applyBorder="1"/>
    <xf numFmtId="0" fontId="33" fillId="10" borderId="7" xfId="0" applyFont="1" applyFill="1" applyBorder="1"/>
    <xf numFmtId="3" fontId="33" fillId="3" borderId="0" xfId="0" applyNumberFormat="1" applyFont="1" applyFill="1" applyBorder="1"/>
    <xf numFmtId="3" fontId="3" fillId="10" borderId="19" xfId="0" applyNumberFormat="1" applyFont="1" applyFill="1" applyBorder="1"/>
    <xf numFmtId="3" fontId="3" fillId="10" borderId="17" xfId="0" applyNumberFormat="1" applyFont="1" applyFill="1" applyBorder="1"/>
    <xf numFmtId="3" fontId="3" fillId="10" borderId="18" xfId="0" applyNumberFormat="1" applyFont="1" applyFill="1" applyBorder="1"/>
    <xf numFmtId="3" fontId="3" fillId="10" borderId="23" xfId="0" applyNumberFormat="1" applyFont="1" applyFill="1" applyBorder="1"/>
    <xf numFmtId="9" fontId="3" fillId="10" borderId="19" xfId="1" applyFont="1" applyFill="1" applyBorder="1"/>
    <xf numFmtId="0" fontId="33" fillId="10" borderId="6" xfId="0" applyFont="1" applyFill="1" applyBorder="1"/>
    <xf numFmtId="9" fontId="3" fillId="10" borderId="17" xfId="1" applyFont="1" applyFill="1" applyBorder="1"/>
    <xf numFmtId="9" fontId="3" fillId="10" borderId="18" xfId="1" applyFont="1" applyFill="1" applyBorder="1"/>
    <xf numFmtId="0" fontId="4" fillId="10" borderId="15" xfId="0" applyFont="1" applyFill="1" applyBorder="1"/>
    <xf numFmtId="0" fontId="33" fillId="10" borderId="19" xfId="0" applyFont="1" applyFill="1" applyBorder="1"/>
    <xf numFmtId="0" fontId="33" fillId="10" borderId="8" xfId="0" applyFont="1" applyFill="1" applyBorder="1"/>
    <xf numFmtId="0" fontId="4" fillId="10" borderId="20" xfId="0" applyFont="1" applyFill="1" applyBorder="1"/>
    <xf numFmtId="3" fontId="4" fillId="10" borderId="45" xfId="0" applyNumberFormat="1" applyFont="1" applyFill="1" applyBorder="1"/>
    <xf numFmtId="3" fontId="4" fillId="10" borderId="20" xfId="0" applyNumberFormat="1" applyFont="1" applyFill="1" applyBorder="1"/>
    <xf numFmtId="3" fontId="4" fillId="10" borderId="9" xfId="0" applyNumberFormat="1" applyFont="1" applyFill="1" applyBorder="1"/>
    <xf numFmtId="0" fontId="43" fillId="14" borderId="6" xfId="26" applyBorder="1"/>
    <xf numFmtId="0" fontId="43" fillId="14" borderId="20" xfId="26" applyBorder="1"/>
    <xf numFmtId="0" fontId="43" fillId="14" borderId="9" xfId="26" applyBorder="1"/>
    <xf numFmtId="0" fontId="43" fillId="14" borderId="21" xfId="26" applyBorder="1"/>
    <xf numFmtId="0" fontId="46" fillId="14" borderId="9" xfId="26" applyFont="1" applyBorder="1"/>
    <xf numFmtId="3" fontId="3" fillId="10" borderId="21" xfId="0" applyNumberFormat="1" applyFont="1" applyFill="1" applyBorder="1"/>
    <xf numFmtId="3" fontId="3" fillId="3" borderId="18" xfId="0" applyNumberFormat="1" applyFont="1" applyFill="1" applyBorder="1"/>
    <xf numFmtId="9" fontId="3" fillId="3" borderId="18" xfId="1" applyFont="1" applyFill="1" applyBorder="1"/>
    <xf numFmtId="14" fontId="3" fillId="3" borderId="0" xfId="0" applyNumberFormat="1" applyFont="1" applyFill="1"/>
    <xf numFmtId="0" fontId="3" fillId="3" borderId="0" xfId="21" applyFont="1" applyFill="1" applyBorder="1" applyAlignment="1">
      <alignment horizontal="right"/>
    </xf>
    <xf numFmtId="0" fontId="3" fillId="3" borderId="23" xfId="0" applyFont="1" applyFill="1" applyBorder="1"/>
    <xf numFmtId="0" fontId="3" fillId="3" borderId="22" xfId="0" applyFont="1" applyFill="1" applyBorder="1"/>
    <xf numFmtId="0" fontId="3" fillId="3" borderId="24" xfId="0" applyFont="1" applyFill="1" applyBorder="1"/>
    <xf numFmtId="0" fontId="3" fillId="3" borderId="6" xfId="0" applyFont="1" applyFill="1" applyBorder="1"/>
    <xf numFmtId="3" fontId="0" fillId="3" borderId="19" xfId="0" applyNumberFormat="1" applyFill="1" applyBorder="1"/>
    <xf numFmtId="3" fontId="0" fillId="3" borderId="7" xfId="0" applyNumberFormat="1" applyFill="1" applyBorder="1"/>
    <xf numFmtId="0" fontId="0" fillId="3" borderId="8" xfId="0" applyFill="1" applyBorder="1"/>
    <xf numFmtId="1" fontId="0" fillId="3" borderId="19" xfId="0" applyNumberFormat="1" applyFill="1" applyBorder="1"/>
    <xf numFmtId="1" fontId="0" fillId="3" borderId="7" xfId="0" applyNumberFormat="1" applyFill="1" applyBorder="1"/>
    <xf numFmtId="3" fontId="0" fillId="3" borderId="17" xfId="0" applyNumberFormat="1" applyFill="1" applyBorder="1"/>
    <xf numFmtId="1" fontId="0" fillId="3" borderId="17" xfId="0" applyNumberFormat="1" applyFill="1" applyBorder="1"/>
    <xf numFmtId="0" fontId="3" fillId="3" borderId="9" xfId="0" applyFont="1" applyFill="1" applyBorder="1"/>
    <xf numFmtId="3" fontId="0" fillId="3" borderId="18" xfId="0" applyNumberFormat="1" applyFill="1" applyBorder="1"/>
    <xf numFmtId="3" fontId="0" fillId="3" borderId="10" xfId="0" applyNumberFormat="1" applyFill="1" applyBorder="1"/>
    <xf numFmtId="0" fontId="0" fillId="3" borderId="15" xfId="0" applyFill="1" applyBorder="1"/>
    <xf numFmtId="1" fontId="0" fillId="3" borderId="18" xfId="0" applyNumberFormat="1" applyFill="1" applyBorder="1"/>
    <xf numFmtId="1" fontId="0" fillId="3" borderId="10" xfId="0" applyNumberFormat="1" applyFill="1" applyBorder="1"/>
    <xf numFmtId="3" fontId="3" fillId="3" borderId="23" xfId="0" applyNumberFormat="1" applyFont="1" applyFill="1" applyBorder="1"/>
    <xf numFmtId="3" fontId="3" fillId="3" borderId="22" xfId="0" applyNumberFormat="1" applyFont="1" applyFill="1" applyBorder="1"/>
    <xf numFmtId="1" fontId="3" fillId="3" borderId="23" xfId="0" applyNumberFormat="1" applyFont="1" applyFill="1" applyBorder="1"/>
    <xf numFmtId="1" fontId="3" fillId="3" borderId="22" xfId="0" applyNumberFormat="1" applyFont="1" applyFill="1" applyBorder="1"/>
    <xf numFmtId="2" fontId="0" fillId="3" borderId="19" xfId="0" applyNumberFormat="1" applyFill="1" applyBorder="1"/>
    <xf numFmtId="2" fontId="0" fillId="3" borderId="7" xfId="0" applyNumberFormat="1" applyFill="1" applyBorder="1"/>
    <xf numFmtId="2" fontId="0" fillId="3" borderId="17" xfId="0" applyNumberFormat="1" applyFill="1" applyBorder="1"/>
    <xf numFmtId="2" fontId="0" fillId="3" borderId="0" xfId="0" applyNumberFormat="1" applyFill="1" applyBorder="1"/>
    <xf numFmtId="2" fontId="0" fillId="3" borderId="18" xfId="0" applyNumberFormat="1" applyFill="1" applyBorder="1"/>
    <xf numFmtId="2" fontId="0" fillId="3" borderId="10" xfId="0" applyNumberFormat="1" applyFill="1" applyBorder="1"/>
    <xf numFmtId="0" fontId="47" fillId="3" borderId="0" xfId="9" applyFont="1" applyFill="1"/>
    <xf numFmtId="3" fontId="48" fillId="3" borderId="0" xfId="9" applyNumberFormat="1" applyFont="1" applyFill="1" applyBorder="1" applyAlignment="1">
      <alignment horizontal="center"/>
    </xf>
    <xf numFmtId="0" fontId="49" fillId="3" borderId="46" xfId="9" applyFont="1" applyFill="1" applyBorder="1"/>
    <xf numFmtId="1" fontId="49" fillId="3" borderId="0" xfId="9" applyNumberFormat="1" applyFont="1" applyFill="1" applyBorder="1"/>
    <xf numFmtId="1" fontId="50" fillId="3" borderId="0" xfId="9" applyNumberFormat="1" applyFont="1" applyFill="1" applyBorder="1"/>
    <xf numFmtId="3" fontId="0" fillId="3" borderId="8" xfId="0" applyNumberFormat="1" applyFill="1" applyBorder="1"/>
    <xf numFmtId="3" fontId="3" fillId="3" borderId="6" xfId="0" applyNumberFormat="1" applyFont="1" applyFill="1" applyBorder="1"/>
    <xf numFmtId="10" fontId="0" fillId="3" borderId="19" xfId="1" applyNumberFormat="1" applyFont="1" applyFill="1" applyBorder="1"/>
    <xf numFmtId="10" fontId="0" fillId="3" borderId="7" xfId="1" applyNumberFormat="1" applyFont="1" applyFill="1" applyBorder="1"/>
    <xf numFmtId="10" fontId="0" fillId="3" borderId="8" xfId="1" applyNumberFormat="1" applyFont="1" applyFill="1" applyBorder="1"/>
    <xf numFmtId="10" fontId="3" fillId="3" borderId="6" xfId="0" applyNumberFormat="1" applyFont="1" applyFill="1" applyBorder="1"/>
    <xf numFmtId="3" fontId="0" fillId="3" borderId="11" xfId="0" applyNumberFormat="1" applyFill="1" applyBorder="1"/>
    <xf numFmtId="3" fontId="3" fillId="3" borderId="20" xfId="0" applyNumberFormat="1" applyFont="1" applyFill="1" applyBorder="1"/>
    <xf numFmtId="10" fontId="0" fillId="3" borderId="17" xfId="1" applyNumberFormat="1" applyFont="1" applyFill="1" applyBorder="1"/>
    <xf numFmtId="10" fontId="0" fillId="3" borderId="0" xfId="1" applyNumberFormat="1" applyFont="1" applyFill="1" applyBorder="1"/>
    <xf numFmtId="10" fontId="0" fillId="3" borderId="11" xfId="1" applyNumberFormat="1" applyFont="1" applyFill="1" applyBorder="1"/>
    <xf numFmtId="10" fontId="3" fillId="3" borderId="20" xfId="0" applyNumberFormat="1" applyFont="1" applyFill="1" applyBorder="1"/>
    <xf numFmtId="3" fontId="3" fillId="3" borderId="9" xfId="0" applyNumberFormat="1" applyFont="1" applyFill="1" applyBorder="1"/>
    <xf numFmtId="10" fontId="3" fillId="3" borderId="9" xfId="0" applyNumberFormat="1" applyFont="1" applyFill="1" applyBorder="1"/>
    <xf numFmtId="3" fontId="3" fillId="3" borderId="24" xfId="0" applyNumberFormat="1" applyFont="1" applyFill="1" applyBorder="1"/>
    <xf numFmtId="3" fontId="3" fillId="3" borderId="21" xfId="0" applyNumberFormat="1" applyFont="1" applyFill="1" applyBorder="1"/>
    <xf numFmtId="10" fontId="3" fillId="3" borderId="23" xfId="1" applyNumberFormat="1" applyFont="1" applyFill="1" applyBorder="1"/>
    <xf numFmtId="10" fontId="3" fillId="3" borderId="22" xfId="1" applyNumberFormat="1" applyFont="1" applyFill="1" applyBorder="1"/>
    <xf numFmtId="10" fontId="3" fillId="3" borderId="24" xfId="1" applyNumberFormat="1" applyFont="1" applyFill="1" applyBorder="1"/>
    <xf numFmtId="0" fontId="0" fillId="3" borderId="19" xfId="0" applyFill="1" applyBorder="1"/>
    <xf numFmtId="0" fontId="17" fillId="6" borderId="29" xfId="20" applyFont="1" applyBorder="1"/>
    <xf numFmtId="0" fontId="17" fillId="6" borderId="13" xfId="20" applyFont="1" applyBorder="1"/>
    <xf numFmtId="3" fontId="17" fillId="6" borderId="13" xfId="20" applyNumberFormat="1" applyFont="1" applyBorder="1"/>
    <xf numFmtId="10" fontId="17" fillId="6" borderId="13" xfId="1" applyNumberFormat="1" applyFont="1" applyFill="1" applyBorder="1"/>
    <xf numFmtId="1" fontId="17" fillId="6" borderId="13" xfId="20" applyNumberFormat="1" applyFont="1" applyBorder="1"/>
    <xf numFmtId="0" fontId="17" fillId="6" borderId="48" xfId="20" applyFont="1" applyBorder="1"/>
    <xf numFmtId="0" fontId="17" fillId="6" borderId="49" xfId="20" applyFont="1" applyBorder="1"/>
    <xf numFmtId="1" fontId="17" fillId="6" borderId="49" xfId="20" applyNumberFormat="1" applyFont="1" applyBorder="1"/>
    <xf numFmtId="0" fontId="0" fillId="15" borderId="23" xfId="0" applyFill="1" applyBorder="1"/>
    <xf numFmtId="0" fontId="0" fillId="15" borderId="22" xfId="0" applyFill="1" applyBorder="1"/>
    <xf numFmtId="0" fontId="0" fillId="15" borderId="24" xfId="0" applyFill="1" applyBorder="1"/>
    <xf numFmtId="0" fontId="3" fillId="3" borderId="0" xfId="0" applyFont="1" applyFill="1" applyBorder="1" applyAlignment="1"/>
    <xf numFmtId="0" fontId="0" fillId="3" borderId="18" xfId="0" applyFill="1" applyBorder="1"/>
    <xf numFmtId="0" fontId="0" fillId="3" borderId="23" xfId="0" applyFill="1" applyBorder="1" applyAlignment="1">
      <alignment horizontal="right"/>
    </xf>
    <xf numFmtId="0" fontId="0" fillId="3" borderId="24" xfId="0" applyFill="1" applyBorder="1" applyAlignment="1">
      <alignment horizontal="right"/>
    </xf>
    <xf numFmtId="0" fontId="0" fillId="3" borderId="22" xfId="0" applyFill="1" applyBorder="1" applyAlignment="1">
      <alignment horizontal="right"/>
    </xf>
    <xf numFmtId="0" fontId="0" fillId="3" borderId="21" xfId="0" applyFill="1" applyBorder="1"/>
    <xf numFmtId="0" fontId="3" fillId="3" borderId="17" xfId="0" applyFont="1" applyFill="1" applyBorder="1"/>
    <xf numFmtId="3" fontId="0" fillId="3" borderId="6" xfId="0" applyNumberFormat="1" applyFill="1" applyBorder="1"/>
    <xf numFmtId="0" fontId="0" fillId="3" borderId="17" xfId="0" applyFill="1" applyBorder="1" applyAlignment="1">
      <alignment horizontal="right"/>
    </xf>
    <xf numFmtId="1" fontId="0" fillId="3" borderId="11" xfId="0" applyNumberFormat="1" applyFill="1" applyBorder="1" applyAlignment="1">
      <alignment horizontal="right"/>
    </xf>
    <xf numFmtId="0" fontId="0" fillId="3" borderId="0" xfId="0" applyFill="1" applyBorder="1" applyAlignment="1">
      <alignment horizontal="right"/>
    </xf>
    <xf numFmtId="1" fontId="0" fillId="3" borderId="0" xfId="0" applyNumberFormat="1" applyFill="1" applyBorder="1" applyAlignment="1">
      <alignment horizontal="right"/>
    </xf>
    <xf numFmtId="170" fontId="0" fillId="3" borderId="20" xfId="0" applyNumberFormat="1" applyFill="1" applyBorder="1"/>
    <xf numFmtId="170" fontId="0" fillId="3" borderId="0" xfId="0" applyNumberFormat="1" applyFill="1" applyBorder="1"/>
    <xf numFmtId="3" fontId="0" fillId="3" borderId="20" xfId="0" applyNumberFormat="1" applyFill="1" applyBorder="1"/>
    <xf numFmtId="3" fontId="0" fillId="3" borderId="15" xfId="0" applyNumberFormat="1" applyFill="1" applyBorder="1"/>
    <xf numFmtId="3" fontId="0" fillId="3" borderId="9" xfId="0" applyNumberFormat="1" applyFill="1" applyBorder="1"/>
    <xf numFmtId="3" fontId="0" fillId="3" borderId="21" xfId="0" applyNumberFormat="1" applyFill="1" applyBorder="1"/>
    <xf numFmtId="0" fontId="3" fillId="3" borderId="23" xfId="0" applyFont="1" applyFill="1" applyBorder="1" applyAlignment="1">
      <alignment horizontal="right"/>
    </xf>
    <xf numFmtId="1" fontId="3" fillId="3" borderId="24" xfId="0" applyNumberFormat="1" applyFont="1" applyFill="1" applyBorder="1" applyAlignment="1">
      <alignment horizontal="right"/>
    </xf>
    <xf numFmtId="0" fontId="3" fillId="3" borderId="22" xfId="0" applyFont="1" applyFill="1" applyBorder="1" applyAlignment="1">
      <alignment horizontal="right"/>
    </xf>
    <xf numFmtId="1" fontId="3" fillId="3" borderId="22" xfId="0" applyNumberFormat="1" applyFont="1" applyFill="1" applyBorder="1" applyAlignment="1">
      <alignment horizontal="right"/>
    </xf>
    <xf numFmtId="170" fontId="3" fillId="3" borderId="21" xfId="0" applyNumberFormat="1" applyFont="1" applyFill="1" applyBorder="1"/>
    <xf numFmtId="3" fontId="0" fillId="3" borderId="24" xfId="0" applyNumberFormat="1" applyFill="1" applyBorder="1"/>
    <xf numFmtId="1" fontId="20" fillId="9" borderId="23" xfId="22" applyNumberFormat="1" applyFont="1" applyBorder="1"/>
    <xf numFmtId="3" fontId="19" fillId="9" borderId="21" xfId="22" applyNumberFormat="1" applyFont="1" applyBorder="1" applyAlignment="1">
      <alignment horizontal="right"/>
    </xf>
    <xf numFmtId="3" fontId="0" fillId="8" borderId="0" xfId="0" applyNumberFormat="1" applyFill="1"/>
    <xf numFmtId="0" fontId="24" fillId="3" borderId="0" xfId="23" applyFill="1"/>
    <xf numFmtId="3" fontId="0" fillId="3" borderId="4" xfId="0" applyNumberFormat="1" applyFill="1" applyBorder="1"/>
    <xf numFmtId="0" fontId="3" fillId="3" borderId="3" xfId="0" applyFont="1" applyFill="1" applyBorder="1"/>
    <xf numFmtId="0" fontId="3" fillId="3" borderId="51" xfId="0" applyFont="1" applyFill="1" applyBorder="1"/>
    <xf numFmtId="0" fontId="3" fillId="3" borderId="5" xfId="0" applyFont="1" applyFill="1" applyBorder="1"/>
    <xf numFmtId="0" fontId="12" fillId="3" borderId="50" xfId="0" applyFont="1" applyFill="1" applyBorder="1"/>
    <xf numFmtId="0" fontId="12" fillId="3" borderId="47" xfId="0" applyFont="1" applyFill="1" applyBorder="1"/>
    <xf numFmtId="0" fontId="12" fillId="3" borderId="2" xfId="0" applyFont="1" applyFill="1" applyBorder="1"/>
    <xf numFmtId="0" fontId="14" fillId="3" borderId="0" xfId="19" applyFill="1" applyBorder="1"/>
    <xf numFmtId="0" fontId="3" fillId="3" borderId="19" xfId="0" applyFont="1" applyFill="1" applyBorder="1"/>
    <xf numFmtId="0" fontId="3" fillId="3" borderId="18" xfId="0" applyFont="1" applyFill="1" applyBorder="1"/>
    <xf numFmtId="0" fontId="52" fillId="3" borderId="23" xfId="0" applyFont="1" applyFill="1" applyBorder="1"/>
    <xf numFmtId="0" fontId="53" fillId="3" borderId="0" xfId="0" applyFont="1" applyFill="1" applyBorder="1" applyProtection="1"/>
    <xf numFmtId="2" fontId="0" fillId="3" borderId="19" xfId="1" applyNumberFormat="1" applyFont="1" applyFill="1" applyBorder="1" applyProtection="1"/>
    <xf numFmtId="1" fontId="0" fillId="3" borderId="7" xfId="1" applyNumberFormat="1" applyFont="1" applyFill="1" applyBorder="1" applyProtection="1"/>
    <xf numFmtId="1" fontId="0" fillId="3" borderId="0" xfId="1" applyNumberFormat="1" applyFont="1" applyFill="1" applyBorder="1" applyProtection="1"/>
    <xf numFmtId="1" fontId="0" fillId="3" borderId="10" xfId="1" applyNumberFormat="1" applyFont="1" applyFill="1" applyBorder="1" applyProtection="1"/>
    <xf numFmtId="10" fontId="0" fillId="3" borderId="0" xfId="1" applyNumberFormat="1" applyFont="1" applyFill="1" applyBorder="1" applyProtection="1"/>
    <xf numFmtId="10" fontId="0" fillId="3" borderId="11" xfId="1" applyNumberFormat="1" applyFont="1" applyFill="1" applyBorder="1" applyProtection="1"/>
    <xf numFmtId="3" fontId="0" fillId="3" borderId="19" xfId="1" applyNumberFormat="1" applyFont="1" applyFill="1" applyBorder="1" applyProtection="1"/>
    <xf numFmtId="0" fontId="51" fillId="3" borderId="23" xfId="0" applyFont="1" applyFill="1" applyBorder="1" applyProtection="1"/>
    <xf numFmtId="0" fontId="51" fillId="3" borderId="22" xfId="0" applyFont="1" applyFill="1" applyBorder="1" applyProtection="1"/>
    <xf numFmtId="0" fontId="51" fillId="3" borderId="24" xfId="0" applyFont="1" applyFill="1" applyBorder="1" applyProtection="1"/>
    <xf numFmtId="0" fontId="51" fillId="10" borderId="22" xfId="0" applyFont="1" applyFill="1" applyBorder="1" applyProtection="1"/>
    <xf numFmtId="0" fontId="51" fillId="10" borderId="24" xfId="0" applyFont="1" applyFill="1" applyBorder="1" applyProtection="1"/>
    <xf numFmtId="0" fontId="0" fillId="10" borderId="7" xfId="0" applyFill="1" applyBorder="1" applyProtection="1"/>
    <xf numFmtId="0" fontId="0" fillId="10" borderId="8" xfId="0" applyFill="1" applyBorder="1" applyProtection="1"/>
    <xf numFmtId="0" fontId="0" fillId="10" borderId="0" xfId="0" applyFill="1" applyBorder="1" applyProtection="1"/>
    <xf numFmtId="0" fontId="0" fillId="10" borderId="11" xfId="0" applyFill="1" applyBorder="1" applyProtection="1"/>
    <xf numFmtId="0" fontId="0" fillId="10" borderId="10" xfId="0" applyFill="1" applyBorder="1" applyProtection="1"/>
    <xf numFmtId="0" fontId="0" fillId="10" borderId="15" xfId="0" applyFill="1" applyBorder="1" applyProtection="1"/>
    <xf numFmtId="0" fontId="53" fillId="10" borderId="22" xfId="0" applyFont="1" applyFill="1" applyBorder="1" applyProtection="1"/>
    <xf numFmtId="0" fontId="53" fillId="10" borderId="24" xfId="0" applyFont="1" applyFill="1" applyBorder="1" applyProtection="1"/>
    <xf numFmtId="2" fontId="0" fillId="3" borderId="23" xfId="1" applyNumberFormat="1" applyFont="1" applyFill="1" applyBorder="1" applyProtection="1"/>
    <xf numFmtId="2" fontId="0" fillId="3" borderId="21" xfId="1" applyNumberFormat="1" applyFont="1" applyFill="1" applyBorder="1" applyProtection="1"/>
    <xf numFmtId="2" fontId="0" fillId="3" borderId="6" xfId="1" applyNumberFormat="1" applyFont="1" applyFill="1" applyBorder="1" applyProtection="1"/>
    <xf numFmtId="3" fontId="0" fillId="3" borderId="23" xfId="1" applyNumberFormat="1" applyFont="1" applyFill="1" applyBorder="1" applyProtection="1"/>
    <xf numFmtId="0" fontId="0" fillId="3" borderId="7" xfId="0" applyFont="1" applyFill="1" applyBorder="1"/>
    <xf numFmtId="0" fontId="0" fillId="3" borderId="0" xfId="0" applyFont="1" applyFill="1" applyBorder="1"/>
    <xf numFmtId="0" fontId="0" fillId="3" borderId="10" xfId="0" applyFont="1" applyFill="1" applyBorder="1"/>
    <xf numFmtId="0" fontId="0" fillId="3" borderId="22" xfId="0" applyFont="1" applyFill="1" applyBorder="1"/>
    <xf numFmtId="0" fontId="54" fillId="3" borderId="24" xfId="0" applyFont="1" applyFill="1" applyBorder="1" applyProtection="1"/>
    <xf numFmtId="0" fontId="0" fillId="3" borderId="8" xfId="0" applyFont="1" applyFill="1" applyBorder="1" applyProtection="1"/>
    <xf numFmtId="0" fontId="0" fillId="3" borderId="11" xfId="0" applyFont="1" applyFill="1" applyBorder="1" applyProtection="1"/>
    <xf numFmtId="0" fontId="0" fillId="3" borderId="15" xfId="0" applyFont="1" applyFill="1" applyBorder="1" applyProtection="1"/>
    <xf numFmtId="1" fontId="0" fillId="10" borderId="19" xfId="1" applyNumberFormat="1" applyFont="1" applyFill="1" applyBorder="1" applyProtection="1"/>
    <xf numFmtId="1" fontId="0" fillId="10" borderId="7" xfId="1" applyNumberFormat="1" applyFont="1" applyFill="1" applyBorder="1" applyProtection="1"/>
    <xf numFmtId="1" fontId="0" fillId="10" borderId="8" xfId="1" applyNumberFormat="1" applyFont="1" applyFill="1" applyBorder="1" applyProtection="1"/>
    <xf numFmtId="1" fontId="0" fillId="10" borderId="17" xfId="1" applyNumberFormat="1" applyFont="1" applyFill="1" applyBorder="1" applyProtection="1"/>
    <xf numFmtId="1" fontId="0" fillId="10" borderId="0" xfId="1" applyNumberFormat="1" applyFont="1" applyFill="1" applyBorder="1" applyProtection="1"/>
    <xf numFmtId="1" fontId="0" fillId="10" borderId="11" xfId="1" applyNumberFormat="1" applyFont="1" applyFill="1" applyBorder="1" applyProtection="1"/>
    <xf numFmtId="1" fontId="0" fillId="10" borderId="18" xfId="1" applyNumberFormat="1" applyFont="1" applyFill="1" applyBorder="1" applyProtection="1"/>
    <xf numFmtId="1" fontId="0" fillId="10" borderId="10" xfId="1" applyNumberFormat="1" applyFont="1" applyFill="1" applyBorder="1" applyProtection="1"/>
    <xf numFmtId="1" fontId="0" fillId="10" borderId="15" xfId="1" applyNumberFormat="1" applyFont="1" applyFill="1" applyBorder="1" applyProtection="1"/>
    <xf numFmtId="1" fontId="0" fillId="3" borderId="22" xfId="1" applyNumberFormat="1" applyFont="1" applyFill="1" applyBorder="1" applyProtection="1"/>
    <xf numFmtId="1" fontId="0" fillId="10" borderId="22" xfId="1" applyNumberFormat="1" applyFont="1" applyFill="1" applyBorder="1" applyProtection="1"/>
    <xf numFmtId="1" fontId="0" fillId="10" borderId="24" xfId="1" applyNumberFormat="1" applyFont="1" applyFill="1" applyBorder="1" applyProtection="1"/>
    <xf numFmtId="10" fontId="0" fillId="3" borderId="22" xfId="1" applyNumberFormat="1" applyFont="1" applyFill="1" applyBorder="1" applyProtection="1"/>
    <xf numFmtId="10" fontId="0" fillId="3" borderId="24" xfId="1" applyNumberFormat="1" applyFont="1" applyFill="1" applyBorder="1" applyProtection="1"/>
    <xf numFmtId="1" fontId="0" fillId="10" borderId="23" xfId="1" applyNumberFormat="1" applyFont="1" applyFill="1" applyBorder="1" applyProtection="1"/>
    <xf numFmtId="0" fontId="51" fillId="10" borderId="23" xfId="0" applyFont="1" applyFill="1" applyBorder="1" applyProtection="1"/>
    <xf numFmtId="1" fontId="0" fillId="3" borderId="23" xfId="1" applyNumberFormat="1" applyFont="1" applyFill="1" applyBorder="1" applyProtection="1"/>
    <xf numFmtId="49" fontId="3" fillId="3" borderId="0" xfId="0" applyNumberFormat="1" applyFont="1" applyFill="1"/>
    <xf numFmtId="0" fontId="0" fillId="10" borderId="19" xfId="0" applyFill="1" applyBorder="1" applyAlignment="1">
      <alignment horizontal="right"/>
    </xf>
    <xf numFmtId="0" fontId="3" fillId="10" borderId="20" xfId="0" applyFont="1" applyFill="1" applyBorder="1"/>
    <xf numFmtId="0" fontId="0" fillId="10" borderId="51" xfId="0" applyFill="1" applyBorder="1"/>
    <xf numFmtId="0" fontId="0" fillId="10" borderId="4" xfId="0" applyFill="1" applyBorder="1"/>
    <xf numFmtId="0" fontId="3" fillId="10" borderId="9" xfId="0" applyFont="1" applyFill="1" applyBorder="1"/>
    <xf numFmtId="0" fontId="0" fillId="10" borderId="50" xfId="0" applyFill="1" applyBorder="1"/>
    <xf numFmtId="0" fontId="0" fillId="10" borderId="47" xfId="0" applyFill="1" applyBorder="1"/>
    <xf numFmtId="0" fontId="3" fillId="10" borderId="45" xfId="0" applyFont="1" applyFill="1" applyBorder="1"/>
    <xf numFmtId="0" fontId="25" fillId="15" borderId="54" xfId="24" applyFont="1" applyFill="1" applyBorder="1"/>
    <xf numFmtId="0" fontId="55" fillId="15" borderId="7" xfId="0" applyFont="1" applyFill="1" applyBorder="1"/>
    <xf numFmtId="0" fontId="55" fillId="15" borderId="8" xfId="0" applyFont="1" applyFill="1" applyBorder="1"/>
    <xf numFmtId="0" fontId="56" fillId="15" borderId="18" xfId="0" applyFont="1" applyFill="1" applyBorder="1"/>
    <xf numFmtId="0" fontId="57" fillId="15" borderId="10" xfId="0" applyFont="1" applyFill="1" applyBorder="1"/>
    <xf numFmtId="0" fontId="55" fillId="15" borderId="10" xfId="0" applyFont="1" applyFill="1" applyBorder="1"/>
    <xf numFmtId="0" fontId="55" fillId="15" borderId="15" xfId="0" applyFont="1" applyFill="1" applyBorder="1"/>
    <xf numFmtId="0" fontId="0" fillId="15" borderId="52" xfId="0" applyFill="1" applyBorder="1"/>
    <xf numFmtId="0" fontId="3" fillId="15" borderId="22" xfId="0" applyFont="1" applyFill="1" applyBorder="1"/>
    <xf numFmtId="0" fontId="3" fillId="15" borderId="53" xfId="0" applyFont="1" applyFill="1" applyBorder="1" applyAlignment="1">
      <alignment horizontal="right"/>
    </xf>
    <xf numFmtId="0" fontId="0" fillId="15" borderId="17" xfId="0" applyFill="1" applyBorder="1"/>
    <xf numFmtId="0" fontId="0" fillId="15" borderId="26" xfId="0" applyFill="1" applyBorder="1"/>
    <xf numFmtId="0" fontId="0" fillId="15" borderId="0" xfId="0" applyFill="1" applyBorder="1"/>
    <xf numFmtId="0" fontId="3" fillId="15" borderId="6" xfId="0" applyFont="1" applyFill="1" applyBorder="1"/>
    <xf numFmtId="0" fontId="3" fillId="15" borderId="20" xfId="0" applyFont="1" applyFill="1" applyBorder="1"/>
    <xf numFmtId="0" fontId="0" fillId="15" borderId="18" xfId="0" applyFill="1" applyBorder="1"/>
    <xf numFmtId="0" fontId="0" fillId="3" borderId="0" xfId="0" applyFill="1" applyProtection="1"/>
    <xf numFmtId="0" fontId="25" fillId="10" borderId="10" xfId="24" applyFill="1" applyBorder="1"/>
    <xf numFmtId="0" fontId="0" fillId="10" borderId="6" xfId="0" applyFill="1" applyBorder="1"/>
    <xf numFmtId="0" fontId="0" fillId="10" borderId="20" xfId="0" applyFill="1" applyBorder="1"/>
    <xf numFmtId="0" fontId="0" fillId="10" borderId="21" xfId="0" applyFill="1" applyBorder="1"/>
    <xf numFmtId="0" fontId="0" fillId="10" borderId="22" xfId="0" applyFill="1" applyBorder="1"/>
    <xf numFmtId="0" fontId="3" fillId="10" borderId="22" xfId="0" applyFont="1" applyFill="1" applyBorder="1" applyAlignment="1">
      <alignment horizontal="right"/>
    </xf>
    <xf numFmtId="0" fontId="58" fillId="3" borderId="0" xfId="0" applyFont="1" applyFill="1" applyAlignment="1" applyProtection="1">
      <alignment horizontal="right"/>
    </xf>
    <xf numFmtId="0" fontId="3" fillId="3" borderId="0" xfId="0" applyFont="1" applyFill="1" applyProtection="1"/>
    <xf numFmtId="0" fontId="0" fillId="3" borderId="0" xfId="0" applyFont="1" applyFill="1" applyProtection="1"/>
    <xf numFmtId="0" fontId="59" fillId="3" borderId="0" xfId="0" applyFont="1" applyFill="1" applyAlignment="1" applyProtection="1">
      <alignment horizontal="right"/>
    </xf>
    <xf numFmtId="3" fontId="0" fillId="11" borderId="22" xfId="0" applyNumberFormat="1" applyFill="1" applyBorder="1"/>
    <xf numFmtId="1" fontId="0" fillId="3" borderId="8" xfId="0" applyNumberFormat="1" applyFill="1" applyBorder="1"/>
    <xf numFmtId="1" fontId="0" fillId="3" borderId="11" xfId="0" applyNumberFormat="1" applyFill="1" applyBorder="1"/>
    <xf numFmtId="1" fontId="0" fillId="3" borderId="15" xfId="0" applyNumberFormat="1" applyFill="1" applyBorder="1"/>
    <xf numFmtId="3" fontId="0" fillId="0" borderId="0" xfId="0" applyNumberFormat="1" applyAlignment="1">
      <alignment vertical="center" wrapText="1"/>
    </xf>
    <xf numFmtId="0" fontId="0" fillId="0" borderId="0" xfId="0" applyAlignment="1">
      <alignment vertical="center" wrapText="1"/>
    </xf>
    <xf numFmtId="3" fontId="0" fillId="10" borderId="19" xfId="0" applyNumberFormat="1" applyFill="1" applyBorder="1"/>
    <xf numFmtId="3" fontId="0" fillId="10" borderId="17" xfId="0" applyNumberFormat="1" applyFill="1" applyBorder="1"/>
    <xf numFmtId="0" fontId="0" fillId="10" borderId="17" xfId="0" applyFont="1" applyFill="1" applyBorder="1"/>
    <xf numFmtId="0" fontId="0" fillId="10" borderId="0" xfId="0" applyFont="1" applyFill="1" applyBorder="1"/>
    <xf numFmtId="3" fontId="0" fillId="10" borderId="18" xfId="0" applyNumberFormat="1" applyFill="1" applyBorder="1"/>
    <xf numFmtId="3" fontId="0" fillId="10" borderId="22" xfId="0" applyNumberFormat="1" applyFill="1" applyBorder="1"/>
    <xf numFmtId="0" fontId="0" fillId="10" borderId="56" xfId="0" applyFill="1" applyBorder="1"/>
    <xf numFmtId="0" fontId="0" fillId="10" borderId="16" xfId="0" applyFill="1" applyBorder="1"/>
    <xf numFmtId="9" fontId="0" fillId="10" borderId="19" xfId="1" applyFont="1" applyFill="1" applyBorder="1"/>
    <xf numFmtId="9" fontId="0" fillId="10" borderId="17" xfId="1" applyFont="1" applyFill="1" applyBorder="1"/>
    <xf numFmtId="9" fontId="0" fillId="10" borderId="18" xfId="1" applyFont="1" applyFill="1" applyBorder="1"/>
    <xf numFmtId="3" fontId="0" fillId="10" borderId="8" xfId="0" applyNumberFormat="1" applyFill="1" applyBorder="1"/>
    <xf numFmtId="3" fontId="0" fillId="10" borderId="11" xfId="0" applyNumberFormat="1" applyFill="1" applyBorder="1"/>
    <xf numFmtId="3" fontId="0" fillId="10" borderId="15" xfId="0" applyNumberFormat="1" applyFill="1" applyBorder="1"/>
    <xf numFmtId="9" fontId="3" fillId="10" borderId="6" xfId="1" applyFont="1" applyFill="1" applyBorder="1"/>
    <xf numFmtId="9" fontId="3" fillId="10" borderId="20" xfId="1" applyFont="1" applyFill="1" applyBorder="1"/>
    <xf numFmtId="9" fontId="3" fillId="10" borderId="9" xfId="1" applyFont="1" applyFill="1" applyBorder="1"/>
    <xf numFmtId="0" fontId="28" fillId="10" borderId="18" xfId="21" applyFont="1" applyFill="1" applyBorder="1" applyAlignment="1">
      <alignment horizontal="left"/>
    </xf>
    <xf numFmtId="166" fontId="3" fillId="10" borderId="19" xfId="1" applyNumberFormat="1" applyFont="1" applyFill="1" applyBorder="1"/>
    <xf numFmtId="166" fontId="3" fillId="10" borderId="17" xfId="1" applyNumberFormat="1" applyFont="1" applyFill="1" applyBorder="1"/>
    <xf numFmtId="166" fontId="3" fillId="10" borderId="18" xfId="1" applyNumberFormat="1" applyFont="1" applyFill="1" applyBorder="1"/>
    <xf numFmtId="166" fontId="3" fillId="10" borderId="22" xfId="1" applyNumberFormat="1" applyFont="1" applyFill="1" applyBorder="1"/>
    <xf numFmtId="0" fontId="3" fillId="3" borderId="0" xfId="0" applyFont="1" applyFill="1" applyBorder="1" applyAlignment="1">
      <alignment horizontal="right" wrapText="1"/>
    </xf>
    <xf numFmtId="16" fontId="3" fillId="3" borderId="21" xfId="0" applyNumberFormat="1" applyFont="1" applyFill="1" applyBorder="1"/>
    <xf numFmtId="170" fontId="0" fillId="11" borderId="20" xfId="0" applyNumberFormat="1" applyFill="1" applyBorder="1"/>
    <xf numFmtId="170" fontId="3" fillId="3" borderId="6" xfId="0" applyNumberFormat="1" applyFont="1" applyFill="1" applyBorder="1"/>
    <xf numFmtId="170" fontId="3" fillId="3" borderId="20" xfId="0" applyNumberFormat="1" applyFont="1" applyFill="1" applyBorder="1"/>
    <xf numFmtId="170" fontId="3" fillId="11" borderId="21" xfId="0" applyNumberFormat="1" applyFont="1" applyFill="1" applyBorder="1"/>
    <xf numFmtId="170" fontId="3" fillId="3" borderId="9" xfId="0" applyNumberFormat="1" applyFont="1" applyFill="1" applyBorder="1"/>
    <xf numFmtId="0" fontId="0" fillId="16" borderId="0" xfId="0" applyFill="1"/>
    <xf numFmtId="3" fontId="3" fillId="16" borderId="0" xfId="0" applyNumberFormat="1" applyFont="1" applyFill="1" applyBorder="1"/>
    <xf numFmtId="0" fontId="3" fillId="16" borderId="0" xfId="0" applyFont="1" applyFill="1" applyBorder="1"/>
    <xf numFmtId="0" fontId="0" fillId="16" borderId="0" xfId="0" applyFill="1" applyBorder="1"/>
    <xf numFmtId="0" fontId="3" fillId="3" borderId="23" xfId="0" applyFont="1" applyFill="1" applyBorder="1" applyAlignment="1">
      <alignment horizontal="left"/>
    </xf>
    <xf numFmtId="0" fontId="3" fillId="3" borderId="22" xfId="0" applyFont="1" applyFill="1" applyBorder="1" applyAlignment="1">
      <alignment horizontal="left"/>
    </xf>
    <xf numFmtId="3" fontId="0" fillId="3" borderId="19" xfId="0" applyNumberFormat="1" applyFill="1" applyBorder="1" applyAlignment="1">
      <alignment horizontal="left"/>
    </xf>
    <xf numFmtId="3" fontId="0" fillId="3" borderId="7" xfId="0" applyNumberFormat="1" applyFill="1" applyBorder="1" applyAlignment="1">
      <alignment horizontal="left"/>
    </xf>
    <xf numFmtId="3" fontId="0" fillId="3" borderId="17" xfId="0" applyNumberFormat="1" applyFill="1" applyBorder="1" applyAlignment="1">
      <alignment horizontal="left"/>
    </xf>
    <xf numFmtId="3" fontId="0" fillId="3" borderId="0" xfId="0" applyNumberFormat="1" applyFill="1" applyBorder="1" applyAlignment="1">
      <alignment horizontal="left"/>
    </xf>
    <xf numFmtId="3" fontId="3" fillId="3" borderId="23" xfId="0" applyNumberFormat="1" applyFont="1" applyFill="1" applyBorder="1" applyAlignment="1">
      <alignment horizontal="left"/>
    </xf>
    <xf numFmtId="3" fontId="3" fillId="3" borderId="22" xfId="0" applyNumberFormat="1" applyFont="1" applyFill="1" applyBorder="1" applyAlignment="1">
      <alignment horizontal="left"/>
    </xf>
    <xf numFmtId="3" fontId="0" fillId="3" borderId="8" xfId="0" applyNumberFormat="1" applyFill="1" applyBorder="1" applyAlignment="1">
      <alignment horizontal="left"/>
    </xf>
    <xf numFmtId="1" fontId="0" fillId="3" borderId="0" xfId="0" applyNumberFormat="1" applyFill="1" applyAlignment="1">
      <alignment horizontal="left"/>
    </xf>
    <xf numFmtId="3" fontId="0" fillId="3" borderId="11" xfId="0" applyNumberFormat="1" applyFill="1" applyBorder="1" applyAlignment="1">
      <alignment horizontal="left"/>
    </xf>
    <xf numFmtId="3" fontId="3" fillId="3" borderId="24" xfId="0" applyNumberFormat="1" applyFont="1" applyFill="1" applyBorder="1" applyAlignment="1">
      <alignment horizontal="left"/>
    </xf>
    <xf numFmtId="3" fontId="3" fillId="3" borderId="0" xfId="0" applyNumberFormat="1" applyFont="1" applyFill="1" applyBorder="1" applyAlignment="1">
      <alignment horizontal="left"/>
    </xf>
    <xf numFmtId="0" fontId="17" fillId="6" borderId="0" xfId="20" applyFont="1" applyBorder="1"/>
    <xf numFmtId="1" fontId="17" fillId="6" borderId="0" xfId="20" applyNumberFormat="1" applyFont="1" applyBorder="1"/>
    <xf numFmtId="1" fontId="3" fillId="3" borderId="0" xfId="0" applyNumberFormat="1" applyFont="1" applyFill="1" applyBorder="1" applyAlignment="1">
      <alignment horizontal="right"/>
    </xf>
    <xf numFmtId="170" fontId="3" fillId="3" borderId="0" xfId="0" applyNumberFormat="1" applyFont="1" applyFill="1" applyBorder="1"/>
    <xf numFmtId="16" fontId="3" fillId="3" borderId="0" xfId="0" applyNumberFormat="1" applyFont="1" applyFill="1" applyBorder="1"/>
    <xf numFmtId="0" fontId="3" fillId="3" borderId="7" xfId="0" applyFont="1" applyFill="1" applyBorder="1"/>
    <xf numFmtId="3" fontId="0" fillId="3" borderId="57" xfId="0" applyNumberFormat="1" applyFill="1" applyBorder="1"/>
    <xf numFmtId="3" fontId="0" fillId="3" borderId="58" xfId="0" applyNumberFormat="1" applyFill="1" applyBorder="1"/>
    <xf numFmtId="3" fontId="0" fillId="3" borderId="59" xfId="0" applyNumberFormat="1" applyFill="1" applyBorder="1"/>
    <xf numFmtId="166" fontId="0" fillId="3" borderId="0" xfId="1" applyNumberFormat="1" applyFont="1" applyFill="1"/>
    <xf numFmtId="0" fontId="0" fillId="3" borderId="47" xfId="0" applyFill="1" applyBorder="1"/>
    <xf numFmtId="0" fontId="0" fillId="3" borderId="2" xfId="0" applyFill="1" applyBorder="1"/>
    <xf numFmtId="0" fontId="33" fillId="3" borderId="5" xfId="0" applyFont="1" applyFill="1" applyBorder="1"/>
    <xf numFmtId="0" fontId="0" fillId="3" borderId="46" xfId="0" applyFill="1" applyBorder="1"/>
    <xf numFmtId="0" fontId="0" fillId="3" borderId="28" xfId="0" applyFill="1" applyBorder="1"/>
    <xf numFmtId="3" fontId="0" fillId="11" borderId="8" xfId="0" applyNumberFormat="1" applyFill="1" applyBorder="1"/>
    <xf numFmtId="0" fontId="60" fillId="3" borderId="25" xfId="24" applyFont="1" applyFill="1"/>
    <xf numFmtId="0" fontId="60" fillId="3" borderId="12" xfId="19" applyFont="1" applyFill="1"/>
    <xf numFmtId="0" fontId="33" fillId="3" borderId="0" xfId="0" applyFont="1" applyFill="1"/>
    <xf numFmtId="0" fontId="61" fillId="3" borderId="25" xfId="24" applyFont="1" applyFill="1"/>
    <xf numFmtId="0" fontId="62" fillId="3" borderId="12" xfId="19" applyFont="1" applyFill="1"/>
    <xf numFmtId="3" fontId="1" fillId="7" borderId="0" xfId="21" applyNumberFormat="1" applyBorder="1" applyAlignment="1">
      <alignment horizontal="center"/>
    </xf>
    <xf numFmtId="3" fontId="1" fillId="7" borderId="10" xfId="21" applyNumberFormat="1" applyBorder="1" applyAlignment="1">
      <alignment horizontal="center"/>
    </xf>
    <xf numFmtId="49" fontId="3" fillId="7" borderId="17" xfId="21" applyNumberFormat="1" applyFont="1" applyBorder="1"/>
    <xf numFmtId="0" fontId="3" fillId="3" borderId="0" xfId="0" applyFont="1" applyFill="1" applyBorder="1" applyAlignment="1">
      <alignment horizontal="right" wrapText="1"/>
    </xf>
    <xf numFmtId="170" fontId="26" fillId="2" borderId="0" xfId="25" applyNumberFormat="1"/>
    <xf numFmtId="170" fontId="63" fillId="17" borderId="0" xfId="27" applyNumberFormat="1"/>
    <xf numFmtId="0" fontId="63" fillId="3" borderId="0" xfId="27" applyFill="1"/>
    <xf numFmtId="9" fontId="0" fillId="11" borderId="20" xfId="1" applyFont="1" applyFill="1" applyBorder="1"/>
    <xf numFmtId="9" fontId="3" fillId="11" borderId="21" xfId="1" applyFont="1" applyFill="1" applyBorder="1"/>
    <xf numFmtId="9" fontId="63" fillId="17" borderId="20" xfId="27" applyNumberFormat="1" applyBorder="1"/>
    <xf numFmtId="170" fontId="1" fillId="3" borderId="20" xfId="28" applyNumberFormat="1" applyFill="1" applyBorder="1"/>
    <xf numFmtId="170" fontId="0" fillId="3" borderId="11" xfId="0" applyNumberFormat="1" applyFill="1" applyBorder="1"/>
    <xf numFmtId="170" fontId="3" fillId="3" borderId="24" xfId="0" applyNumberFormat="1" applyFont="1" applyFill="1" applyBorder="1"/>
    <xf numFmtId="3" fontId="64" fillId="0" borderId="19" xfId="0" applyNumberFormat="1" applyFont="1" applyFill="1" applyBorder="1" applyAlignment="1">
      <alignment horizontal="right"/>
    </xf>
    <xf numFmtId="3" fontId="64" fillId="0" borderId="2" xfId="0" applyNumberFormat="1" applyFont="1" applyFill="1" applyBorder="1" applyAlignment="1">
      <alignment horizontal="right"/>
    </xf>
    <xf numFmtId="3" fontId="65" fillId="0" borderId="47" xfId="0" applyNumberFormat="1" applyFont="1" applyFill="1" applyBorder="1"/>
    <xf numFmtId="3" fontId="65" fillId="0" borderId="2" xfId="0" applyNumberFormat="1" applyFont="1" applyFill="1" applyBorder="1"/>
    <xf numFmtId="3" fontId="65" fillId="0" borderId="0" xfId="0" applyNumberFormat="1" applyFont="1" applyFill="1" applyBorder="1"/>
    <xf numFmtId="3" fontId="65" fillId="0" borderId="3" xfId="0" applyNumberFormat="1" applyFont="1" applyFill="1" applyBorder="1"/>
    <xf numFmtId="164" fontId="65" fillId="0" borderId="0" xfId="0" applyNumberFormat="1" applyFont="1" applyFill="1" applyBorder="1"/>
    <xf numFmtId="164" fontId="66" fillId="0" borderId="3" xfId="0" applyNumberFormat="1" applyFont="1" applyFill="1" applyBorder="1"/>
    <xf numFmtId="3" fontId="65" fillId="15" borderId="0" xfId="0" applyNumberFormat="1" applyFont="1" applyFill="1" applyBorder="1"/>
    <xf numFmtId="3" fontId="65" fillId="15" borderId="3" xfId="0" applyNumberFormat="1" applyFont="1" applyFill="1" applyBorder="1"/>
    <xf numFmtId="4" fontId="65" fillId="0" borderId="0" xfId="0" applyNumberFormat="1" applyFont="1" applyFill="1" applyBorder="1"/>
    <xf numFmtId="4" fontId="65" fillId="0" borderId="3" xfId="0" applyNumberFormat="1" applyFont="1" applyFill="1" applyBorder="1"/>
    <xf numFmtId="1" fontId="64" fillId="0" borderId="46" xfId="0" applyNumberFormat="1" applyFont="1" applyFill="1" applyBorder="1" applyAlignment="1">
      <alignment horizontal="right"/>
    </xf>
    <xf numFmtId="164" fontId="66" fillId="0" borderId="0" xfId="0" applyNumberFormat="1" applyFont="1" applyFill="1" applyBorder="1"/>
    <xf numFmtId="3" fontId="65" fillId="3" borderId="0" xfId="0" applyNumberFormat="1" applyFont="1" applyFill="1" applyBorder="1"/>
    <xf numFmtId="1" fontId="64" fillId="0" borderId="47" xfId="0" applyNumberFormat="1" applyFont="1" applyFill="1" applyBorder="1" applyAlignment="1">
      <alignment horizontal="right"/>
    </xf>
    <xf numFmtId="164" fontId="66" fillId="0" borderId="4" xfId="0" applyNumberFormat="1" applyFont="1" applyFill="1" applyBorder="1"/>
    <xf numFmtId="3" fontId="26" fillId="2" borderId="0" xfId="25" applyNumberFormat="1" applyBorder="1"/>
    <xf numFmtId="0" fontId="67" fillId="3" borderId="1" xfId="17" applyFont="1" applyFill="1"/>
    <xf numFmtId="0" fontId="68" fillId="3" borderId="0" xfId="0" applyFont="1" applyFill="1"/>
    <xf numFmtId="0" fontId="69" fillId="14" borderId="0" xfId="26" applyFont="1"/>
    <xf numFmtId="0" fontId="68" fillId="3" borderId="27" xfId="0" applyFont="1" applyFill="1" applyBorder="1"/>
    <xf numFmtId="0" fontId="68" fillId="3" borderId="46" xfId="0" applyFont="1" applyFill="1" applyBorder="1"/>
    <xf numFmtId="0" fontId="70" fillId="3" borderId="50" xfId="0" applyFont="1" applyFill="1" applyBorder="1"/>
    <xf numFmtId="0" fontId="68" fillId="3" borderId="47" xfId="0" applyFont="1" applyFill="1" applyBorder="1"/>
    <xf numFmtId="0" fontId="68" fillId="3" borderId="2" xfId="0" applyFont="1" applyFill="1" applyBorder="1"/>
    <xf numFmtId="0" fontId="71" fillId="3" borderId="57" xfId="0" applyFont="1" applyFill="1" applyBorder="1"/>
    <xf numFmtId="0" fontId="68" fillId="3" borderId="26" xfId="0" applyFont="1" applyFill="1" applyBorder="1"/>
    <xf numFmtId="0" fontId="68" fillId="3" borderId="0" xfId="0" applyFont="1" applyFill="1" applyBorder="1"/>
    <xf numFmtId="0" fontId="68" fillId="3" borderId="3" xfId="0" applyFont="1" applyFill="1" applyBorder="1"/>
    <xf numFmtId="0" fontId="68" fillId="3" borderId="58" xfId="0" applyFont="1" applyFill="1" applyBorder="1"/>
    <xf numFmtId="3" fontId="68" fillId="3" borderId="0" xfId="0" applyNumberFormat="1" applyFont="1" applyFill="1" applyBorder="1"/>
    <xf numFmtId="0" fontId="72" fillId="3" borderId="27" xfId="0" applyFont="1" applyFill="1" applyBorder="1"/>
    <xf numFmtId="0" fontId="72" fillId="3" borderId="46" xfId="0" applyFont="1" applyFill="1" applyBorder="1"/>
    <xf numFmtId="0" fontId="72" fillId="3" borderId="28" xfId="0" applyFont="1" applyFill="1" applyBorder="1"/>
    <xf numFmtId="0" fontId="72" fillId="3" borderId="60" xfId="0" applyFont="1" applyFill="1" applyBorder="1"/>
    <xf numFmtId="3" fontId="72" fillId="3" borderId="28" xfId="0" applyNumberFormat="1" applyFont="1" applyFill="1" applyBorder="1"/>
    <xf numFmtId="3" fontId="72" fillId="3" borderId="4" xfId="0" applyNumberFormat="1" applyFont="1" applyFill="1" applyBorder="1"/>
    <xf numFmtId="0" fontId="72" fillId="3" borderId="4" xfId="0" applyFont="1" applyFill="1" applyBorder="1"/>
    <xf numFmtId="0" fontId="70" fillId="3" borderId="0" xfId="0" applyFont="1" applyFill="1" applyBorder="1"/>
    <xf numFmtId="0" fontId="72" fillId="3" borderId="0" xfId="0" applyFont="1" applyFill="1" applyBorder="1"/>
    <xf numFmtId="3" fontId="72" fillId="3" borderId="0" xfId="0" applyNumberFormat="1" applyFont="1" applyFill="1" applyBorder="1"/>
    <xf numFmtId="3" fontId="32" fillId="3" borderId="0" xfId="0" applyNumberFormat="1" applyFont="1" applyFill="1"/>
    <xf numFmtId="4" fontId="0" fillId="3" borderId="0" xfId="0" applyNumberFormat="1" applyFill="1" applyAlignment="1">
      <alignment horizontal="left" indent="1"/>
    </xf>
    <xf numFmtId="2" fontId="0" fillId="3" borderId="19" xfId="1" applyNumberFormat="1" applyFont="1" applyFill="1" applyBorder="1"/>
    <xf numFmtId="2" fontId="0" fillId="3" borderId="7" xfId="1" applyNumberFormat="1" applyFont="1" applyFill="1" applyBorder="1"/>
    <xf numFmtId="2" fontId="0" fillId="3" borderId="8" xfId="1" applyNumberFormat="1" applyFont="1" applyFill="1" applyBorder="1"/>
    <xf numFmtId="2" fontId="0" fillId="3" borderId="17" xfId="1" applyNumberFormat="1" applyFont="1" applyFill="1" applyBorder="1"/>
    <xf numFmtId="2" fontId="0" fillId="3" borderId="0" xfId="1" applyNumberFormat="1" applyFont="1" applyFill="1" applyBorder="1"/>
    <xf numFmtId="2" fontId="0" fillId="3" borderId="11" xfId="1" applyNumberFormat="1" applyFont="1" applyFill="1" applyBorder="1"/>
    <xf numFmtId="2" fontId="3" fillId="3" borderId="23" xfId="1" applyNumberFormat="1" applyFont="1" applyFill="1" applyBorder="1"/>
    <xf numFmtId="2" fontId="3" fillId="3" borderId="22" xfId="1" applyNumberFormat="1" applyFont="1" applyFill="1" applyBorder="1"/>
    <xf numFmtId="2" fontId="3" fillId="3" borderId="24" xfId="1" applyNumberFormat="1" applyFont="1" applyFill="1" applyBorder="1"/>
    <xf numFmtId="169" fontId="0" fillId="3" borderId="0" xfId="0" applyNumberFormat="1" applyFill="1" applyBorder="1"/>
    <xf numFmtId="1" fontId="68" fillId="3" borderId="0" xfId="0" applyNumberFormat="1" applyFont="1" applyFill="1"/>
    <xf numFmtId="0" fontId="73" fillId="8" borderId="0" xfId="0" applyFont="1" applyFill="1"/>
    <xf numFmtId="0" fontId="73" fillId="8" borderId="0" xfId="0" applyFont="1" applyFill="1" applyBorder="1" applyAlignment="1">
      <alignment horizontal="center"/>
    </xf>
    <xf numFmtId="0" fontId="73" fillId="8" borderId="0" xfId="0" applyFont="1" applyFill="1" applyAlignment="1">
      <alignment horizontal="center"/>
    </xf>
    <xf numFmtId="1" fontId="0" fillId="3" borderId="0" xfId="1" applyNumberFormat="1" applyFont="1" applyFill="1" applyBorder="1"/>
    <xf numFmtId="3" fontId="19" fillId="8" borderId="20" xfId="22" applyNumberFormat="1" applyFont="1" applyFill="1" applyBorder="1" applyAlignment="1">
      <alignment horizontal="right"/>
    </xf>
    <xf numFmtId="0" fontId="0" fillId="8" borderId="0" xfId="0" applyFill="1" applyBorder="1"/>
    <xf numFmtId="0" fontId="3" fillId="3" borderId="0" xfId="0" applyFont="1" applyFill="1" applyBorder="1" applyAlignment="1">
      <alignment horizontal="right" wrapText="1"/>
    </xf>
    <xf numFmtId="10" fontId="3" fillId="3" borderId="6" xfId="1" applyNumberFormat="1" applyFont="1" applyFill="1" applyBorder="1"/>
    <xf numFmtId="0" fontId="3" fillId="7" borderId="19" xfId="21" applyFont="1" applyBorder="1" applyAlignment="1">
      <alignment horizontal="left"/>
    </xf>
    <xf numFmtId="0" fontId="1" fillId="20" borderId="17" xfId="30" applyBorder="1"/>
    <xf numFmtId="0" fontId="1" fillId="20" borderId="0" xfId="30" applyBorder="1"/>
    <xf numFmtId="3" fontId="1" fillId="20" borderId="17" xfId="30" applyNumberFormat="1" applyBorder="1"/>
    <xf numFmtId="3" fontId="1" fillId="20" borderId="0" xfId="30" applyNumberFormat="1" applyBorder="1"/>
    <xf numFmtId="0" fontId="1" fillId="20" borderId="18" xfId="30" applyBorder="1"/>
    <xf numFmtId="0" fontId="1" fillId="20" borderId="10" xfId="30" applyBorder="1"/>
    <xf numFmtId="0" fontId="15" fillId="6" borderId="63" xfId="20" applyBorder="1"/>
    <xf numFmtId="0" fontId="4" fillId="6" borderId="21" xfId="20" applyFont="1" applyBorder="1" applyAlignment="1">
      <alignment horizontal="center" vertical="center"/>
    </xf>
    <xf numFmtId="0" fontId="1" fillId="15" borderId="0" xfId="30" applyFill="1" applyBorder="1"/>
    <xf numFmtId="0" fontId="1" fillId="15" borderId="10" xfId="30" applyFill="1" applyBorder="1"/>
    <xf numFmtId="0" fontId="1" fillId="15" borderId="7" xfId="30" applyFill="1" applyBorder="1"/>
    <xf numFmtId="0" fontId="0" fillId="15" borderId="7" xfId="0" applyFill="1" applyBorder="1"/>
    <xf numFmtId="0" fontId="0" fillId="15" borderId="8" xfId="0" applyFill="1" applyBorder="1"/>
    <xf numFmtId="0" fontId="0" fillId="15" borderId="11" xfId="0" applyFill="1" applyBorder="1"/>
    <xf numFmtId="0" fontId="0" fillId="15" borderId="10" xfId="0" applyFill="1" applyBorder="1"/>
    <xf numFmtId="0" fontId="0" fillId="15" borderId="15" xfId="0" applyFill="1" applyBorder="1"/>
    <xf numFmtId="0" fontId="25" fillId="15" borderId="25" xfId="24" applyFill="1"/>
    <xf numFmtId="0" fontId="25" fillId="20" borderId="54" xfId="24" applyFill="1" applyBorder="1"/>
    <xf numFmtId="0" fontId="25" fillId="20" borderId="65" xfId="24" applyFill="1" applyBorder="1"/>
    <xf numFmtId="0" fontId="25" fillId="15" borderId="65" xfId="24" applyFill="1" applyBorder="1"/>
    <xf numFmtId="0" fontId="1" fillId="15" borderId="17" xfId="30" applyFill="1" applyBorder="1"/>
    <xf numFmtId="0" fontId="74" fillId="6" borderId="21" xfId="29" applyFont="1" applyFill="1" applyBorder="1" applyAlignment="1">
      <alignment horizontal="center" vertical="center"/>
    </xf>
    <xf numFmtId="0" fontId="15" fillId="6" borderId="64" xfId="20" applyBorder="1"/>
    <xf numFmtId="0" fontId="15" fillId="6" borderId="13" xfId="20" applyBorder="1"/>
    <xf numFmtId="0" fontId="20" fillId="20" borderId="61" xfId="29" applyFill="1" applyBorder="1"/>
    <xf numFmtId="0" fontId="20" fillId="15" borderId="61" xfId="29" applyFill="1" applyBorder="1"/>
    <xf numFmtId="0" fontId="0" fillId="20" borderId="62" xfId="30" applyFont="1" applyBorder="1"/>
    <xf numFmtId="0" fontId="0" fillId="20" borderId="17" xfId="30" applyFont="1" applyBorder="1"/>
    <xf numFmtId="0" fontId="74" fillId="15" borderId="0" xfId="29" applyFont="1" applyFill="1" applyBorder="1" applyAlignment="1">
      <alignment horizontal="center" vertical="center"/>
    </xf>
    <xf numFmtId="0" fontId="32" fillId="20" borderId="0" xfId="30" applyFont="1" applyBorder="1"/>
    <xf numFmtId="0" fontId="15" fillId="6" borderId="66" xfId="20" applyBorder="1"/>
    <xf numFmtId="0" fontId="15" fillId="6" borderId="67" xfId="20" applyBorder="1"/>
    <xf numFmtId="0" fontId="15" fillId="6" borderId="68" xfId="20" applyBorder="1"/>
    <xf numFmtId="0" fontId="15" fillId="6" borderId="29" xfId="20" applyBorder="1"/>
    <xf numFmtId="0" fontId="15" fillId="6" borderId="30" xfId="20" applyBorder="1"/>
    <xf numFmtId="0" fontId="20" fillId="20" borderId="18" xfId="29" applyFill="1" applyBorder="1"/>
    <xf numFmtId="0" fontId="20" fillId="20" borderId="10" xfId="29" applyFill="1" applyBorder="1"/>
    <xf numFmtId="2" fontId="20" fillId="20" borderId="15" xfId="29" applyNumberFormat="1" applyFill="1" applyBorder="1"/>
    <xf numFmtId="2" fontId="74" fillId="6" borderId="21" xfId="29" applyNumberFormat="1" applyFont="1" applyFill="1" applyBorder="1" applyAlignment="1">
      <alignment horizontal="center" vertical="center"/>
    </xf>
    <xf numFmtId="0" fontId="4" fillId="15" borderId="0" xfId="20" applyFont="1" applyFill="1" applyBorder="1" applyAlignment="1">
      <alignment horizontal="center" vertical="center"/>
    </xf>
    <xf numFmtId="3" fontId="1" fillId="15" borderId="17" xfId="30" applyNumberFormat="1" applyFill="1" applyBorder="1"/>
    <xf numFmtId="0" fontId="0" fillId="15" borderId="17" xfId="30" applyFont="1" applyFill="1" applyBorder="1"/>
    <xf numFmtId="0" fontId="1" fillId="15" borderId="0" xfId="30" applyFont="1" applyFill="1" applyBorder="1"/>
    <xf numFmtId="0" fontId="3" fillId="15" borderId="23" xfId="30" applyFont="1" applyFill="1" applyBorder="1"/>
    <xf numFmtId="0" fontId="1" fillId="15" borderId="19" xfId="30" applyFont="1" applyFill="1" applyBorder="1"/>
    <xf numFmtId="0" fontId="1" fillId="15" borderId="17" xfId="30" applyFont="1" applyFill="1" applyBorder="1"/>
    <xf numFmtId="0" fontId="1" fillId="15" borderId="17" xfId="20" applyFont="1" applyFill="1" applyBorder="1"/>
    <xf numFmtId="0" fontId="1" fillId="15" borderId="17" xfId="29" applyFont="1" applyFill="1" applyBorder="1"/>
    <xf numFmtId="0" fontId="1" fillId="15" borderId="18" xfId="30" applyFont="1" applyFill="1" applyBorder="1"/>
    <xf numFmtId="0" fontId="25" fillId="15" borderId="0" xfId="24" applyFill="1" applyBorder="1"/>
    <xf numFmtId="3" fontId="1" fillId="15" borderId="23" xfId="30" applyNumberFormat="1" applyFill="1" applyBorder="1"/>
    <xf numFmtId="3" fontId="3" fillId="15" borderId="22" xfId="30" applyNumberFormat="1" applyFont="1" applyFill="1" applyBorder="1"/>
    <xf numFmtId="0" fontId="3" fillId="15" borderId="8" xfId="30" applyFont="1" applyFill="1" applyBorder="1"/>
    <xf numFmtId="0" fontId="3" fillId="15" borderId="21" xfId="0" applyFont="1" applyFill="1" applyBorder="1"/>
    <xf numFmtId="3" fontId="3" fillId="15" borderId="6" xfId="30" applyNumberFormat="1" applyFont="1" applyFill="1" applyBorder="1"/>
    <xf numFmtId="0" fontId="3" fillId="15" borderId="7" xfId="30" applyFont="1" applyFill="1" applyBorder="1"/>
    <xf numFmtId="0" fontId="3" fillId="15" borderId="6" xfId="30" applyFont="1" applyFill="1" applyBorder="1"/>
    <xf numFmtId="0" fontId="15" fillId="6" borderId="73" xfId="20" applyBorder="1"/>
    <xf numFmtId="0" fontId="20" fillId="20" borderId="9" xfId="29" applyFill="1" applyBorder="1"/>
    <xf numFmtId="3" fontId="1" fillId="15" borderId="7" xfId="30" applyNumberFormat="1" applyFill="1" applyBorder="1"/>
    <xf numFmtId="3" fontId="32" fillId="15" borderId="7" xfId="30" applyNumberFormat="1" applyFont="1" applyFill="1" applyBorder="1"/>
    <xf numFmtId="3" fontId="1" fillId="15" borderId="0" xfId="30" applyNumberFormat="1" applyFill="1" applyBorder="1"/>
    <xf numFmtId="3" fontId="1" fillId="15" borderId="8" xfId="30" applyNumberFormat="1" applyFill="1" applyBorder="1"/>
    <xf numFmtId="3" fontId="3" fillId="15" borderId="7" xfId="30" applyNumberFormat="1" applyFont="1" applyFill="1" applyBorder="1"/>
    <xf numFmtId="3" fontId="1" fillId="15" borderId="11" xfId="30" applyNumberFormat="1" applyFill="1" applyBorder="1"/>
    <xf numFmtId="3" fontId="1" fillId="15" borderId="10" xfId="30" applyNumberFormat="1" applyFill="1" applyBorder="1"/>
    <xf numFmtId="3" fontId="1" fillId="15" borderId="22" xfId="30" applyNumberFormat="1" applyFill="1" applyBorder="1"/>
    <xf numFmtId="3" fontId="1" fillId="15" borderId="19" xfId="30" applyNumberFormat="1" applyFont="1" applyFill="1" applyBorder="1"/>
    <xf numFmtId="3" fontId="1" fillId="15" borderId="7" xfId="30" applyNumberFormat="1" applyFont="1" applyFill="1" applyBorder="1"/>
    <xf numFmtId="3" fontId="1" fillId="15" borderId="8" xfId="30" applyNumberFormat="1" applyFont="1" applyFill="1" applyBorder="1"/>
    <xf numFmtId="3" fontId="1" fillId="15" borderId="17" xfId="30" applyNumberFormat="1" applyFont="1" applyFill="1" applyBorder="1"/>
    <xf numFmtId="3" fontId="1" fillId="15" borderId="0" xfId="30" applyNumberFormat="1" applyFont="1" applyFill="1" applyBorder="1"/>
    <xf numFmtId="3" fontId="15" fillId="15" borderId="0" xfId="20" applyNumberFormat="1" applyFont="1" applyFill="1" applyBorder="1"/>
    <xf numFmtId="3" fontId="1" fillId="15" borderId="18" xfId="30" applyNumberFormat="1" applyFont="1" applyFill="1" applyBorder="1"/>
    <xf numFmtId="3" fontId="1" fillId="15" borderId="10" xfId="30" applyNumberFormat="1" applyFont="1" applyFill="1" applyBorder="1"/>
    <xf numFmtId="3" fontId="1" fillId="15" borderId="22" xfId="30" applyNumberFormat="1" applyFont="1" applyFill="1" applyBorder="1"/>
    <xf numFmtId="3" fontId="6" fillId="15" borderId="0" xfId="29" applyNumberFormat="1" applyFont="1" applyFill="1" applyBorder="1"/>
    <xf numFmtId="3" fontId="0" fillId="15" borderId="0" xfId="0" applyNumberFormat="1" applyFill="1"/>
    <xf numFmtId="3" fontId="0" fillId="15" borderId="0" xfId="0" applyNumberFormat="1" applyFill="1" applyBorder="1"/>
    <xf numFmtId="3" fontId="0" fillId="15" borderId="19" xfId="0" applyNumberFormat="1" applyFill="1" applyBorder="1"/>
    <xf numFmtId="3" fontId="0" fillId="15" borderId="17" xfId="0" applyNumberFormat="1" applyFill="1" applyBorder="1"/>
    <xf numFmtId="3" fontId="0" fillId="15" borderId="18" xfId="0" applyNumberFormat="1" applyFill="1" applyBorder="1"/>
    <xf numFmtId="3" fontId="0" fillId="15" borderId="23" xfId="0" applyNumberFormat="1" applyFill="1" applyBorder="1"/>
    <xf numFmtId="3" fontId="6" fillId="15" borderId="19" xfId="30" applyNumberFormat="1" applyFont="1" applyFill="1" applyBorder="1"/>
    <xf numFmtId="3" fontId="6" fillId="15" borderId="7" xfId="30" applyNumberFormat="1" applyFont="1" applyFill="1" applyBorder="1"/>
    <xf numFmtId="3" fontId="6" fillId="15" borderId="17" xfId="30" applyNumberFormat="1" applyFont="1" applyFill="1" applyBorder="1"/>
    <xf numFmtId="3" fontId="6" fillId="15" borderId="0" xfId="30" applyNumberFormat="1" applyFont="1" applyFill="1" applyBorder="1"/>
    <xf numFmtId="3" fontId="6" fillId="15" borderId="0" xfId="20" applyNumberFormat="1" applyFont="1" applyFill="1" applyBorder="1"/>
    <xf numFmtId="3" fontId="6" fillId="15" borderId="18" xfId="30" applyNumberFormat="1" applyFont="1" applyFill="1" applyBorder="1"/>
    <xf numFmtId="3" fontId="6" fillId="15" borderId="10" xfId="30" applyNumberFormat="1" applyFont="1" applyFill="1" applyBorder="1"/>
    <xf numFmtId="3" fontId="6" fillId="15" borderId="23" xfId="30" applyNumberFormat="1" applyFont="1" applyFill="1" applyBorder="1"/>
    <xf numFmtId="3" fontId="6" fillId="15" borderId="22" xfId="30" applyNumberFormat="1" applyFont="1" applyFill="1" applyBorder="1"/>
    <xf numFmtId="3" fontId="6" fillId="15" borderId="7" xfId="29" applyNumberFormat="1" applyFont="1" applyFill="1" applyBorder="1" applyAlignment="1">
      <alignment horizontal="center" vertical="center"/>
    </xf>
    <xf numFmtId="3" fontId="75" fillId="15" borderId="7" xfId="30" applyNumberFormat="1" applyFont="1" applyFill="1" applyBorder="1"/>
    <xf numFmtId="3" fontId="6" fillId="15" borderId="0" xfId="29" applyNumberFormat="1" applyFont="1" applyFill="1" applyBorder="1" applyAlignment="1">
      <alignment horizontal="center" vertical="center"/>
    </xf>
    <xf numFmtId="3" fontId="6" fillId="15" borderId="10" xfId="29" applyNumberFormat="1" applyFont="1" applyFill="1" applyBorder="1" applyAlignment="1">
      <alignment horizontal="center" vertical="center"/>
    </xf>
    <xf numFmtId="3" fontId="6" fillId="15" borderId="22" xfId="29" applyNumberFormat="1" applyFont="1" applyFill="1" applyBorder="1" applyAlignment="1">
      <alignment horizontal="center" vertical="center"/>
    </xf>
    <xf numFmtId="0" fontId="0" fillId="20" borderId="0" xfId="30" applyFont="1" applyBorder="1"/>
    <xf numFmtId="0" fontId="3" fillId="15" borderId="21" xfId="30" applyFont="1" applyFill="1" applyBorder="1"/>
    <xf numFmtId="3" fontId="6" fillId="15" borderId="6" xfId="30" applyNumberFormat="1" applyFont="1" applyFill="1" applyBorder="1" applyAlignment="1">
      <alignment horizontal="center"/>
    </xf>
    <xf numFmtId="3" fontId="6" fillId="15" borderId="20" xfId="30" applyNumberFormat="1" applyFont="1" applyFill="1" applyBorder="1" applyAlignment="1">
      <alignment horizontal="center"/>
    </xf>
    <xf numFmtId="3" fontId="1" fillId="15" borderId="33" xfId="30" applyNumberFormat="1" applyFill="1" applyBorder="1"/>
    <xf numFmtId="3" fontId="32" fillId="15" borderId="33" xfId="30" applyNumberFormat="1" applyFont="1" applyFill="1" applyBorder="1"/>
    <xf numFmtId="3" fontId="1" fillId="15" borderId="26" xfId="30" applyNumberFormat="1" applyFill="1" applyBorder="1"/>
    <xf numFmtId="3" fontId="15" fillId="15" borderId="26" xfId="20" applyNumberFormat="1" applyFill="1" applyBorder="1"/>
    <xf numFmtId="3" fontId="20" fillId="15" borderId="26" xfId="29" applyNumberFormat="1" applyFill="1" applyBorder="1"/>
    <xf numFmtId="3" fontId="3" fillId="15" borderId="69" xfId="30" applyNumberFormat="1" applyFont="1" applyFill="1" applyBorder="1"/>
    <xf numFmtId="3" fontId="6" fillId="15" borderId="26" xfId="29" applyNumberFormat="1" applyFont="1" applyFill="1" applyBorder="1"/>
    <xf numFmtId="9" fontId="6" fillId="15" borderId="26" xfId="1" applyFont="1" applyFill="1" applyBorder="1"/>
    <xf numFmtId="9" fontId="3" fillId="15" borderId="21" xfId="1" applyFont="1" applyFill="1" applyBorder="1"/>
    <xf numFmtId="9" fontId="1" fillId="15" borderId="21" xfId="1" applyFill="1" applyBorder="1"/>
    <xf numFmtId="9" fontId="1" fillId="15" borderId="6" xfId="1" applyFill="1" applyBorder="1"/>
    <xf numFmtId="9" fontId="1" fillId="15" borderId="20" xfId="1" applyFill="1" applyBorder="1"/>
    <xf numFmtId="9" fontId="15" fillId="15" borderId="20" xfId="1" applyFont="1" applyFill="1" applyBorder="1"/>
    <xf numFmtId="9" fontId="6" fillId="15" borderId="20" xfId="1" applyFont="1" applyFill="1" applyBorder="1"/>
    <xf numFmtId="9" fontId="1" fillId="15" borderId="9" xfId="1" applyFill="1" applyBorder="1"/>
    <xf numFmtId="0" fontId="4" fillId="15" borderId="0" xfId="0" applyFont="1" applyFill="1" applyBorder="1"/>
    <xf numFmtId="0" fontId="3" fillId="15" borderId="0" xfId="0" applyFont="1" applyFill="1" applyBorder="1"/>
    <xf numFmtId="0" fontId="0" fillId="15" borderId="0" xfId="0" applyFill="1"/>
    <xf numFmtId="3" fontId="6" fillId="15" borderId="21" xfId="30" applyNumberFormat="1" applyFont="1" applyFill="1" applyBorder="1" applyAlignment="1">
      <alignment horizontal="center"/>
    </xf>
    <xf numFmtId="9" fontId="0" fillId="15" borderId="6" xfId="1" applyFont="1" applyFill="1" applyBorder="1" applyAlignment="1">
      <alignment horizontal="center"/>
    </xf>
    <xf numFmtId="9" fontId="0" fillId="15" borderId="20" xfId="1" applyFont="1" applyFill="1" applyBorder="1" applyAlignment="1">
      <alignment horizontal="center"/>
    </xf>
    <xf numFmtId="9" fontId="0" fillId="15" borderId="9" xfId="1" applyFont="1" applyFill="1" applyBorder="1" applyAlignment="1">
      <alignment horizontal="center"/>
    </xf>
    <xf numFmtId="9" fontId="0" fillId="15" borderId="21" xfId="1" applyFont="1" applyFill="1" applyBorder="1" applyAlignment="1">
      <alignment horizontal="center"/>
    </xf>
    <xf numFmtId="0" fontId="0" fillId="15" borderId="21" xfId="0" applyFill="1" applyBorder="1"/>
    <xf numFmtId="3" fontId="1" fillId="15" borderId="6" xfId="1" applyNumberFormat="1" applyFill="1" applyBorder="1"/>
    <xf numFmtId="3" fontId="1" fillId="15" borderId="20" xfId="1" applyNumberFormat="1" applyFill="1" applyBorder="1"/>
    <xf numFmtId="3" fontId="15" fillId="15" borderId="20" xfId="1" applyNumberFormat="1" applyFont="1" applyFill="1" applyBorder="1"/>
    <xf numFmtId="3" fontId="6" fillId="15" borderId="20" xfId="1" applyNumberFormat="1" applyFont="1" applyFill="1" applyBorder="1"/>
    <xf numFmtId="3" fontId="3" fillId="15" borderId="21" xfId="1" applyNumberFormat="1" applyFont="1" applyFill="1" applyBorder="1"/>
    <xf numFmtId="3" fontId="1" fillId="15" borderId="9" xfId="1" applyNumberFormat="1" applyFill="1" applyBorder="1"/>
    <xf numFmtId="9" fontId="0" fillId="15" borderId="20" xfId="1" applyFont="1" applyFill="1" applyBorder="1"/>
    <xf numFmtId="9" fontId="0" fillId="15" borderId="6" xfId="1" applyFont="1" applyFill="1" applyBorder="1"/>
    <xf numFmtId="9" fontId="0" fillId="15" borderId="21" xfId="1" applyFont="1" applyFill="1" applyBorder="1"/>
    <xf numFmtId="9" fontId="0" fillId="15" borderId="9" xfId="1" applyFont="1" applyFill="1" applyBorder="1"/>
    <xf numFmtId="3" fontId="1" fillId="15" borderId="6" xfId="30" applyNumberFormat="1" applyFill="1" applyBorder="1"/>
    <xf numFmtId="3" fontId="1" fillId="15" borderId="20" xfId="30" applyNumberFormat="1" applyFill="1" applyBorder="1"/>
    <xf numFmtId="3" fontId="1" fillId="15" borderId="9" xfId="30" applyNumberFormat="1" applyFill="1" applyBorder="1"/>
    <xf numFmtId="3" fontId="1" fillId="15" borderId="21" xfId="30" applyNumberFormat="1" applyFill="1" applyBorder="1"/>
    <xf numFmtId="2" fontId="20" fillId="15" borderId="61" xfId="29" applyNumberFormat="1" applyFill="1" applyBorder="1"/>
    <xf numFmtId="2" fontId="20" fillId="20" borderId="61" xfId="29" applyNumberFormat="1" applyFill="1" applyBorder="1"/>
    <xf numFmtId="0" fontId="76" fillId="21" borderId="74" xfId="31"/>
    <xf numFmtId="0" fontId="4" fillId="8" borderId="21" xfId="20" applyFont="1" applyFill="1" applyBorder="1" applyAlignment="1">
      <alignment horizontal="center" vertical="center"/>
    </xf>
    <xf numFmtId="169" fontId="74" fillId="8" borderId="21" xfId="29" applyNumberFormat="1" applyFont="1" applyFill="1" applyBorder="1" applyAlignment="1">
      <alignment horizontal="center" vertical="center"/>
    </xf>
    <xf numFmtId="3" fontId="6" fillId="15" borderId="9" xfId="30" applyNumberFormat="1" applyFont="1" applyFill="1" applyBorder="1" applyAlignment="1">
      <alignment horizontal="center"/>
    </xf>
    <xf numFmtId="9" fontId="0" fillId="15" borderId="0" xfId="1" applyFont="1" applyFill="1" applyBorder="1" applyAlignment="1">
      <alignment horizontal="center"/>
    </xf>
    <xf numFmtId="0" fontId="3" fillId="15" borderId="23" xfId="0" applyFont="1" applyFill="1" applyBorder="1"/>
    <xf numFmtId="0" fontId="32" fillId="15" borderId="21" xfId="0" applyFont="1" applyFill="1" applyBorder="1"/>
    <xf numFmtId="2" fontId="0" fillId="15" borderId="21" xfId="1" applyNumberFormat="1" applyFont="1" applyFill="1" applyBorder="1"/>
    <xf numFmtId="3" fontId="0" fillId="15" borderId="11" xfId="0" applyNumberFormat="1" applyFill="1" applyBorder="1"/>
    <xf numFmtId="2" fontId="0" fillId="3" borderId="8" xfId="0" applyNumberFormat="1" applyFill="1" applyBorder="1"/>
    <xf numFmtId="2" fontId="0" fillId="3" borderId="11" xfId="0" applyNumberFormat="1" applyFill="1" applyBorder="1"/>
    <xf numFmtId="2" fontId="0" fillId="3" borderId="15" xfId="0" applyNumberFormat="1" applyFill="1" applyBorder="1"/>
    <xf numFmtId="0" fontId="83" fillId="3" borderId="0" xfId="0" applyFont="1" applyFill="1"/>
    <xf numFmtId="1" fontId="32" fillId="3" borderId="0" xfId="0" applyNumberFormat="1" applyFont="1" applyFill="1"/>
    <xf numFmtId="171" fontId="0" fillId="3" borderId="0" xfId="0" applyNumberFormat="1" applyFill="1"/>
    <xf numFmtId="172" fontId="0" fillId="3" borderId="0" xfId="0" applyNumberFormat="1" applyFill="1"/>
    <xf numFmtId="0" fontId="32" fillId="3" borderId="0" xfId="0" applyFont="1" applyFill="1" applyBorder="1"/>
    <xf numFmtId="10" fontId="0" fillId="3" borderId="0" xfId="1" applyNumberFormat="1" applyFont="1" applyFill="1"/>
    <xf numFmtId="172" fontId="3" fillId="3" borderId="23" xfId="0" applyNumberFormat="1" applyFont="1" applyFill="1" applyBorder="1"/>
    <xf numFmtId="172" fontId="3" fillId="3" borderId="22" xfId="0" applyNumberFormat="1" applyFont="1" applyFill="1" applyBorder="1"/>
    <xf numFmtId="172" fontId="3" fillId="3" borderId="24" xfId="0" applyNumberFormat="1" applyFont="1" applyFill="1" applyBorder="1"/>
    <xf numFmtId="3" fontId="63" fillId="17" borderId="0" xfId="27" applyNumberFormat="1"/>
    <xf numFmtId="3" fontId="63" fillId="17" borderId="0" xfId="27" applyNumberFormat="1" applyBorder="1"/>
    <xf numFmtId="3" fontId="6" fillId="15" borderId="26" xfId="20" applyNumberFormat="1" applyFont="1" applyFill="1" applyBorder="1"/>
    <xf numFmtId="3" fontId="6" fillId="15" borderId="33" xfId="30" applyNumberFormat="1" applyFont="1" applyFill="1" applyBorder="1"/>
    <xf numFmtId="9" fontId="6" fillId="15" borderId="33" xfId="1" applyFont="1" applyFill="1" applyBorder="1"/>
    <xf numFmtId="9" fontId="6" fillId="15" borderId="6" xfId="1" applyFont="1" applyFill="1" applyBorder="1"/>
    <xf numFmtId="3" fontId="6" fillId="15" borderId="26" xfId="30" applyNumberFormat="1" applyFont="1" applyFill="1" applyBorder="1"/>
    <xf numFmtId="9" fontId="6" fillId="15" borderId="9" xfId="1" applyFont="1" applyFill="1" applyBorder="1"/>
    <xf numFmtId="0" fontId="85" fillId="15" borderId="0" xfId="0" applyFont="1" applyFill="1" applyBorder="1" applyAlignment="1">
      <alignment horizontal="left"/>
    </xf>
    <xf numFmtId="0" fontId="33" fillId="15" borderId="0" xfId="0" applyFont="1" applyFill="1" applyBorder="1" applyAlignment="1">
      <alignment horizontal="right"/>
    </xf>
    <xf numFmtId="0" fontId="86" fillId="6" borderId="21" xfId="29" applyFont="1" applyFill="1" applyBorder="1" applyAlignment="1">
      <alignment horizontal="center" vertical="center"/>
    </xf>
    <xf numFmtId="0" fontId="87" fillId="15" borderId="0" xfId="30" applyFont="1" applyFill="1" applyBorder="1"/>
    <xf numFmtId="0" fontId="87" fillId="20" borderId="0" xfId="30" applyFont="1" applyBorder="1"/>
    <xf numFmtId="0" fontId="87" fillId="15" borderId="11" xfId="30" applyFont="1" applyFill="1" applyBorder="1"/>
    <xf numFmtId="0" fontId="17" fillId="6" borderId="10" xfId="20" applyFont="1" applyBorder="1"/>
    <xf numFmtId="3" fontId="17" fillId="6" borderId="21" xfId="20" applyNumberFormat="1" applyFont="1" applyBorder="1"/>
    <xf numFmtId="10" fontId="17" fillId="6" borderId="21" xfId="1" applyNumberFormat="1" applyFont="1" applyFill="1" applyBorder="1"/>
    <xf numFmtId="1" fontId="17" fillId="6" borderId="21" xfId="20" applyNumberFormat="1" applyFont="1" applyBorder="1"/>
    <xf numFmtId="9" fontId="17" fillId="6" borderId="21" xfId="1" applyFont="1" applyFill="1" applyBorder="1"/>
    <xf numFmtId="0" fontId="49" fillId="3" borderId="0" xfId="7" applyFont="1" applyFill="1"/>
    <xf numFmtId="0" fontId="78" fillId="3" borderId="0" xfId="7" applyFont="1" applyFill="1"/>
    <xf numFmtId="0" fontId="79" fillId="3" borderId="10" xfId="7" applyFont="1" applyFill="1" applyBorder="1"/>
    <xf numFmtId="0" fontId="78" fillId="3" borderId="10" xfId="7" applyFont="1" applyFill="1" applyBorder="1"/>
    <xf numFmtId="0" fontId="78" fillId="3" borderId="75" xfId="7" applyFont="1" applyFill="1" applyBorder="1"/>
    <xf numFmtId="4" fontId="78" fillId="3" borderId="0" xfId="7" applyNumberFormat="1" applyFont="1" applyFill="1"/>
    <xf numFmtId="2" fontId="78" fillId="3" borderId="0" xfId="7" applyNumberFormat="1" applyFont="1" applyFill="1"/>
    <xf numFmtId="2" fontId="49" fillId="3" borderId="0" xfId="32" applyNumberFormat="1" applyFont="1" applyFill="1"/>
    <xf numFmtId="4" fontId="78" fillId="3" borderId="10" xfId="7" applyNumberFormat="1" applyFont="1" applyFill="1" applyBorder="1"/>
    <xf numFmtId="2" fontId="78" fillId="3" borderId="10" xfId="7" applyNumberFormat="1" applyFont="1" applyFill="1" applyBorder="1"/>
    <xf numFmtId="2" fontId="49" fillId="3" borderId="10" xfId="32" applyNumberFormat="1" applyFont="1" applyFill="1" applyBorder="1"/>
    <xf numFmtId="0" fontId="80" fillId="3" borderId="0" xfId="7" applyFont="1" applyFill="1"/>
    <xf numFmtId="0" fontId="81" fillId="3" borderId="0" xfId="7" applyFont="1" applyFill="1"/>
    <xf numFmtId="0" fontId="18" fillId="15" borderId="0" xfId="20" applyFont="1" applyFill="1" applyBorder="1" applyAlignment="1">
      <alignment horizontal="right"/>
    </xf>
    <xf numFmtId="0" fontId="17" fillId="15" borderId="0" xfId="20" applyFont="1" applyFill="1" applyBorder="1"/>
    <xf numFmtId="1" fontId="17" fillId="15" borderId="0" xfId="20" applyNumberFormat="1" applyFont="1" applyFill="1" applyBorder="1"/>
    <xf numFmtId="1" fontId="69" fillId="14" borderId="0" xfId="26" applyNumberFormat="1" applyFont="1"/>
    <xf numFmtId="169" fontId="17" fillId="6" borderId="15" xfId="20" applyNumberFormat="1" applyFont="1" applyBorder="1"/>
    <xf numFmtId="0" fontId="86" fillId="15" borderId="0" xfId="29" applyFont="1" applyFill="1" applyBorder="1" applyAlignment="1">
      <alignment horizontal="center" vertical="center"/>
    </xf>
    <xf numFmtId="0" fontId="25" fillId="20" borderId="17" xfId="24" applyFill="1" applyBorder="1"/>
    <xf numFmtId="0" fontId="25" fillId="20" borderId="0" xfId="24" applyFill="1" applyBorder="1"/>
    <xf numFmtId="0" fontId="12" fillId="20" borderId="0" xfId="30" applyFont="1" applyBorder="1"/>
    <xf numFmtId="0" fontId="12" fillId="15" borderId="0" xfId="0" applyFont="1" applyFill="1" applyBorder="1"/>
    <xf numFmtId="0" fontId="0" fillId="15" borderId="0" xfId="0" applyFont="1" applyFill="1" applyBorder="1"/>
    <xf numFmtId="9" fontId="6" fillId="15" borderId="71" xfId="1" applyFont="1" applyFill="1" applyBorder="1" applyAlignment="1">
      <alignment horizontal="center" vertical="center"/>
    </xf>
    <xf numFmtId="9" fontId="6" fillId="15" borderId="58" xfId="1" applyFont="1" applyFill="1" applyBorder="1" applyAlignment="1">
      <alignment horizontal="center" vertical="center"/>
    </xf>
    <xf numFmtId="9" fontId="6" fillId="15" borderId="58" xfId="1" applyFont="1" applyFill="1" applyBorder="1" applyAlignment="1">
      <alignment horizontal="center"/>
    </xf>
    <xf numFmtId="9" fontId="75" fillId="15" borderId="58" xfId="1" applyFont="1" applyFill="1" applyBorder="1" applyAlignment="1">
      <alignment horizontal="center" vertical="center"/>
    </xf>
    <xf numFmtId="9" fontId="75" fillId="15" borderId="72" xfId="1" applyFont="1" applyFill="1" applyBorder="1" applyAlignment="1">
      <alignment horizontal="center" vertical="center"/>
    </xf>
    <xf numFmtId="9" fontId="6" fillId="15" borderId="70" xfId="1" applyFont="1" applyFill="1" applyBorder="1" applyAlignment="1">
      <alignment horizontal="center" vertical="center"/>
    </xf>
    <xf numFmtId="0" fontId="0" fillId="15" borderId="0" xfId="30" applyFont="1" applyFill="1" applyBorder="1"/>
    <xf numFmtId="3" fontId="3" fillId="15" borderId="23" xfId="30" applyNumberFormat="1" applyFont="1" applyFill="1" applyBorder="1"/>
    <xf numFmtId="9" fontId="6" fillId="15" borderId="34" xfId="1" applyFont="1" applyFill="1" applyBorder="1" applyAlignment="1">
      <alignment horizontal="center" vertical="center"/>
    </xf>
    <xf numFmtId="9" fontId="6" fillId="15" borderId="3" xfId="1" applyFont="1" applyFill="1" applyBorder="1" applyAlignment="1">
      <alignment horizontal="center" vertical="center"/>
    </xf>
    <xf numFmtId="9" fontId="6" fillId="15" borderId="3" xfId="1" applyFont="1" applyFill="1" applyBorder="1" applyAlignment="1">
      <alignment horizontal="center"/>
    </xf>
    <xf numFmtId="9" fontId="75" fillId="15" borderId="3" xfId="1" applyFont="1" applyFill="1" applyBorder="1" applyAlignment="1">
      <alignment horizontal="center" vertical="center"/>
    </xf>
    <xf numFmtId="3" fontId="3" fillId="15" borderId="21" xfId="30" applyNumberFormat="1" applyFont="1" applyFill="1" applyBorder="1"/>
    <xf numFmtId="9" fontId="28" fillId="15" borderId="24" xfId="1" applyFont="1" applyFill="1" applyBorder="1" applyAlignment="1">
      <alignment horizontal="center" vertical="center"/>
    </xf>
    <xf numFmtId="9" fontId="0" fillId="15" borderId="0" xfId="1" applyFont="1" applyFill="1" applyBorder="1"/>
    <xf numFmtId="9" fontId="0" fillId="15" borderId="71" xfId="1" applyFont="1" applyFill="1" applyBorder="1"/>
    <xf numFmtId="9" fontId="0" fillId="15" borderId="58" xfId="1" applyFont="1" applyFill="1" applyBorder="1"/>
    <xf numFmtId="9" fontId="15" fillId="15" borderId="58" xfId="1" applyFont="1" applyFill="1" applyBorder="1"/>
    <xf numFmtId="9" fontId="20" fillId="15" borderId="58" xfId="1" applyFont="1" applyFill="1" applyBorder="1"/>
    <xf numFmtId="9" fontId="0" fillId="15" borderId="72" xfId="1" applyFont="1" applyFill="1" applyBorder="1"/>
    <xf numFmtId="9" fontId="0" fillId="15" borderId="69" xfId="1" applyFont="1" applyFill="1" applyBorder="1"/>
    <xf numFmtId="9" fontId="3" fillId="15" borderId="69" xfId="1" applyFont="1" applyFill="1" applyBorder="1"/>
    <xf numFmtId="9" fontId="0" fillId="15" borderId="11" xfId="0" applyNumberFormat="1" applyFill="1" applyBorder="1"/>
    <xf numFmtId="9" fontId="0" fillId="3" borderId="0" xfId="0" applyNumberFormat="1" applyFill="1"/>
    <xf numFmtId="9" fontId="0" fillId="15" borderId="11" xfId="1" applyFont="1" applyFill="1" applyBorder="1"/>
    <xf numFmtId="3" fontId="35" fillId="9" borderId="21" xfId="22" applyNumberFormat="1" applyFont="1" applyBorder="1" applyAlignment="1">
      <alignment horizontal="right"/>
    </xf>
    <xf numFmtId="3" fontId="20" fillId="3" borderId="0" xfId="22" applyNumberFormat="1" applyFont="1" applyFill="1" applyBorder="1"/>
    <xf numFmtId="3" fontId="19" fillId="3" borderId="0" xfId="22" applyNumberFormat="1" applyFont="1" applyFill="1" applyBorder="1" applyAlignment="1">
      <alignment horizontal="right"/>
    </xf>
    <xf numFmtId="4" fontId="19" fillId="9" borderId="20" xfId="22" applyNumberFormat="1" applyFont="1" applyBorder="1" applyAlignment="1">
      <alignment horizontal="right"/>
    </xf>
    <xf numFmtId="4" fontId="20" fillId="3" borderId="0" xfId="22" applyNumberFormat="1" applyFont="1" applyFill="1" applyBorder="1"/>
    <xf numFmtId="0" fontId="20" fillId="9" borderId="23" xfId="22" applyFont="1" applyBorder="1"/>
    <xf numFmtId="0" fontId="20" fillId="9" borderId="22" xfId="22" applyFont="1" applyBorder="1"/>
    <xf numFmtId="0" fontId="20" fillId="9" borderId="24" xfId="22" applyFont="1" applyBorder="1"/>
    <xf numFmtId="2" fontId="88" fillId="3" borderId="0" xfId="22" applyNumberFormat="1" applyFont="1" applyFill="1" applyBorder="1" applyAlignment="1">
      <alignment horizontal="right"/>
    </xf>
    <xf numFmtId="0" fontId="0" fillId="8" borderId="0" xfId="30" applyFont="1" applyFill="1" applyBorder="1"/>
    <xf numFmtId="0" fontId="3" fillId="8" borderId="6" xfId="0" applyFont="1" applyFill="1" applyBorder="1"/>
    <xf numFmtId="3" fontId="32" fillId="8" borderId="33" xfId="30" applyNumberFormat="1" applyFont="1" applyFill="1" applyBorder="1"/>
    <xf numFmtId="3" fontId="1" fillId="8" borderId="26" xfId="30" applyNumberFormat="1" applyFill="1" applyBorder="1"/>
    <xf numFmtId="3" fontId="15" fillId="8" borderId="26" xfId="20" applyNumberFormat="1" applyFill="1" applyBorder="1"/>
    <xf numFmtId="3" fontId="20" fillId="8" borderId="26" xfId="29" applyNumberFormat="1" applyFill="1" applyBorder="1"/>
    <xf numFmtId="3" fontId="3" fillId="8" borderId="22" xfId="30" applyNumberFormat="1" applyFont="1" applyFill="1" applyBorder="1"/>
    <xf numFmtId="9" fontId="0" fillId="3" borderId="0" xfId="1" applyFont="1" applyFill="1" applyBorder="1" applyAlignment="1">
      <alignment horizontal="left"/>
    </xf>
    <xf numFmtId="0" fontId="0" fillId="15" borderId="19" xfId="0" applyFill="1" applyBorder="1"/>
    <xf numFmtId="0" fontId="3" fillId="15" borderId="17" xfId="0" applyFont="1" applyFill="1" applyBorder="1"/>
    <xf numFmtId="3" fontId="0" fillId="15" borderId="7" xfId="0" applyNumberFormat="1" applyFill="1" applyBorder="1"/>
    <xf numFmtId="9" fontId="3" fillId="15" borderId="6" xfId="1" applyFont="1" applyFill="1" applyBorder="1" applyAlignment="1">
      <alignment horizontal="right"/>
    </xf>
    <xf numFmtId="9" fontId="3" fillId="15" borderId="6" xfId="1" applyFont="1" applyFill="1" applyBorder="1" applyAlignment="1">
      <alignment horizontal="left"/>
    </xf>
    <xf numFmtId="9" fontId="3" fillId="15" borderId="20" xfId="1" applyFont="1" applyFill="1" applyBorder="1" applyAlignment="1">
      <alignment horizontal="right"/>
    </xf>
    <xf numFmtId="9" fontId="3" fillId="15" borderId="20" xfId="1" applyFont="1" applyFill="1" applyBorder="1" applyAlignment="1">
      <alignment horizontal="left"/>
    </xf>
    <xf numFmtId="0" fontId="3" fillId="15" borderId="9" xfId="0" applyFont="1" applyFill="1" applyBorder="1"/>
    <xf numFmtId="3" fontId="84" fillId="15" borderId="0" xfId="0" applyNumberFormat="1" applyFont="1" applyFill="1" applyBorder="1"/>
    <xf numFmtId="0" fontId="84" fillId="15" borderId="0" xfId="0" applyFont="1" applyFill="1" applyBorder="1"/>
    <xf numFmtId="0" fontId="32" fillId="15" borderId="0" xfId="0" applyFont="1" applyFill="1" applyBorder="1"/>
    <xf numFmtId="3" fontId="0" fillId="15" borderId="22" xfId="0" applyNumberFormat="1" applyFill="1" applyBorder="1"/>
    <xf numFmtId="9" fontId="3" fillId="15" borderId="21" xfId="1" applyFont="1" applyFill="1" applyBorder="1" applyAlignment="1">
      <alignment horizontal="right"/>
    </xf>
    <xf numFmtId="9" fontId="3" fillId="15" borderId="21" xfId="1" applyFont="1" applyFill="1" applyBorder="1" applyAlignment="1">
      <alignment horizontal="left"/>
    </xf>
    <xf numFmtId="2" fontId="0" fillId="15" borderId="7" xfId="0" applyNumberFormat="1" applyFill="1" applyBorder="1"/>
    <xf numFmtId="2" fontId="0" fillId="15" borderId="0" xfId="0" applyNumberFormat="1" applyFill="1" applyBorder="1"/>
    <xf numFmtId="3" fontId="0" fillId="8" borderId="7" xfId="0" applyNumberFormat="1" applyFill="1" applyBorder="1"/>
    <xf numFmtId="3" fontId="0" fillId="8" borderId="0" xfId="0" applyNumberFormat="1" applyFill="1" applyBorder="1"/>
    <xf numFmtId="9" fontId="3" fillId="15" borderId="6" xfId="1" applyFont="1" applyFill="1" applyBorder="1" applyAlignment="1">
      <alignment horizontal="center"/>
    </xf>
    <xf numFmtId="9" fontId="3" fillId="15" borderId="20" xfId="1" applyFont="1" applyFill="1" applyBorder="1" applyAlignment="1">
      <alignment horizontal="center"/>
    </xf>
    <xf numFmtId="9" fontId="3" fillId="15" borderId="21" xfId="1" applyFont="1" applyFill="1" applyBorder="1" applyAlignment="1">
      <alignment horizontal="center"/>
    </xf>
    <xf numFmtId="0" fontId="3" fillId="15" borderId="6" xfId="0" applyFont="1" applyFill="1" applyBorder="1" applyAlignment="1">
      <alignment horizontal="center" vertical="center" wrapText="1"/>
    </xf>
    <xf numFmtId="0" fontId="3" fillId="15" borderId="9" xfId="0" applyFont="1" applyFill="1" applyBorder="1" applyAlignment="1">
      <alignment horizontal="center" vertical="center" wrapText="1"/>
    </xf>
    <xf numFmtId="0" fontId="89" fillId="15" borderId="19" xfId="0" applyFont="1" applyFill="1" applyBorder="1"/>
    <xf numFmtId="3" fontId="3" fillId="15" borderId="0" xfId="0" applyNumberFormat="1" applyFont="1" applyFill="1" applyBorder="1"/>
    <xf numFmtId="0" fontId="3" fillId="15" borderId="19" xfId="0" applyFont="1" applyFill="1" applyBorder="1" applyAlignment="1">
      <alignment vertical="center"/>
    </xf>
    <xf numFmtId="0" fontId="3" fillId="15" borderId="8" xfId="0" applyFont="1" applyFill="1" applyBorder="1" applyAlignment="1">
      <alignment vertical="center"/>
    </xf>
    <xf numFmtId="0" fontId="3" fillId="15" borderId="7" xfId="0" applyFont="1" applyFill="1" applyBorder="1" applyAlignment="1">
      <alignment vertical="center"/>
    </xf>
    <xf numFmtId="0" fontId="3" fillId="15" borderId="17" xfId="0" applyFont="1" applyFill="1" applyBorder="1" applyAlignment="1">
      <alignment vertical="center"/>
    </xf>
    <xf numFmtId="0" fontId="3" fillId="15" borderId="11" xfId="0" applyFont="1" applyFill="1" applyBorder="1" applyAlignment="1">
      <alignment vertical="center"/>
    </xf>
    <xf numFmtId="0" fontId="3" fillId="15" borderId="0" xfId="0" applyFont="1" applyFill="1" applyBorder="1" applyAlignment="1">
      <alignment vertical="center"/>
    </xf>
    <xf numFmtId="3" fontId="4" fillId="15" borderId="11" xfId="0" applyNumberFormat="1" applyFont="1" applyFill="1" applyBorder="1"/>
    <xf numFmtId="3" fontId="4" fillId="15" borderId="45" xfId="0" applyNumberFormat="1" applyFont="1" applyFill="1" applyBorder="1"/>
    <xf numFmtId="3" fontId="3" fillId="15" borderId="19" xfId="0" applyNumberFormat="1" applyFont="1" applyFill="1" applyBorder="1"/>
    <xf numFmtId="0" fontId="3" fillId="15" borderId="7" xfId="0" applyFont="1" applyFill="1" applyBorder="1"/>
    <xf numFmtId="9" fontId="3" fillId="15" borderId="19" xfId="1" applyFont="1" applyFill="1" applyBorder="1"/>
    <xf numFmtId="0" fontId="3" fillId="15" borderId="8" xfId="0" applyFont="1" applyFill="1" applyBorder="1"/>
    <xf numFmtId="3" fontId="4" fillId="15" borderId="6" xfId="0" applyNumberFormat="1" applyFont="1" applyFill="1" applyBorder="1"/>
    <xf numFmtId="3" fontId="4" fillId="15" borderId="76" xfId="0" applyNumberFormat="1" applyFont="1" applyFill="1" applyBorder="1"/>
    <xf numFmtId="3" fontId="4" fillId="15" borderId="45" xfId="0" applyNumberFormat="1" applyFont="1" applyFill="1" applyBorder="1" applyAlignment="1">
      <alignment horizontal="center"/>
    </xf>
    <xf numFmtId="3" fontId="4" fillId="15" borderId="20" xfId="0" applyNumberFormat="1" applyFont="1" applyFill="1" applyBorder="1"/>
    <xf numFmtId="3" fontId="3" fillId="15" borderId="17" xfId="0" applyNumberFormat="1" applyFont="1" applyFill="1" applyBorder="1"/>
    <xf numFmtId="9" fontId="3" fillId="15" borderId="17" xfId="1" applyFont="1" applyFill="1" applyBorder="1"/>
    <xf numFmtId="0" fontId="3" fillId="15" borderId="11" xfId="0" applyFont="1" applyFill="1" applyBorder="1"/>
    <xf numFmtId="3" fontId="4" fillId="15" borderId="20" xfId="0" applyNumberFormat="1" applyFont="1" applyFill="1" applyBorder="1" applyAlignment="1">
      <alignment horizontal="center"/>
    </xf>
    <xf numFmtId="3" fontId="4" fillId="15" borderId="9" xfId="0" applyNumberFormat="1" applyFont="1" applyFill="1" applyBorder="1"/>
    <xf numFmtId="3" fontId="3" fillId="15" borderId="18" xfId="0" applyNumberFormat="1" applyFont="1" applyFill="1" applyBorder="1"/>
    <xf numFmtId="0" fontId="3" fillId="15" borderId="10" xfId="0" applyFont="1" applyFill="1" applyBorder="1"/>
    <xf numFmtId="9" fontId="3" fillId="15" borderId="18" xfId="1" applyFont="1" applyFill="1" applyBorder="1"/>
    <xf numFmtId="0" fontId="3" fillId="15" borderId="15" xfId="0" applyFont="1" applyFill="1" applyBorder="1"/>
    <xf numFmtId="3" fontId="4" fillId="15" borderId="15" xfId="0" applyNumberFormat="1" applyFont="1" applyFill="1" applyBorder="1"/>
    <xf numFmtId="3" fontId="4" fillId="15" borderId="9" xfId="0" applyNumberFormat="1" applyFont="1" applyFill="1" applyBorder="1" applyAlignment="1">
      <alignment horizontal="center"/>
    </xf>
    <xf numFmtId="3" fontId="33" fillId="15" borderId="0" xfId="0" applyNumberFormat="1" applyFont="1" applyFill="1" applyBorder="1"/>
    <xf numFmtId="3" fontId="33" fillId="15" borderId="0" xfId="0" applyNumberFormat="1" applyFont="1" applyFill="1" applyBorder="1" applyAlignment="1">
      <alignment horizontal="center"/>
    </xf>
    <xf numFmtId="3" fontId="3" fillId="15" borderId="24" xfId="0" applyNumberFormat="1" applyFont="1" applyFill="1" applyBorder="1"/>
    <xf numFmtId="3" fontId="3" fillId="15" borderId="21" xfId="0" applyNumberFormat="1" applyFont="1" applyFill="1" applyBorder="1"/>
    <xf numFmtId="3" fontId="3" fillId="15" borderId="23" xfId="0" applyNumberFormat="1" applyFont="1" applyFill="1" applyBorder="1"/>
    <xf numFmtId="0" fontId="3" fillId="15" borderId="24" xfId="0" applyFont="1" applyFill="1" applyBorder="1"/>
    <xf numFmtId="3" fontId="3" fillId="15" borderId="21" xfId="0" applyNumberFormat="1" applyFont="1" applyFill="1" applyBorder="1" applyAlignment="1">
      <alignment horizontal="center"/>
    </xf>
    <xf numFmtId="0" fontId="33" fillId="15" borderId="6" xfId="0" applyFont="1" applyFill="1" applyBorder="1" applyAlignment="1">
      <alignment horizontal="center" vertical="center" wrapText="1"/>
    </xf>
    <xf numFmtId="0" fontId="33" fillId="15" borderId="55" xfId="0" applyFont="1" applyFill="1" applyBorder="1" applyAlignment="1">
      <alignment horizontal="center" vertical="center" wrapText="1"/>
    </xf>
    <xf numFmtId="9" fontId="3" fillId="15" borderId="23" xfId="1" applyFont="1" applyFill="1" applyBorder="1"/>
    <xf numFmtId="0" fontId="90" fillId="15" borderId="0" xfId="0" applyFont="1" applyFill="1" applyBorder="1"/>
    <xf numFmtId="3" fontId="4" fillId="15" borderId="17" xfId="0" applyNumberFormat="1" applyFont="1" applyFill="1" applyBorder="1"/>
    <xf numFmtId="3" fontId="33" fillId="15" borderId="17" xfId="0" applyNumberFormat="1" applyFont="1" applyFill="1" applyBorder="1"/>
    <xf numFmtId="0" fontId="33" fillId="15" borderId="17" xfId="0" applyFont="1" applyFill="1" applyBorder="1" applyAlignment="1"/>
    <xf numFmtId="0" fontId="90" fillId="15" borderId="7" xfId="0" applyFont="1" applyFill="1" applyBorder="1"/>
    <xf numFmtId="3" fontId="32" fillId="15" borderId="0" xfId="0" applyNumberFormat="1" applyFont="1" applyFill="1" applyBorder="1"/>
    <xf numFmtId="9" fontId="3" fillId="15" borderId="0" xfId="1" applyFont="1" applyFill="1" applyBorder="1"/>
    <xf numFmtId="0" fontId="3" fillId="15" borderId="6" xfId="0" applyFont="1" applyFill="1" applyBorder="1" applyAlignment="1">
      <alignment vertical="center"/>
    </xf>
    <xf numFmtId="0" fontId="3" fillId="15" borderId="20" xfId="0" applyFont="1" applyFill="1" applyBorder="1" applyAlignment="1">
      <alignment vertical="center"/>
    </xf>
    <xf numFmtId="3" fontId="3" fillId="15" borderId="6" xfId="0" applyNumberFormat="1" applyFont="1" applyFill="1" applyBorder="1"/>
    <xf numFmtId="3" fontId="3" fillId="15" borderId="20" xfId="0" applyNumberFormat="1" applyFont="1" applyFill="1" applyBorder="1"/>
    <xf numFmtId="3" fontId="3" fillId="15" borderId="9" xfId="0" applyNumberFormat="1" applyFont="1" applyFill="1" applyBorder="1"/>
    <xf numFmtId="0" fontId="3" fillId="15" borderId="6" xfId="0" applyFont="1" applyFill="1" applyBorder="1" applyAlignment="1">
      <alignment horizontal="center" vertical="center" wrapText="1"/>
    </xf>
    <xf numFmtId="0" fontId="3" fillId="15" borderId="9" xfId="0" applyFont="1" applyFill="1" applyBorder="1" applyAlignment="1">
      <alignment horizontal="center" vertical="center" wrapText="1"/>
    </xf>
    <xf numFmtId="3" fontId="91" fillId="15" borderId="0" xfId="30" applyNumberFormat="1" applyFont="1" applyFill="1" applyBorder="1"/>
    <xf numFmtId="1" fontId="13" fillId="15" borderId="0" xfId="30" applyNumberFormat="1" applyFont="1" applyFill="1" applyBorder="1"/>
    <xf numFmtId="1" fontId="91" fillId="15" borderId="0" xfId="30" applyNumberFormat="1" applyFont="1" applyFill="1" applyBorder="1"/>
    <xf numFmtId="0" fontId="31" fillId="15" borderId="0" xfId="0" applyFont="1" applyFill="1" applyBorder="1"/>
    <xf numFmtId="3" fontId="6" fillId="15" borderId="6" xfId="30" applyNumberFormat="1" applyFont="1" applyFill="1" applyBorder="1"/>
    <xf numFmtId="3" fontId="6" fillId="15" borderId="20" xfId="30" applyNumberFormat="1" applyFont="1" applyFill="1" applyBorder="1"/>
    <xf numFmtId="3" fontId="6" fillId="15" borderId="9" xfId="30" applyNumberFormat="1" applyFont="1" applyFill="1" applyBorder="1"/>
    <xf numFmtId="3" fontId="6" fillId="15" borderId="21" xfId="30" applyNumberFormat="1" applyFont="1" applyFill="1" applyBorder="1"/>
    <xf numFmtId="0" fontId="92" fillId="15" borderId="0" xfId="0" applyFont="1" applyFill="1" applyBorder="1"/>
    <xf numFmtId="3" fontId="93" fillId="15" borderId="0" xfId="0" applyNumberFormat="1" applyFont="1" applyFill="1" applyBorder="1"/>
    <xf numFmtId="3" fontId="92" fillId="15" borderId="0" xfId="0" applyNumberFormat="1" applyFont="1" applyFill="1" applyBorder="1"/>
    <xf numFmtId="0" fontId="3" fillId="15" borderId="0" xfId="30" applyFont="1" applyFill="1" applyBorder="1"/>
    <xf numFmtId="0" fontId="0" fillId="15" borderId="0" xfId="0" applyFill="1" applyBorder="1" applyAlignment="1">
      <alignment horizontal="center"/>
    </xf>
    <xf numFmtId="0" fontId="27" fillId="3" borderId="13" xfId="20" applyFont="1" applyFill="1"/>
    <xf numFmtId="1" fontId="20" fillId="8" borderId="0" xfId="22" applyNumberFormat="1" applyFont="1" applyFill="1" applyBorder="1"/>
    <xf numFmtId="0" fontId="6" fillId="10" borderId="0" xfId="0" applyFont="1" applyFill="1" applyBorder="1"/>
    <xf numFmtId="3" fontId="77" fillId="10" borderId="0" xfId="30" applyNumberFormat="1" applyFont="1" applyFill="1" applyBorder="1"/>
    <xf numFmtId="3" fontId="6" fillId="10" borderId="0" xfId="30" applyNumberFormat="1" applyFont="1" applyFill="1" applyBorder="1"/>
    <xf numFmtId="3" fontId="6" fillId="10" borderId="0" xfId="20" applyNumberFormat="1" applyFont="1" applyFill="1" applyBorder="1"/>
    <xf numFmtId="3" fontId="6" fillId="10" borderId="0" xfId="29" applyNumberFormat="1" applyFont="1" applyFill="1" applyBorder="1"/>
    <xf numFmtId="0" fontId="6" fillId="10" borderId="50" xfId="0" applyFont="1" applyFill="1" applyBorder="1"/>
    <xf numFmtId="0" fontId="6" fillId="10" borderId="47" xfId="0" applyFont="1" applyFill="1" applyBorder="1"/>
    <xf numFmtId="0" fontId="6" fillId="10" borderId="2" xfId="30" applyFont="1" applyFill="1" applyBorder="1"/>
    <xf numFmtId="0" fontId="6" fillId="10" borderId="26" xfId="0" applyFont="1" applyFill="1" applyBorder="1"/>
    <xf numFmtId="0" fontId="6" fillId="10" borderId="26" xfId="0" applyFont="1" applyFill="1" applyBorder="1" applyAlignment="1">
      <alignment horizontal="center"/>
    </xf>
    <xf numFmtId="3" fontId="77" fillId="10" borderId="3" xfId="30" applyNumberFormat="1" applyFont="1" applyFill="1" applyBorder="1"/>
    <xf numFmtId="3" fontId="6" fillId="10" borderId="3" xfId="30" applyNumberFormat="1" applyFont="1" applyFill="1" applyBorder="1"/>
    <xf numFmtId="3" fontId="6" fillId="10" borderId="3" xfId="20" applyNumberFormat="1" applyFont="1" applyFill="1" applyBorder="1"/>
    <xf numFmtId="3" fontId="6" fillId="10" borderId="3" xfId="29" applyNumberFormat="1" applyFont="1" applyFill="1" applyBorder="1"/>
    <xf numFmtId="0" fontId="28" fillId="10" borderId="51" xfId="0" applyFont="1" applyFill="1" applyBorder="1" applyAlignment="1">
      <alignment horizontal="center"/>
    </xf>
    <xf numFmtId="0" fontId="28" fillId="10" borderId="4" xfId="0" applyFont="1" applyFill="1" applyBorder="1"/>
    <xf numFmtId="3" fontId="28" fillId="10" borderId="4" xfId="30" applyNumberFormat="1" applyFont="1" applyFill="1" applyBorder="1"/>
    <xf numFmtId="3" fontId="28" fillId="10" borderId="5" xfId="30" applyNumberFormat="1" applyFont="1" applyFill="1" applyBorder="1"/>
    <xf numFmtId="0" fontId="0" fillId="10" borderId="2" xfId="0" applyFill="1" applyBorder="1"/>
    <xf numFmtId="0" fontId="0" fillId="10" borderId="3" xfId="0" applyFill="1" applyBorder="1"/>
    <xf numFmtId="3" fontId="0" fillId="10" borderId="26" xfId="0" applyNumberFormat="1" applyFill="1" applyBorder="1"/>
    <xf numFmtId="3" fontId="0" fillId="10" borderId="3" xfId="0" applyNumberFormat="1" applyFill="1" applyBorder="1"/>
    <xf numFmtId="0" fontId="94" fillId="10" borderId="0" xfId="0" applyFont="1" applyFill="1" applyBorder="1"/>
    <xf numFmtId="0" fontId="94" fillId="10" borderId="3" xfId="0" applyFont="1" applyFill="1" applyBorder="1"/>
    <xf numFmtId="0" fontId="31" fillId="10" borderId="26" xfId="0" applyFont="1" applyFill="1" applyBorder="1"/>
    <xf numFmtId="0" fontId="31" fillId="10" borderId="3" xfId="0" applyFont="1" applyFill="1" applyBorder="1"/>
    <xf numFmtId="3" fontId="92" fillId="3" borderId="0" xfId="0" applyNumberFormat="1" applyFont="1" applyFill="1"/>
    <xf numFmtId="1" fontId="13" fillId="3" borderId="0" xfId="0" applyNumberFormat="1" applyFont="1" applyFill="1"/>
    <xf numFmtId="1" fontId="13" fillId="3" borderId="0" xfId="0" applyNumberFormat="1" applyFont="1" applyFill="1" applyBorder="1"/>
    <xf numFmtId="1" fontId="0" fillId="3" borderId="50" xfId="0" applyNumberFormat="1" applyFill="1" applyBorder="1"/>
    <xf numFmtId="1" fontId="0" fillId="3" borderId="26" xfId="0" applyNumberFormat="1" applyFill="1" applyBorder="1"/>
    <xf numFmtId="173" fontId="3" fillId="3" borderId="22" xfId="1" applyNumberFormat="1" applyFont="1" applyFill="1" applyBorder="1"/>
    <xf numFmtId="3" fontId="0" fillId="3" borderId="23" xfId="0" applyNumberFormat="1" applyFill="1" applyBorder="1"/>
    <xf numFmtId="3" fontId="0" fillId="3" borderId="70" xfId="0" applyNumberFormat="1" applyFill="1" applyBorder="1"/>
    <xf numFmtId="3" fontId="3" fillId="3" borderId="8" xfId="0" applyNumberFormat="1" applyFont="1" applyFill="1" applyBorder="1"/>
    <xf numFmtId="3" fontId="0" fillId="3" borderId="50" xfId="0" applyNumberFormat="1" applyFill="1" applyBorder="1"/>
    <xf numFmtId="3" fontId="0" fillId="3" borderId="47" xfId="0" applyNumberFormat="1" applyFill="1" applyBorder="1"/>
    <xf numFmtId="3" fontId="0" fillId="3" borderId="26" xfId="0" applyNumberFormat="1" applyFill="1" applyBorder="1"/>
    <xf numFmtId="3" fontId="0" fillId="3" borderId="69" xfId="0" applyNumberFormat="1" applyFill="1" applyBorder="1"/>
    <xf numFmtId="3" fontId="3" fillId="3" borderId="70" xfId="0" applyNumberFormat="1" applyFont="1" applyFill="1" applyBorder="1"/>
    <xf numFmtId="0" fontId="92" fillId="3" borderId="0" xfId="0" applyFont="1" applyFill="1" applyBorder="1"/>
    <xf numFmtId="4" fontId="19" fillId="9" borderId="0" xfId="22" applyNumberFormat="1" applyBorder="1" applyAlignment="1"/>
    <xf numFmtId="3" fontId="68" fillId="3" borderId="0" xfId="0" applyNumberFormat="1" applyFont="1" applyFill="1"/>
    <xf numFmtId="3" fontId="96" fillId="0" borderId="0" xfId="0" applyNumberFormat="1" applyFont="1"/>
    <xf numFmtId="4" fontId="95" fillId="0" borderId="0" xfId="0" applyNumberFormat="1" applyFont="1"/>
    <xf numFmtId="3" fontId="32" fillId="3" borderId="0" xfId="30" applyNumberFormat="1" applyFont="1" applyFill="1" applyBorder="1"/>
    <xf numFmtId="3" fontId="1" fillId="3" borderId="0" xfId="30" applyNumberFormat="1" applyFill="1" applyBorder="1"/>
    <xf numFmtId="3" fontId="15" fillId="3" borderId="0" xfId="20" applyNumberFormat="1" applyFill="1" applyBorder="1"/>
    <xf numFmtId="3" fontId="20" fillId="3" borderId="0" xfId="29" applyNumberFormat="1" applyFill="1" applyBorder="1"/>
    <xf numFmtId="3" fontId="3" fillId="3" borderId="0" xfId="30" applyNumberFormat="1" applyFont="1" applyFill="1" applyBorder="1"/>
    <xf numFmtId="0" fontId="28" fillId="3" borderId="0" xfId="21" applyFont="1" applyFill="1" applyBorder="1"/>
    <xf numFmtId="49" fontId="28" fillId="3" borderId="0" xfId="21" applyNumberFormat="1" applyFont="1" applyFill="1" applyBorder="1"/>
    <xf numFmtId="0" fontId="19" fillId="3" borderId="0" xfId="21" applyFont="1" applyFill="1" applyBorder="1"/>
    <xf numFmtId="49" fontId="0" fillId="3" borderId="0" xfId="0" applyNumberFormat="1" applyFill="1" applyBorder="1"/>
    <xf numFmtId="0" fontId="19" fillId="3" borderId="0" xfId="22" applyFill="1" applyBorder="1"/>
    <xf numFmtId="1" fontId="0" fillId="3" borderId="0" xfId="21" applyNumberFormat="1" applyFont="1" applyFill="1" applyBorder="1"/>
    <xf numFmtId="2" fontId="19" fillId="3" borderId="0" xfId="22" applyNumberFormat="1" applyFill="1" applyBorder="1"/>
    <xf numFmtId="0" fontId="2" fillId="3" borderId="0" xfId="17" applyFill="1" applyBorder="1"/>
    <xf numFmtId="167" fontId="0" fillId="3" borderId="0" xfId="0" applyNumberFormat="1" applyFill="1" applyBorder="1"/>
    <xf numFmtId="0" fontId="19" fillId="3" borderId="0" xfId="22" applyFill="1" applyBorder="1" applyAlignment="1">
      <alignment horizontal="center"/>
    </xf>
    <xf numFmtId="167" fontId="19" fillId="3" borderId="0" xfId="22" applyNumberFormat="1" applyFill="1" applyBorder="1" applyAlignment="1">
      <alignment horizontal="center"/>
    </xf>
    <xf numFmtId="0" fontId="97" fillId="2" borderId="0" xfId="25" applyFont="1"/>
    <xf numFmtId="0" fontId="98" fillId="7" borderId="23" xfId="21" applyFont="1" applyBorder="1"/>
    <xf numFmtId="2" fontId="19" fillId="9" borderId="9" xfId="22" applyNumberFormat="1" applyBorder="1"/>
    <xf numFmtId="0" fontId="28" fillId="7" borderId="21" xfId="21" applyFont="1" applyBorder="1"/>
    <xf numFmtId="16" fontId="0" fillId="15" borderId="0" xfId="0" applyNumberFormat="1" applyFill="1" applyBorder="1"/>
    <xf numFmtId="0" fontId="15" fillId="6" borderId="21" xfId="20" applyBorder="1"/>
    <xf numFmtId="0" fontId="17" fillId="6" borderId="21" xfId="20" applyFont="1" applyBorder="1"/>
    <xf numFmtId="43" fontId="26" fillId="7" borderId="0" xfId="21" applyNumberFormat="1" applyFont="1" applyBorder="1" applyProtection="1"/>
    <xf numFmtId="43" fontId="26" fillId="7" borderId="10" xfId="21" applyNumberFormat="1" applyFont="1" applyBorder="1" applyProtection="1"/>
    <xf numFmtId="2" fontId="1" fillId="7" borderId="7" xfId="21" applyNumberFormat="1" applyBorder="1" applyAlignment="1">
      <alignment horizontal="center"/>
    </xf>
    <xf numFmtId="2" fontId="3" fillId="7" borderId="19" xfId="21" applyNumberFormat="1" applyFont="1" applyBorder="1" applyAlignment="1">
      <alignment horizontal="center"/>
    </xf>
    <xf numFmtId="2" fontId="3" fillId="7" borderId="23" xfId="21" applyNumberFormat="1" applyFont="1" applyBorder="1" applyAlignment="1">
      <alignment horizontal="center"/>
    </xf>
    <xf numFmtId="0" fontId="1" fillId="7" borderId="22" xfId="21" applyBorder="1" applyAlignment="1">
      <alignment horizontal="center"/>
    </xf>
    <xf numFmtId="2" fontId="1" fillId="7" borderId="22" xfId="21" applyNumberFormat="1" applyBorder="1" applyAlignment="1">
      <alignment horizontal="center"/>
    </xf>
    <xf numFmtId="0" fontId="1" fillId="7" borderId="24" xfId="21" applyBorder="1" applyAlignment="1">
      <alignment horizontal="center"/>
    </xf>
    <xf numFmtId="0" fontId="99" fillId="15" borderId="19" xfId="0" applyFont="1" applyFill="1" applyBorder="1"/>
    <xf numFmtId="0" fontId="98" fillId="15" borderId="17" xfId="0" applyFont="1" applyFill="1" applyBorder="1"/>
    <xf numFmtId="3" fontId="3" fillId="3" borderId="10" xfId="0" applyNumberFormat="1" applyFont="1" applyFill="1" applyBorder="1"/>
    <xf numFmtId="0" fontId="0" fillId="0" borderId="0" xfId="0" applyFill="1" applyProtection="1"/>
    <xf numFmtId="3" fontId="96" fillId="3" borderId="0" xfId="0" applyNumberFormat="1" applyFont="1" applyFill="1" applyBorder="1"/>
    <xf numFmtId="169" fontId="96" fillId="3" borderId="0" xfId="0" applyNumberFormat="1" applyFont="1" applyFill="1" applyBorder="1"/>
    <xf numFmtId="0" fontId="100" fillId="3" borderId="23" xfId="22" applyFont="1" applyFill="1" applyBorder="1"/>
    <xf numFmtId="169" fontId="100" fillId="3" borderId="22" xfId="0" applyNumberFormat="1" applyFont="1" applyFill="1" applyBorder="1"/>
    <xf numFmtId="0" fontId="100" fillId="3" borderId="19" xfId="22" applyFont="1" applyFill="1" applyBorder="1"/>
    <xf numFmtId="3" fontId="96" fillId="3" borderId="7" xfId="0" applyNumberFormat="1" applyFont="1" applyFill="1" applyBorder="1"/>
    <xf numFmtId="169" fontId="96" fillId="3" borderId="7" xfId="0" applyNumberFormat="1" applyFont="1" applyFill="1" applyBorder="1"/>
    <xf numFmtId="0" fontId="100" fillId="3" borderId="17" xfId="22" applyFont="1" applyFill="1" applyBorder="1"/>
    <xf numFmtId="0" fontId="100" fillId="3" borderId="17" xfId="22" applyFont="1" applyFill="1" applyBorder="1" applyAlignment="1" applyProtection="1">
      <alignment horizontal="left"/>
    </xf>
    <xf numFmtId="0" fontId="100" fillId="3" borderId="17" xfId="22" applyFont="1" applyFill="1" applyBorder="1" applyProtection="1"/>
    <xf numFmtId="0" fontId="100" fillId="3" borderId="18" xfId="22" applyFont="1" applyFill="1" applyBorder="1"/>
    <xf numFmtId="3" fontId="96" fillId="3" borderId="10" xfId="0" applyNumberFormat="1" applyFont="1" applyFill="1" applyBorder="1"/>
    <xf numFmtId="169" fontId="96" fillId="3" borderId="10" xfId="0" applyNumberFormat="1" applyFont="1" applyFill="1" applyBorder="1"/>
    <xf numFmtId="0" fontId="26" fillId="3" borderId="0" xfId="21" applyFont="1" applyFill="1" applyBorder="1"/>
    <xf numFmtId="3" fontId="26" fillId="3" borderId="0" xfId="21" applyNumberFormat="1" applyFont="1" applyFill="1" applyBorder="1"/>
    <xf numFmtId="0" fontId="6" fillId="3" borderId="0" xfId="21" applyFont="1" applyFill="1" applyBorder="1"/>
    <xf numFmtId="3" fontId="28" fillId="3" borderId="0" xfId="21" applyNumberFormat="1" applyFont="1" applyFill="1" applyBorder="1"/>
    <xf numFmtId="3" fontId="6" fillId="7" borderId="0" xfId="21" applyNumberFormat="1" applyFont="1" applyBorder="1"/>
    <xf numFmtId="3" fontId="28" fillId="7" borderId="0" xfId="21" applyNumberFormat="1" applyFont="1" applyBorder="1"/>
    <xf numFmtId="1" fontId="6" fillId="3" borderId="0" xfId="0" applyNumberFormat="1" applyFont="1" applyFill="1"/>
    <xf numFmtId="0" fontId="101" fillId="3" borderId="0" xfId="21" applyFont="1" applyFill="1" applyBorder="1"/>
    <xf numFmtId="0" fontId="28" fillId="3" borderId="19" xfId="22" applyFont="1" applyFill="1" applyBorder="1"/>
    <xf numFmtId="3" fontId="6" fillId="3" borderId="7" xfId="21" applyNumberFormat="1" applyFont="1" applyFill="1" applyBorder="1"/>
    <xf numFmtId="3" fontId="28" fillId="3" borderId="7" xfId="21" applyNumberFormat="1" applyFont="1" applyFill="1" applyBorder="1"/>
    <xf numFmtId="3" fontId="6" fillId="3" borderId="8" xfId="21" applyNumberFormat="1" applyFont="1" applyFill="1" applyBorder="1"/>
    <xf numFmtId="0" fontId="28" fillId="3" borderId="17" xfId="22" applyFont="1" applyFill="1" applyBorder="1"/>
    <xf numFmtId="3" fontId="6" fillId="3" borderId="11" xfId="21" applyNumberFormat="1" applyFont="1" applyFill="1" applyBorder="1"/>
    <xf numFmtId="0" fontId="28" fillId="3" borderId="17" xfId="22" applyFont="1" applyFill="1" applyBorder="1" applyAlignment="1" applyProtection="1">
      <alignment horizontal="left"/>
    </xf>
    <xf numFmtId="0" fontId="28" fillId="3" borderId="17" xfId="22" applyFont="1" applyFill="1" applyBorder="1" applyProtection="1"/>
    <xf numFmtId="0" fontId="28" fillId="3" borderId="18" xfId="22" applyFont="1" applyFill="1" applyBorder="1"/>
    <xf numFmtId="3" fontId="6" fillId="3" borderId="10" xfId="21" applyNumberFormat="1" applyFont="1" applyFill="1" applyBorder="1"/>
    <xf numFmtId="3" fontId="28" fillId="3" borderId="10" xfId="21" applyNumberFormat="1" applyFont="1" applyFill="1" applyBorder="1"/>
    <xf numFmtId="3" fontId="6" fillId="3" borderId="15" xfId="21" applyNumberFormat="1" applyFont="1" applyFill="1" applyBorder="1"/>
    <xf numFmtId="1" fontId="68" fillId="3" borderId="0" xfId="0" applyNumberFormat="1" applyFont="1" applyFill="1" applyBorder="1"/>
    <xf numFmtId="0" fontId="20" fillId="9" borderId="17" xfId="22" applyNumberFormat="1" applyFont="1" applyBorder="1"/>
    <xf numFmtId="0" fontId="0" fillId="3" borderId="50" xfId="0" applyFill="1" applyBorder="1"/>
    <xf numFmtId="0" fontId="31" fillId="3" borderId="0" xfId="0" applyFont="1" applyFill="1" applyBorder="1"/>
    <xf numFmtId="0" fontId="31" fillId="3" borderId="51" xfId="0" applyFont="1" applyFill="1" applyBorder="1"/>
    <xf numFmtId="0" fontId="31" fillId="3" borderId="5" xfId="0" applyFont="1" applyFill="1" applyBorder="1"/>
    <xf numFmtId="3" fontId="0" fillId="3" borderId="0" xfId="0" applyNumberFormat="1" applyFill="1" applyAlignment="1">
      <alignment horizontal="right"/>
    </xf>
    <xf numFmtId="174" fontId="3" fillId="3" borderId="6" xfId="0" applyNumberFormat="1" applyFont="1" applyFill="1" applyBorder="1"/>
    <xf numFmtId="3" fontId="0" fillId="3" borderId="0" xfId="0" applyNumberFormat="1" applyFont="1" applyFill="1" applyBorder="1"/>
    <xf numFmtId="3" fontId="3" fillId="3" borderId="77" xfId="0" applyNumberFormat="1" applyFont="1" applyFill="1" applyBorder="1"/>
    <xf numFmtId="174" fontId="0" fillId="3" borderId="0" xfId="0" applyNumberFormat="1" applyFill="1"/>
    <xf numFmtId="174" fontId="3" fillId="3" borderId="20" xfId="0" applyNumberFormat="1" applyFont="1" applyFill="1" applyBorder="1"/>
    <xf numFmtId="3" fontId="3" fillId="3" borderId="78" xfId="0" applyNumberFormat="1" applyFont="1" applyFill="1" applyBorder="1"/>
    <xf numFmtId="3" fontId="3" fillId="3" borderId="79" xfId="0" applyNumberFormat="1" applyFont="1" applyFill="1" applyBorder="1"/>
    <xf numFmtId="3" fontId="3" fillId="3" borderId="75" xfId="0" applyNumberFormat="1" applyFont="1" applyFill="1" applyBorder="1"/>
    <xf numFmtId="3" fontId="3" fillId="3" borderId="4" xfId="0" applyNumberFormat="1" applyFont="1" applyFill="1" applyBorder="1"/>
    <xf numFmtId="3" fontId="3" fillId="3" borderId="80" xfId="0" applyNumberFormat="1" applyFont="1" applyFill="1" applyBorder="1"/>
    <xf numFmtId="174" fontId="3" fillId="3" borderId="21" xfId="0" applyNumberFormat="1" applyFont="1" applyFill="1" applyBorder="1"/>
    <xf numFmtId="1" fontId="0" fillId="3" borderId="0" xfId="0" applyNumberFormat="1" applyFill="1" applyAlignment="1">
      <alignment horizontal="right" indent="1"/>
    </xf>
    <xf numFmtId="0" fontId="19" fillId="9" borderId="13" xfId="22" applyAlignment="1"/>
    <xf numFmtId="3" fontId="19" fillId="9" borderId="13" xfId="22" applyNumberFormat="1" applyAlignment="1"/>
    <xf numFmtId="3" fontId="19" fillId="9" borderId="7" xfId="22" applyNumberFormat="1" applyBorder="1" applyAlignment="1"/>
    <xf numFmtId="3" fontId="19" fillId="9" borderId="64" xfId="22" applyNumberFormat="1" applyBorder="1" applyAlignment="1"/>
    <xf numFmtId="0" fontId="19" fillId="3" borderId="0" xfId="22" applyFill="1" applyBorder="1" applyAlignment="1"/>
    <xf numFmtId="3" fontId="15" fillId="6" borderId="0" xfId="20" applyNumberFormat="1" applyBorder="1" applyAlignment="1">
      <alignment horizontal="right"/>
    </xf>
    <xf numFmtId="3" fontId="15" fillId="6" borderId="10" xfId="20" applyNumberFormat="1" applyBorder="1" applyAlignment="1">
      <alignment horizontal="right"/>
    </xf>
    <xf numFmtId="0" fontId="3" fillId="15" borderId="27" xfId="30" applyFont="1" applyFill="1" applyBorder="1"/>
    <xf numFmtId="3" fontId="3" fillId="15" borderId="28" xfId="30" applyNumberFormat="1" applyFont="1" applyFill="1" applyBorder="1"/>
    <xf numFmtId="3" fontId="29" fillId="15" borderId="28" xfId="0" applyNumberFormat="1" applyFont="1" applyFill="1" applyBorder="1"/>
    <xf numFmtId="3" fontId="3" fillId="15" borderId="81" xfId="30" applyNumberFormat="1" applyFont="1" applyFill="1" applyBorder="1"/>
    <xf numFmtId="3" fontId="102" fillId="15" borderId="28" xfId="0" applyNumberFormat="1" applyFont="1" applyFill="1" applyBorder="1"/>
    <xf numFmtId="3" fontId="3" fillId="15" borderId="28" xfId="0" applyNumberFormat="1" applyFont="1" applyFill="1" applyBorder="1"/>
    <xf numFmtId="0" fontId="98" fillId="3" borderId="82" xfId="0" applyFont="1" applyFill="1" applyBorder="1"/>
    <xf numFmtId="3" fontId="98" fillId="3" borderId="20" xfId="0" applyNumberFormat="1" applyFont="1" applyFill="1" applyBorder="1"/>
    <xf numFmtId="3" fontId="98" fillId="3" borderId="9" xfId="0" applyNumberFormat="1" applyFont="1" applyFill="1" applyBorder="1"/>
    <xf numFmtId="9" fontId="6" fillId="15" borderId="26" xfId="1" applyNumberFormat="1" applyFont="1" applyFill="1" applyBorder="1"/>
    <xf numFmtId="9" fontId="0" fillId="3" borderId="0" xfId="1" applyNumberFormat="1" applyFont="1" applyFill="1"/>
    <xf numFmtId="3" fontId="3" fillId="10" borderId="24" xfId="0" applyNumberFormat="1" applyFont="1" applyFill="1" applyBorder="1"/>
    <xf numFmtId="3" fontId="3" fillId="10" borderId="53" xfId="0" applyNumberFormat="1" applyFont="1" applyFill="1" applyBorder="1"/>
    <xf numFmtId="0" fontId="31" fillId="10" borderId="0" xfId="0" applyFont="1" applyFill="1" applyBorder="1"/>
    <xf numFmtId="0" fontId="31" fillId="10" borderId="17" xfId="0" applyFont="1" applyFill="1" applyBorder="1"/>
    <xf numFmtId="0" fontId="31" fillId="10" borderId="11" xfId="0" applyFont="1" applyFill="1" applyBorder="1"/>
    <xf numFmtId="3" fontId="102" fillId="3" borderId="0" xfId="30" applyNumberFormat="1" applyFont="1" applyFill="1" applyBorder="1"/>
    <xf numFmtId="3" fontId="3" fillId="15" borderId="53" xfId="30" applyNumberFormat="1" applyFont="1" applyFill="1" applyBorder="1"/>
    <xf numFmtId="0" fontId="103" fillId="3" borderId="0" xfId="7" applyFont="1" applyFill="1"/>
    <xf numFmtId="3" fontId="6" fillId="15" borderId="0" xfId="0" applyNumberFormat="1" applyFont="1" applyFill="1" applyBorder="1"/>
    <xf numFmtId="9" fontId="1" fillId="15" borderId="0" xfId="1" applyNumberFormat="1" applyFill="1" applyBorder="1"/>
    <xf numFmtId="164" fontId="0" fillId="3" borderId="0" xfId="0" applyNumberFormat="1" applyFill="1"/>
    <xf numFmtId="169" fontId="0" fillId="3" borderId="0" xfId="0" applyNumberFormat="1" applyFill="1"/>
    <xf numFmtId="9" fontId="0" fillId="3" borderId="0" xfId="0" applyNumberFormat="1" applyFill="1" applyBorder="1"/>
    <xf numFmtId="1" fontId="1" fillId="20" borderId="0" xfId="30" applyNumberFormat="1" applyBorder="1"/>
    <xf numFmtId="0" fontId="3" fillId="20" borderId="62" xfId="30" applyFont="1" applyBorder="1"/>
    <xf numFmtId="2" fontId="20" fillId="20" borderId="10" xfId="29" applyNumberFormat="1" applyFill="1" applyBorder="1"/>
    <xf numFmtId="9" fontId="1" fillId="20" borderId="0" xfId="30" applyNumberFormat="1" applyBorder="1"/>
    <xf numFmtId="10" fontId="0" fillId="3" borderId="0" xfId="0" applyNumberFormat="1" applyFill="1"/>
    <xf numFmtId="9" fontId="1" fillId="3" borderId="0" xfId="1" applyFont="1" applyFill="1"/>
    <xf numFmtId="0" fontId="3" fillId="3" borderId="0" xfId="0" applyFont="1" applyFill="1" applyBorder="1" applyAlignment="1">
      <alignment horizontal="right" wrapText="1"/>
    </xf>
    <xf numFmtId="3" fontId="30" fillId="7" borderId="0" xfId="21" applyNumberFormat="1" applyFont="1" applyBorder="1" applyAlignment="1" applyProtection="1">
      <alignment horizontal="center"/>
    </xf>
    <xf numFmtId="170" fontId="0" fillId="3" borderId="0" xfId="0" applyNumberFormat="1" applyFill="1"/>
    <xf numFmtId="3" fontId="3" fillId="3" borderId="7" xfId="0" applyNumberFormat="1" applyFont="1" applyFill="1" applyBorder="1"/>
    <xf numFmtId="3" fontId="3" fillId="3" borderId="69" xfId="0" applyNumberFormat="1" applyFont="1" applyFill="1" applyBorder="1"/>
    <xf numFmtId="1" fontId="0" fillId="3" borderId="0" xfId="1" applyNumberFormat="1" applyFont="1" applyFill="1"/>
    <xf numFmtId="0" fontId="3" fillId="3" borderId="15" xfId="0" applyFont="1" applyFill="1" applyBorder="1"/>
    <xf numFmtId="9" fontId="0" fillId="3" borderId="20" xfId="1" applyFont="1" applyFill="1" applyBorder="1"/>
    <xf numFmtId="9" fontId="0" fillId="3" borderId="11" xfId="1" applyFont="1" applyFill="1" applyBorder="1"/>
    <xf numFmtId="9" fontId="0" fillId="3" borderId="20" xfId="0" applyNumberFormat="1" applyFill="1" applyBorder="1"/>
    <xf numFmtId="0" fontId="33" fillId="3" borderId="7" xfId="0" applyFont="1" applyFill="1" applyBorder="1"/>
    <xf numFmtId="0" fontId="33" fillId="3" borderId="10" xfId="0" applyFont="1" applyFill="1" applyBorder="1"/>
    <xf numFmtId="0" fontId="13" fillId="3" borderId="7" xfId="0" applyFont="1" applyFill="1" applyBorder="1"/>
    <xf numFmtId="0" fontId="13" fillId="3" borderId="10" xfId="0" applyFont="1" applyFill="1" applyBorder="1"/>
    <xf numFmtId="3" fontId="13" fillId="3" borderId="0" xfId="0" applyNumberFormat="1" applyFont="1" applyFill="1"/>
    <xf numFmtId="3" fontId="33" fillId="3" borderId="0" xfId="0" applyNumberFormat="1" applyFont="1" applyFill="1"/>
    <xf numFmtId="9" fontId="3" fillId="3" borderId="21" xfId="1" applyFont="1" applyFill="1" applyBorder="1"/>
    <xf numFmtId="9" fontId="3" fillId="3" borderId="24" xfId="1" applyFont="1" applyFill="1" applyBorder="1"/>
    <xf numFmtId="9" fontId="3" fillId="3" borderId="21" xfId="0" applyNumberFormat="1" applyFont="1" applyFill="1" applyBorder="1"/>
    <xf numFmtId="3" fontId="102" fillId="3" borderId="22" xfId="0" applyNumberFormat="1" applyFont="1" applyFill="1" applyBorder="1"/>
    <xf numFmtId="3" fontId="33" fillId="3" borderId="22" xfId="0" applyNumberFormat="1" applyFont="1" applyFill="1" applyBorder="1"/>
    <xf numFmtId="166" fontId="0" fillId="3" borderId="20" xfId="0" applyNumberFormat="1" applyFill="1" applyBorder="1"/>
    <xf numFmtId="9" fontId="3" fillId="3" borderId="11" xfId="1" applyFont="1" applyFill="1" applyBorder="1"/>
    <xf numFmtId="166" fontId="3" fillId="3" borderId="20" xfId="0" applyNumberFormat="1" applyFont="1" applyFill="1" applyBorder="1"/>
    <xf numFmtId="168" fontId="20" fillId="15" borderId="61" xfId="29" applyNumberFormat="1" applyFill="1" applyBorder="1"/>
    <xf numFmtId="0" fontId="3" fillId="3" borderId="0" xfId="0" applyFont="1" applyFill="1" applyBorder="1" applyAlignment="1">
      <alignment horizontal="center" vertical="top" wrapText="1"/>
    </xf>
    <xf numFmtId="0" fontId="3" fillId="3" borderId="0" xfId="0" applyFont="1" applyFill="1" applyBorder="1" applyAlignment="1">
      <alignment horizontal="right" vertical="top" wrapText="1"/>
    </xf>
    <xf numFmtId="0" fontId="3" fillId="3" borderId="0" xfId="0" applyFont="1" applyFill="1" applyBorder="1" applyAlignment="1">
      <alignment horizontal="right" wrapText="1"/>
    </xf>
    <xf numFmtId="0" fontId="3" fillId="3" borderId="17" xfId="0" applyFont="1" applyFill="1" applyBorder="1" applyAlignment="1">
      <alignment horizontal="right" vertical="top" wrapText="1"/>
    </xf>
    <xf numFmtId="0" fontId="3" fillId="3" borderId="11" xfId="0" applyFont="1" applyFill="1" applyBorder="1" applyAlignment="1">
      <alignment horizontal="right" vertical="top" wrapText="1"/>
    </xf>
    <xf numFmtId="0" fontId="3" fillId="3" borderId="20" xfId="0" applyFont="1" applyFill="1" applyBorder="1" applyAlignment="1">
      <alignment horizontal="center" vertical="top" wrapText="1"/>
    </xf>
    <xf numFmtId="0" fontId="3" fillId="3" borderId="11" xfId="0" applyFont="1" applyFill="1" applyBorder="1" applyAlignment="1">
      <alignment horizontal="center" vertical="top" wrapText="1"/>
    </xf>
    <xf numFmtId="0" fontId="3" fillId="3" borderId="0" xfId="0" applyFont="1" applyFill="1" applyBorder="1" applyAlignment="1">
      <alignment horizontal="center" wrapText="1"/>
    </xf>
    <xf numFmtId="0" fontId="3" fillId="3" borderId="19" xfId="0" applyFont="1" applyFill="1" applyBorder="1" applyAlignment="1">
      <alignment horizontal="right" vertical="top" wrapText="1"/>
    </xf>
    <xf numFmtId="0" fontId="3" fillId="3" borderId="8" xfId="0" applyFont="1" applyFill="1" applyBorder="1" applyAlignment="1">
      <alignment horizontal="right" vertical="top" wrapText="1"/>
    </xf>
    <xf numFmtId="0" fontId="3" fillId="3" borderId="18" xfId="0" applyFont="1" applyFill="1" applyBorder="1" applyAlignment="1">
      <alignment horizontal="right" vertical="top" wrapText="1"/>
    </xf>
    <xf numFmtId="0" fontId="3" fillId="3" borderId="15" xfId="0" applyFont="1" applyFill="1" applyBorder="1" applyAlignment="1">
      <alignment horizontal="right" vertical="top" wrapText="1"/>
    </xf>
    <xf numFmtId="0" fontId="3" fillId="3" borderId="0" xfId="0" applyFont="1" applyFill="1" applyBorder="1" applyAlignment="1">
      <alignment horizontal="right" vertical="center" wrapText="1"/>
    </xf>
    <xf numFmtId="0" fontId="0" fillId="19" borderId="50" xfId="0" applyFill="1" applyBorder="1" applyAlignment="1">
      <alignment horizontal="center" vertical="center" wrapText="1"/>
    </xf>
    <xf numFmtId="0" fontId="0" fillId="19" borderId="2" xfId="0" applyFill="1" applyBorder="1" applyAlignment="1">
      <alignment horizontal="center" vertical="center" wrapText="1"/>
    </xf>
    <xf numFmtId="0" fontId="0" fillId="19" borderId="26" xfId="0" applyFill="1" applyBorder="1" applyAlignment="1">
      <alignment horizontal="center" vertical="center" wrapText="1"/>
    </xf>
    <xf numFmtId="0" fontId="0" fillId="19" borderId="3" xfId="0" applyFill="1" applyBorder="1" applyAlignment="1">
      <alignment horizontal="center" vertical="center" wrapText="1"/>
    </xf>
    <xf numFmtId="0" fontId="0" fillId="19" borderId="51" xfId="0" applyFill="1" applyBorder="1" applyAlignment="1">
      <alignment horizontal="center" vertical="center" wrapText="1"/>
    </xf>
    <xf numFmtId="0" fontId="0" fillId="19" borderId="5" xfId="0" applyFill="1" applyBorder="1" applyAlignment="1">
      <alignment horizontal="center" vertical="center" wrapText="1"/>
    </xf>
    <xf numFmtId="0" fontId="0" fillId="19" borderId="6" xfId="0" applyFill="1" applyBorder="1" applyAlignment="1">
      <alignment horizontal="center" vertical="top" wrapText="1"/>
    </xf>
    <xf numFmtId="0" fontId="0" fillId="19" borderId="20" xfId="0" applyFill="1" applyBorder="1" applyAlignment="1">
      <alignment horizontal="center" vertical="top" wrapText="1"/>
    </xf>
    <xf numFmtId="0" fontId="0" fillId="19" borderId="9" xfId="0" applyFill="1" applyBorder="1" applyAlignment="1">
      <alignment horizontal="center" vertical="top" wrapText="1"/>
    </xf>
    <xf numFmtId="0" fontId="14" fillId="3" borderId="12" xfId="19" applyFill="1" applyAlignment="1">
      <alignment horizontal="center"/>
    </xf>
    <xf numFmtId="0" fontId="15" fillId="6" borderId="19" xfId="20" applyBorder="1" applyAlignment="1">
      <alignment horizontal="left" vertical="top" wrapText="1"/>
    </xf>
    <xf numFmtId="0" fontId="15" fillId="6" borderId="7" xfId="20" applyBorder="1" applyAlignment="1">
      <alignment horizontal="left" vertical="top" wrapText="1"/>
    </xf>
    <xf numFmtId="0" fontId="15" fillId="6" borderId="8" xfId="20" applyBorder="1" applyAlignment="1">
      <alignment horizontal="left" vertical="top" wrapText="1"/>
    </xf>
    <xf numFmtId="0" fontId="15" fillId="6" borderId="18" xfId="20" applyBorder="1" applyAlignment="1">
      <alignment horizontal="left" vertical="top" wrapText="1"/>
    </xf>
    <xf numFmtId="0" fontId="15" fillId="6" borderId="10" xfId="20" applyBorder="1" applyAlignment="1">
      <alignment horizontal="left" vertical="top" wrapText="1"/>
    </xf>
    <xf numFmtId="0" fontId="15" fillId="6" borderId="15" xfId="20" applyBorder="1" applyAlignment="1">
      <alignment horizontal="left" vertical="top" wrapText="1"/>
    </xf>
    <xf numFmtId="0" fontId="33" fillId="15" borderId="6" xfId="0" applyFont="1" applyFill="1" applyBorder="1" applyAlignment="1">
      <alignment horizontal="center" vertical="center" wrapText="1"/>
    </xf>
    <xf numFmtId="0" fontId="33" fillId="15" borderId="55" xfId="0" applyFont="1" applyFill="1" applyBorder="1" applyAlignment="1">
      <alignment horizontal="center" vertical="center" wrapText="1"/>
    </xf>
    <xf numFmtId="0" fontId="3" fillId="15" borderId="6" xfId="0" applyFont="1" applyFill="1" applyBorder="1" applyAlignment="1">
      <alignment horizontal="center" vertical="center" wrapText="1"/>
    </xf>
    <xf numFmtId="0" fontId="3" fillId="15" borderId="9" xfId="0" applyFont="1" applyFill="1" applyBorder="1" applyAlignment="1">
      <alignment horizontal="center" vertical="center" wrapText="1"/>
    </xf>
    <xf numFmtId="0" fontId="33" fillId="15" borderId="9" xfId="0" applyFont="1" applyFill="1" applyBorder="1" applyAlignment="1">
      <alignment horizontal="center" vertical="center" wrapText="1"/>
    </xf>
    <xf numFmtId="0" fontId="3" fillId="8" borderId="6" xfId="0" applyFont="1" applyFill="1" applyBorder="1" applyAlignment="1">
      <alignment horizontal="center" vertical="center" wrapText="1"/>
    </xf>
    <xf numFmtId="0" fontId="3" fillId="8" borderId="9" xfId="0" applyFont="1" applyFill="1" applyBorder="1" applyAlignment="1">
      <alignment horizontal="center" vertical="center" wrapText="1"/>
    </xf>
    <xf numFmtId="0" fontId="25" fillId="3" borderId="19" xfId="24" applyFill="1" applyBorder="1" applyAlignment="1">
      <alignment horizontal="left"/>
    </xf>
    <xf numFmtId="0" fontId="25" fillId="3" borderId="7" xfId="24" applyFill="1" applyBorder="1" applyAlignment="1">
      <alignment horizontal="left"/>
    </xf>
    <xf numFmtId="0" fontId="25" fillId="3" borderId="8" xfId="24" applyFill="1" applyBorder="1" applyAlignment="1">
      <alignment horizontal="left"/>
    </xf>
    <xf numFmtId="0" fontId="25" fillId="3" borderId="17" xfId="24" applyFill="1" applyBorder="1" applyAlignment="1">
      <alignment horizontal="left"/>
    </xf>
    <xf numFmtId="0" fontId="25" fillId="3" borderId="0" xfId="24" applyFill="1" applyBorder="1" applyAlignment="1">
      <alignment horizontal="left"/>
    </xf>
    <xf numFmtId="0" fontId="25" fillId="3" borderId="11" xfId="24" applyFill="1" applyBorder="1" applyAlignment="1">
      <alignment horizontal="left"/>
    </xf>
    <xf numFmtId="0" fontId="25" fillId="3" borderId="18" xfId="24" applyFill="1" applyBorder="1" applyAlignment="1">
      <alignment horizontal="left"/>
    </xf>
    <xf numFmtId="0" fontId="25" fillId="3" borderId="10" xfId="24" applyFill="1" applyBorder="1" applyAlignment="1">
      <alignment horizontal="left"/>
    </xf>
    <xf numFmtId="0" fontId="25" fillId="3" borderId="15" xfId="24" applyFill="1" applyBorder="1" applyAlignment="1">
      <alignment horizontal="left"/>
    </xf>
    <xf numFmtId="0" fontId="3" fillId="3" borderId="7" xfId="0" applyFont="1" applyFill="1" applyBorder="1" applyAlignment="1">
      <alignment horizontal="right" vertical="top" wrapText="1"/>
    </xf>
    <xf numFmtId="0" fontId="3" fillId="3" borderId="10" xfId="0" applyFont="1" applyFill="1" applyBorder="1" applyAlignment="1">
      <alignment horizontal="right" vertical="top" wrapText="1"/>
    </xf>
    <xf numFmtId="0" fontId="3" fillId="3" borderId="19" xfId="0" applyFont="1" applyFill="1" applyBorder="1" applyAlignment="1">
      <alignment horizontal="right" vertical="center" wrapText="1"/>
    </xf>
    <xf numFmtId="0" fontId="3" fillId="3" borderId="8" xfId="0" applyFont="1" applyFill="1" applyBorder="1" applyAlignment="1">
      <alignment horizontal="right" vertical="center" wrapText="1"/>
    </xf>
    <xf numFmtId="0" fontId="3" fillId="3" borderId="17" xfId="0" applyFont="1" applyFill="1" applyBorder="1" applyAlignment="1">
      <alignment horizontal="right" vertical="center" wrapText="1"/>
    </xf>
    <xf numFmtId="0" fontId="3" fillId="3" borderId="11" xfId="0" applyFont="1" applyFill="1" applyBorder="1" applyAlignment="1">
      <alignment horizontal="right" vertical="center" wrapText="1"/>
    </xf>
    <xf numFmtId="0" fontId="3" fillId="3" borderId="18" xfId="0" applyFont="1" applyFill="1" applyBorder="1" applyAlignment="1">
      <alignment horizontal="right" vertical="center" wrapText="1"/>
    </xf>
    <xf numFmtId="0" fontId="3" fillId="3" borderId="15" xfId="0" applyFont="1" applyFill="1" applyBorder="1" applyAlignment="1">
      <alignment horizontal="right" vertical="center" wrapText="1"/>
    </xf>
    <xf numFmtId="0" fontId="3" fillId="3" borderId="19" xfId="0" applyFont="1" applyFill="1" applyBorder="1" applyAlignment="1">
      <alignment horizontal="center" wrapText="1"/>
    </xf>
    <xf numFmtId="0" fontId="3" fillId="3" borderId="8" xfId="0" applyFont="1" applyFill="1" applyBorder="1" applyAlignment="1">
      <alignment horizontal="center" wrapText="1"/>
    </xf>
    <xf numFmtId="0" fontId="3" fillId="3" borderId="17" xfId="0" applyFont="1" applyFill="1" applyBorder="1" applyAlignment="1">
      <alignment horizontal="center" wrapText="1"/>
    </xf>
    <xf numFmtId="0" fontId="3" fillId="3" borderId="11" xfId="0" applyFont="1" applyFill="1" applyBorder="1" applyAlignment="1">
      <alignment horizontal="center" wrapText="1"/>
    </xf>
    <xf numFmtId="0" fontId="3" fillId="3" borderId="18" xfId="0" applyFont="1" applyFill="1" applyBorder="1" applyAlignment="1">
      <alignment horizontal="center" wrapText="1"/>
    </xf>
    <xf numFmtId="0" fontId="3" fillId="3" borderId="15" xfId="0" applyFont="1" applyFill="1" applyBorder="1" applyAlignment="1">
      <alignment horizontal="center" wrapText="1"/>
    </xf>
    <xf numFmtId="0" fontId="3" fillId="3" borderId="15" xfId="0" applyFont="1" applyFill="1" applyBorder="1" applyAlignment="1">
      <alignment horizontal="center" vertical="top" wrapText="1"/>
    </xf>
    <xf numFmtId="0" fontId="33" fillId="10" borderId="6" xfId="0" applyFont="1" applyFill="1" applyBorder="1" applyAlignment="1">
      <alignment horizontal="center" wrapText="1"/>
    </xf>
    <xf numFmtId="0" fontId="33" fillId="10" borderId="55" xfId="0" applyFont="1" applyFill="1" applyBorder="1" applyAlignment="1">
      <alignment horizontal="center" wrapText="1"/>
    </xf>
  </cellXfs>
  <cellStyles count="42">
    <cellStyle name="20% - Dekorfärg1" xfId="30" builtinId="30"/>
    <cellStyle name="20% - Dekorfärg3" xfId="28" builtinId="38"/>
    <cellStyle name="Anteckning" xfId="21" builtinId="10"/>
    <cellStyle name="Beräkning" xfId="22" builtinId="22"/>
    <cellStyle name="Bra" xfId="25" builtinId="26"/>
    <cellStyle name="Bra 2" xfId="2"/>
    <cellStyle name="Dålig" xfId="27" builtinId="27"/>
    <cellStyle name="Indata" xfId="20" builtinId="20"/>
    <cellStyle name="Kontrollcell" xfId="31" builtinId="23"/>
    <cellStyle name="Länkad cell" xfId="29" builtinId="24"/>
    <cellStyle name="Neutral" xfId="26" builtinId="28"/>
    <cellStyle name="Normaali 2" xfId="33"/>
    <cellStyle name="Normaali_AT+POTVEROT" xfId="34"/>
    <cellStyle name="Normal" xfId="0" builtinId="0"/>
    <cellStyle name="Normal 2" xfId="3"/>
    <cellStyle name="Normal 2 2" xfId="4"/>
    <cellStyle name="Normal 2 3" xfId="5"/>
    <cellStyle name="Normal 3" xfId="6"/>
    <cellStyle name="Normal 3 2" xfId="35"/>
    <cellStyle name="Normal 3 2 2" xfId="36"/>
    <cellStyle name="Normal 3 3" xfId="37"/>
    <cellStyle name="Normal 3 4" xfId="38"/>
    <cellStyle name="Normal 4" xfId="7"/>
    <cellStyle name="Normal 4 2" xfId="39"/>
    <cellStyle name="Normal 5" xfId="8"/>
    <cellStyle name="Normal 5 2" xfId="9"/>
    <cellStyle name="Normal 6" xfId="10"/>
    <cellStyle name="Normal 6 2" xfId="11"/>
    <cellStyle name="Normal 7" xfId="12"/>
    <cellStyle name="Normal 7 2" xfId="32"/>
    <cellStyle name="Procent" xfId="1" builtinId="5"/>
    <cellStyle name="Procent 2" xfId="13"/>
    <cellStyle name="Procent 2 2" xfId="40"/>
    <cellStyle name="Procent 3" xfId="14"/>
    <cellStyle name="Procent 4" xfId="15"/>
    <cellStyle name="Procent 5" xfId="16"/>
    <cellStyle name="Rubrik" xfId="23" builtinId="15"/>
    <cellStyle name="Rubrik 1" xfId="19" builtinId="16"/>
    <cellStyle name="Rubrik 2" xfId="24" builtinId="17"/>
    <cellStyle name="Rubrik 3 2" xfId="17"/>
    <cellStyle name="Tusental 2" xfId="41"/>
    <cellStyle name="Tusental 3" xfId="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6.085413741886915E-2"/>
          <c:y val="0.14572314824283333"/>
          <c:w val="0.7575345717444234"/>
          <c:h val="0.70722323345945415"/>
        </c:manualLayout>
      </c:layout>
      <c:lineChart>
        <c:grouping val="standard"/>
        <c:varyColors val="0"/>
        <c:ser>
          <c:idx val="0"/>
          <c:order val="0"/>
          <c:tx>
            <c:strRef>
              <c:f>'provräknignar invkm2'!$G$32</c:f>
              <c:strCache>
                <c:ptCount val="1"/>
              </c:strCache>
            </c:strRef>
          </c:tx>
          <c:marker>
            <c:symbol val="none"/>
          </c:marker>
          <c:cat>
            <c:numRef>
              <c:f>'provräknignar invkm2'!$H$28:$X$28</c:f>
              <c:numCache>
                <c:formatCode>@</c:formatCode>
                <c:ptCount val="17"/>
              </c:numCache>
            </c:numRef>
          </c:cat>
          <c:val>
            <c:numRef>
              <c:f>'provräknignar invkm2'!$H$32:$X$32</c:f>
              <c:numCache>
                <c:formatCode>0.00</c:formatCode>
                <c:ptCount val="17"/>
              </c:numCache>
            </c:numRef>
          </c:val>
          <c:smooth val="0"/>
        </c:ser>
        <c:dLbls>
          <c:showLegendKey val="0"/>
          <c:showVal val="0"/>
          <c:showCatName val="0"/>
          <c:showSerName val="0"/>
          <c:showPercent val="0"/>
          <c:showBubbleSize val="0"/>
        </c:dLbls>
        <c:marker val="1"/>
        <c:smooth val="0"/>
        <c:axId val="89199360"/>
        <c:axId val="89201280"/>
      </c:lineChart>
      <c:catAx>
        <c:axId val="89199360"/>
        <c:scaling>
          <c:orientation val="minMax"/>
        </c:scaling>
        <c:delete val="0"/>
        <c:axPos val="b"/>
        <c:title>
          <c:tx>
            <c:rich>
              <a:bodyPr/>
              <a:lstStyle/>
              <a:p>
                <a:pPr>
                  <a:defRPr/>
                </a:pPr>
                <a:r>
                  <a:rPr lang="en-US"/>
                  <a:t>Intervall av personer, 6-15</a:t>
                </a:r>
              </a:p>
            </c:rich>
          </c:tx>
          <c:layout>
            <c:manualLayout>
              <c:xMode val="edge"/>
              <c:yMode val="edge"/>
              <c:x val="0.7867928825073337"/>
              <c:y val="0.93489985809925624"/>
            </c:manualLayout>
          </c:layout>
          <c:overlay val="0"/>
        </c:title>
        <c:numFmt formatCode="General" sourceLinked="1"/>
        <c:majorTickMark val="out"/>
        <c:minorTickMark val="none"/>
        <c:tickLblPos val="nextTo"/>
        <c:crossAx val="89201280"/>
        <c:crosses val="autoZero"/>
        <c:auto val="1"/>
        <c:lblAlgn val="ctr"/>
        <c:lblOffset val="100"/>
        <c:noMultiLvlLbl val="0"/>
      </c:catAx>
      <c:valAx>
        <c:axId val="89201280"/>
        <c:scaling>
          <c:orientation val="minMax"/>
        </c:scaling>
        <c:delete val="0"/>
        <c:axPos val="l"/>
        <c:majorGridlines/>
        <c:numFmt formatCode="0%" sourceLinked="0"/>
        <c:majorTickMark val="out"/>
        <c:minorTickMark val="none"/>
        <c:tickLblPos val="nextTo"/>
        <c:crossAx val="89199360"/>
        <c:crosses val="autoZero"/>
        <c:crossBetween val="between"/>
      </c:valAx>
    </c:plotArea>
    <c:legend>
      <c:legendPos val="r"/>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sv-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6.085413741886915E-2"/>
          <c:y val="0.14572314824283333"/>
          <c:w val="0.7575345717444234"/>
          <c:h val="0.70722323345945415"/>
        </c:manualLayout>
      </c:layout>
      <c:lineChart>
        <c:grouping val="standard"/>
        <c:varyColors val="0"/>
        <c:ser>
          <c:idx val="0"/>
          <c:order val="0"/>
          <c:tx>
            <c:strRef>
              <c:f>'C5. Skärgårdstillägg (2015)'!$G$22</c:f>
              <c:strCache>
                <c:ptCount val="1"/>
                <c:pt idx="0">
                  <c:v>Ersättningsgrad</c:v>
                </c:pt>
              </c:strCache>
            </c:strRef>
          </c:tx>
          <c:marker>
            <c:symbol val="none"/>
          </c:marker>
          <c:cat>
            <c:strRef>
              <c:f>'C5. Skärgårdstillägg (2015)'!$H$18:$S$18</c:f>
              <c:strCache>
                <c:ptCount val="12"/>
                <c:pt idx="1">
                  <c:v>0-40</c:v>
                </c:pt>
                <c:pt idx="2">
                  <c:v>40-60</c:v>
                </c:pt>
                <c:pt idx="3">
                  <c:v>60-80</c:v>
                </c:pt>
                <c:pt idx="7">
                  <c:v>200-250</c:v>
                </c:pt>
                <c:pt idx="8">
                  <c:v>250-350</c:v>
                </c:pt>
                <c:pt idx="9">
                  <c:v>350-450</c:v>
                </c:pt>
                <c:pt idx="10">
                  <c:v>450-650</c:v>
                </c:pt>
                <c:pt idx="11">
                  <c:v>650-2000</c:v>
                </c:pt>
              </c:strCache>
            </c:strRef>
          </c:cat>
          <c:val>
            <c:numRef>
              <c:f>'C5. Skärgårdstillägg (2015)'!$H$22:$S$22</c:f>
              <c:numCache>
                <c:formatCode>0.00</c:formatCode>
                <c:ptCount val="12"/>
                <c:pt idx="1">
                  <c:v>0.14000000000000001</c:v>
                </c:pt>
                <c:pt idx="2">
                  <c:v>0.14000000000000001</c:v>
                </c:pt>
                <c:pt idx="3">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146513920"/>
        <c:axId val="146515840"/>
      </c:lineChart>
      <c:catAx>
        <c:axId val="146513920"/>
        <c:scaling>
          <c:orientation val="minMax"/>
        </c:scaling>
        <c:delete val="0"/>
        <c:axPos val="b"/>
        <c:title>
          <c:tx>
            <c:rich>
              <a:bodyPr/>
              <a:lstStyle/>
              <a:p>
                <a:pPr>
                  <a:defRPr/>
                </a:pPr>
                <a:r>
                  <a:rPr lang="en-US"/>
                  <a:t>Intervall av personer, 6-15</a:t>
                </a:r>
              </a:p>
            </c:rich>
          </c:tx>
          <c:layout>
            <c:manualLayout>
              <c:xMode val="edge"/>
              <c:yMode val="edge"/>
              <c:x val="0.7867928825073337"/>
              <c:y val="0.93489985809925624"/>
            </c:manualLayout>
          </c:layout>
          <c:overlay val="0"/>
        </c:title>
        <c:majorTickMark val="out"/>
        <c:minorTickMark val="none"/>
        <c:tickLblPos val="nextTo"/>
        <c:crossAx val="146515840"/>
        <c:crosses val="autoZero"/>
        <c:auto val="1"/>
        <c:lblAlgn val="ctr"/>
        <c:lblOffset val="100"/>
        <c:noMultiLvlLbl val="0"/>
      </c:catAx>
      <c:valAx>
        <c:axId val="146515840"/>
        <c:scaling>
          <c:orientation val="minMax"/>
        </c:scaling>
        <c:delete val="0"/>
        <c:axPos val="l"/>
        <c:majorGridlines/>
        <c:numFmt formatCode="0%" sourceLinked="0"/>
        <c:majorTickMark val="out"/>
        <c:minorTickMark val="none"/>
        <c:tickLblPos val="nextTo"/>
        <c:crossAx val="146513920"/>
        <c:crosses val="autoZero"/>
        <c:crossBetween val="between"/>
      </c:valAx>
    </c:plotArea>
    <c:legend>
      <c:legendPos val="r"/>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sv-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6.085413741886915E-2"/>
          <c:y val="0.14572314824283333"/>
          <c:w val="0.7575345717444234"/>
          <c:h val="0.70722323345945415"/>
        </c:manualLayout>
      </c:layout>
      <c:lineChart>
        <c:grouping val="standard"/>
        <c:varyColors val="0"/>
        <c:ser>
          <c:idx val="0"/>
          <c:order val="0"/>
          <c:tx>
            <c:strRef>
              <c:f>'Kostnadsutj. skola (2012)'!$G$15</c:f>
              <c:strCache>
                <c:ptCount val="1"/>
                <c:pt idx="0">
                  <c:v>Ersättningsgrad</c:v>
                </c:pt>
              </c:strCache>
            </c:strRef>
          </c:tx>
          <c:marker>
            <c:symbol val="none"/>
          </c:marker>
          <c:cat>
            <c:strRef>
              <c:f>'Kostnadsutj. skola (2012)'!$H$11:$S$11</c:f>
              <c:strCache>
                <c:ptCount val="12"/>
                <c:pt idx="1">
                  <c:v>0-40</c:v>
                </c:pt>
                <c:pt idx="2">
                  <c:v>40-60</c:v>
                </c:pt>
                <c:pt idx="3">
                  <c:v>60-80</c:v>
                </c:pt>
                <c:pt idx="4">
                  <c:v>80-100</c:v>
                </c:pt>
                <c:pt idx="5">
                  <c:v>100-150</c:v>
                </c:pt>
                <c:pt idx="6">
                  <c:v>150-200</c:v>
                </c:pt>
                <c:pt idx="7">
                  <c:v>200-250</c:v>
                </c:pt>
                <c:pt idx="8">
                  <c:v>250-350</c:v>
                </c:pt>
                <c:pt idx="9">
                  <c:v>350-450</c:v>
                </c:pt>
                <c:pt idx="10">
                  <c:v>450-650</c:v>
                </c:pt>
                <c:pt idx="11">
                  <c:v>650-2000</c:v>
                </c:pt>
              </c:strCache>
            </c:strRef>
          </c:cat>
          <c:val>
            <c:numRef>
              <c:f>'Kostnadsutj. skola (2012)'!$H$15:$S$15</c:f>
              <c:numCache>
                <c:formatCode>0.00</c:formatCode>
                <c:ptCount val="12"/>
                <c:pt idx="1">
                  <c:v>0.6</c:v>
                </c:pt>
                <c:pt idx="2">
                  <c:v>0.39639561884668173</c:v>
                </c:pt>
                <c:pt idx="3">
                  <c:v>0.36101072393511269</c:v>
                </c:pt>
                <c:pt idx="4">
                  <c:v>0.33356406712346476</c:v>
                </c:pt>
                <c:pt idx="5">
                  <c:v>0.28369185882616055</c:v>
                </c:pt>
                <c:pt idx="6">
                  <c:v>0.24830696391459162</c:v>
                </c:pt>
                <c:pt idx="7">
                  <c:v>0.2208603071029438</c:v>
                </c:pt>
                <c:pt idx="8">
                  <c:v>0.17947422199853458</c:v>
                </c:pt>
                <c:pt idx="9">
                  <c:v>0.14856254731998308</c:v>
                </c:pt>
                <c:pt idx="10">
                  <c:v>0.10333239936456906</c:v>
                </c:pt>
                <c:pt idx="11">
                  <c:v>0.08</c:v>
                </c:pt>
              </c:numCache>
            </c:numRef>
          </c:val>
          <c:smooth val="0"/>
        </c:ser>
        <c:dLbls>
          <c:showLegendKey val="0"/>
          <c:showVal val="0"/>
          <c:showCatName val="0"/>
          <c:showSerName val="0"/>
          <c:showPercent val="0"/>
          <c:showBubbleSize val="0"/>
        </c:dLbls>
        <c:marker val="1"/>
        <c:smooth val="0"/>
        <c:axId val="147002880"/>
        <c:axId val="147004800"/>
      </c:lineChart>
      <c:catAx>
        <c:axId val="147002880"/>
        <c:scaling>
          <c:orientation val="minMax"/>
        </c:scaling>
        <c:delete val="0"/>
        <c:axPos val="b"/>
        <c:title>
          <c:tx>
            <c:rich>
              <a:bodyPr/>
              <a:lstStyle/>
              <a:p>
                <a:pPr>
                  <a:defRPr/>
                </a:pPr>
                <a:r>
                  <a:rPr lang="en-US"/>
                  <a:t>Intervall av personer, 6-15</a:t>
                </a:r>
              </a:p>
            </c:rich>
          </c:tx>
          <c:layout>
            <c:manualLayout>
              <c:xMode val="edge"/>
              <c:yMode val="edge"/>
              <c:x val="0.7867928825073337"/>
              <c:y val="0.93489985809925624"/>
            </c:manualLayout>
          </c:layout>
          <c:overlay val="0"/>
        </c:title>
        <c:majorTickMark val="out"/>
        <c:minorTickMark val="none"/>
        <c:tickLblPos val="nextTo"/>
        <c:crossAx val="147004800"/>
        <c:crosses val="autoZero"/>
        <c:auto val="1"/>
        <c:lblAlgn val="ctr"/>
        <c:lblOffset val="100"/>
        <c:noMultiLvlLbl val="0"/>
      </c:catAx>
      <c:valAx>
        <c:axId val="147004800"/>
        <c:scaling>
          <c:orientation val="minMax"/>
        </c:scaling>
        <c:delete val="0"/>
        <c:axPos val="l"/>
        <c:majorGridlines/>
        <c:numFmt formatCode="0%" sourceLinked="0"/>
        <c:majorTickMark val="out"/>
        <c:minorTickMark val="none"/>
        <c:tickLblPos val="nextTo"/>
        <c:crossAx val="147002880"/>
        <c:crosses val="autoZero"/>
        <c:crossBetween val="between"/>
      </c:valAx>
    </c:plotArea>
    <c:legend>
      <c:legendPos val="r"/>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sv-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6.085413741886915E-2"/>
          <c:y val="0.14572314824283333"/>
          <c:w val="0.7575345717444234"/>
          <c:h val="0.70722323345945415"/>
        </c:manualLayout>
      </c:layout>
      <c:lineChart>
        <c:grouping val="standard"/>
        <c:varyColors val="0"/>
        <c:ser>
          <c:idx val="0"/>
          <c:order val="0"/>
          <c:tx>
            <c:strRef>
              <c:f>'Kostnadsutj. skola (2011)'!$G$15</c:f>
              <c:strCache>
                <c:ptCount val="1"/>
                <c:pt idx="0">
                  <c:v>Ersättningsgrad</c:v>
                </c:pt>
              </c:strCache>
            </c:strRef>
          </c:tx>
          <c:marker>
            <c:symbol val="none"/>
          </c:marker>
          <c:cat>
            <c:strRef>
              <c:f>'Kostnadsutj. skola (2011)'!$H$11:$S$11</c:f>
              <c:strCache>
                <c:ptCount val="12"/>
                <c:pt idx="1">
                  <c:v>0-40</c:v>
                </c:pt>
                <c:pt idx="2">
                  <c:v>40-60</c:v>
                </c:pt>
                <c:pt idx="3">
                  <c:v>60-80</c:v>
                </c:pt>
                <c:pt idx="4">
                  <c:v>80-100</c:v>
                </c:pt>
                <c:pt idx="5">
                  <c:v>100-150</c:v>
                </c:pt>
                <c:pt idx="6">
                  <c:v>150-200</c:v>
                </c:pt>
                <c:pt idx="7">
                  <c:v>200-250</c:v>
                </c:pt>
                <c:pt idx="8">
                  <c:v>250-350</c:v>
                </c:pt>
                <c:pt idx="9">
                  <c:v>350-450</c:v>
                </c:pt>
                <c:pt idx="10">
                  <c:v>450-650</c:v>
                </c:pt>
                <c:pt idx="11">
                  <c:v>650-2000</c:v>
                </c:pt>
              </c:strCache>
            </c:strRef>
          </c:cat>
          <c:val>
            <c:numRef>
              <c:f>'Kostnadsutj. skola (2011)'!$H$15:$S$15</c:f>
              <c:numCache>
                <c:formatCode>0.00</c:formatCode>
                <c:ptCount val="12"/>
                <c:pt idx="1">
                  <c:v>0.6</c:v>
                </c:pt>
                <c:pt idx="2">
                  <c:v>0.39639561884668173</c:v>
                </c:pt>
                <c:pt idx="3">
                  <c:v>0.36101072393511269</c:v>
                </c:pt>
                <c:pt idx="4">
                  <c:v>0.33356406712346476</c:v>
                </c:pt>
                <c:pt idx="5">
                  <c:v>0.28369185882616055</c:v>
                </c:pt>
                <c:pt idx="6">
                  <c:v>0.24830696391459162</c:v>
                </c:pt>
                <c:pt idx="7">
                  <c:v>0.2208603071029438</c:v>
                </c:pt>
                <c:pt idx="8">
                  <c:v>0.17947422199853458</c:v>
                </c:pt>
                <c:pt idx="9">
                  <c:v>0.14856254731998308</c:v>
                </c:pt>
                <c:pt idx="10">
                  <c:v>0.10333239936456906</c:v>
                </c:pt>
                <c:pt idx="11">
                  <c:v>0.08</c:v>
                </c:pt>
              </c:numCache>
            </c:numRef>
          </c:val>
          <c:smooth val="0"/>
        </c:ser>
        <c:dLbls>
          <c:showLegendKey val="0"/>
          <c:showVal val="0"/>
          <c:showCatName val="0"/>
          <c:showSerName val="0"/>
          <c:showPercent val="0"/>
          <c:showBubbleSize val="0"/>
        </c:dLbls>
        <c:marker val="1"/>
        <c:smooth val="0"/>
        <c:axId val="150055552"/>
        <c:axId val="150061824"/>
      </c:lineChart>
      <c:catAx>
        <c:axId val="150055552"/>
        <c:scaling>
          <c:orientation val="minMax"/>
        </c:scaling>
        <c:delete val="0"/>
        <c:axPos val="b"/>
        <c:title>
          <c:tx>
            <c:rich>
              <a:bodyPr/>
              <a:lstStyle/>
              <a:p>
                <a:pPr>
                  <a:defRPr/>
                </a:pPr>
                <a:r>
                  <a:rPr lang="en-US"/>
                  <a:t>Intervall av personer, 6-15</a:t>
                </a:r>
              </a:p>
            </c:rich>
          </c:tx>
          <c:layout>
            <c:manualLayout>
              <c:xMode val="edge"/>
              <c:yMode val="edge"/>
              <c:x val="0.7867928825073337"/>
              <c:y val="0.93489985809925624"/>
            </c:manualLayout>
          </c:layout>
          <c:overlay val="0"/>
        </c:title>
        <c:majorTickMark val="out"/>
        <c:minorTickMark val="none"/>
        <c:tickLblPos val="nextTo"/>
        <c:crossAx val="150061824"/>
        <c:crosses val="autoZero"/>
        <c:auto val="1"/>
        <c:lblAlgn val="ctr"/>
        <c:lblOffset val="100"/>
        <c:noMultiLvlLbl val="0"/>
      </c:catAx>
      <c:valAx>
        <c:axId val="150061824"/>
        <c:scaling>
          <c:orientation val="minMax"/>
        </c:scaling>
        <c:delete val="0"/>
        <c:axPos val="l"/>
        <c:majorGridlines/>
        <c:numFmt formatCode="0%" sourceLinked="0"/>
        <c:majorTickMark val="out"/>
        <c:minorTickMark val="none"/>
        <c:tickLblPos val="nextTo"/>
        <c:crossAx val="150055552"/>
        <c:crosses val="autoZero"/>
        <c:crossBetween val="between"/>
      </c:valAx>
    </c:plotArea>
    <c:legend>
      <c:legendPos val="r"/>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sv-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og"/>
            <c:dispRSqr val="1"/>
            <c:dispEq val="1"/>
            <c:trendlineLbl>
              <c:layout>
                <c:manualLayout>
                  <c:x val="-4.7491065375201903E-2"/>
                  <c:y val="-4.2517057320882581E-2"/>
                </c:manualLayout>
              </c:layout>
              <c:numFmt formatCode="General" sourceLinked="0"/>
            </c:trendlineLbl>
          </c:trendline>
          <c:xVal>
            <c:numRef>
              <c:f>'Regression, skola'!$B$53:$B$121</c:f>
              <c:numCache>
                <c:formatCode>General</c:formatCode>
                <c:ptCount val="69"/>
                <c:pt idx="0">
                  <c:v>43</c:v>
                </c:pt>
                <c:pt idx="1">
                  <c:v>93</c:v>
                </c:pt>
                <c:pt idx="2">
                  <c:v>316</c:v>
                </c:pt>
                <c:pt idx="3">
                  <c:v>58</c:v>
                </c:pt>
                <c:pt idx="4">
                  <c:v>53</c:v>
                </c:pt>
                <c:pt idx="5">
                  <c:v>196</c:v>
                </c:pt>
                <c:pt idx="6">
                  <c:v>604</c:v>
                </c:pt>
                <c:pt idx="7">
                  <c:v>22</c:v>
                </c:pt>
                <c:pt idx="8">
                  <c:v>26</c:v>
                </c:pt>
                <c:pt idx="9">
                  <c:v>262</c:v>
                </c:pt>
                <c:pt idx="10">
                  <c:v>55</c:v>
                </c:pt>
                <c:pt idx="11">
                  <c:v>220</c:v>
                </c:pt>
                <c:pt idx="12">
                  <c:v>3</c:v>
                </c:pt>
                <c:pt idx="13">
                  <c:v>119</c:v>
                </c:pt>
                <c:pt idx="14">
                  <c:v>50</c:v>
                </c:pt>
                <c:pt idx="15">
                  <c:v>1086</c:v>
                </c:pt>
                <c:pt idx="16">
                  <c:v>42</c:v>
                </c:pt>
                <c:pt idx="17">
                  <c:v>84</c:v>
                </c:pt>
                <c:pt idx="18">
                  <c:v>313</c:v>
                </c:pt>
                <c:pt idx="19">
                  <c:v>63</c:v>
                </c:pt>
                <c:pt idx="20">
                  <c:v>52</c:v>
                </c:pt>
                <c:pt idx="21">
                  <c:v>181</c:v>
                </c:pt>
                <c:pt idx="22">
                  <c:v>581</c:v>
                </c:pt>
                <c:pt idx="23">
                  <c:v>24</c:v>
                </c:pt>
                <c:pt idx="24">
                  <c:v>26</c:v>
                </c:pt>
                <c:pt idx="25">
                  <c:v>273</c:v>
                </c:pt>
                <c:pt idx="26">
                  <c:v>48</c:v>
                </c:pt>
                <c:pt idx="27">
                  <c:v>214</c:v>
                </c:pt>
                <c:pt idx="28">
                  <c:v>8</c:v>
                </c:pt>
                <c:pt idx="29">
                  <c:v>109</c:v>
                </c:pt>
                <c:pt idx="30">
                  <c:v>45</c:v>
                </c:pt>
                <c:pt idx="31">
                  <c:v>1102</c:v>
                </c:pt>
                <c:pt idx="32">
                  <c:v>46</c:v>
                </c:pt>
                <c:pt idx="33">
                  <c:v>89</c:v>
                </c:pt>
                <c:pt idx="34">
                  <c:v>318</c:v>
                </c:pt>
                <c:pt idx="35">
                  <c:v>65</c:v>
                </c:pt>
                <c:pt idx="36">
                  <c:v>50</c:v>
                </c:pt>
                <c:pt idx="37">
                  <c:v>173</c:v>
                </c:pt>
                <c:pt idx="38">
                  <c:v>565</c:v>
                </c:pt>
                <c:pt idx="39">
                  <c:v>33</c:v>
                </c:pt>
                <c:pt idx="40">
                  <c:v>30</c:v>
                </c:pt>
                <c:pt idx="41">
                  <c:v>275</c:v>
                </c:pt>
                <c:pt idx="42">
                  <c:v>51</c:v>
                </c:pt>
                <c:pt idx="43">
                  <c:v>208</c:v>
                </c:pt>
                <c:pt idx="45">
                  <c:v>8</c:v>
                </c:pt>
                <c:pt idx="46">
                  <c:v>103</c:v>
                </c:pt>
                <c:pt idx="47">
                  <c:v>44</c:v>
                </c:pt>
                <c:pt idx="48">
                  <c:v>1080</c:v>
                </c:pt>
                <c:pt idx="49">
                  <c:v>48</c:v>
                </c:pt>
                <c:pt idx="50">
                  <c:v>93</c:v>
                </c:pt>
                <c:pt idx="52">
                  <c:v>309</c:v>
                </c:pt>
                <c:pt idx="54">
                  <c:v>65</c:v>
                </c:pt>
                <c:pt idx="55">
                  <c:v>42</c:v>
                </c:pt>
                <c:pt idx="56">
                  <c:v>172</c:v>
                </c:pt>
                <c:pt idx="57">
                  <c:v>541</c:v>
                </c:pt>
                <c:pt idx="58">
                  <c:v>29</c:v>
                </c:pt>
                <c:pt idx="59">
                  <c:v>28</c:v>
                </c:pt>
                <c:pt idx="60">
                  <c:v>284</c:v>
                </c:pt>
                <c:pt idx="63">
                  <c:v>50</c:v>
                </c:pt>
                <c:pt idx="64">
                  <c:v>217</c:v>
                </c:pt>
                <c:pt idx="65">
                  <c:v>14</c:v>
                </c:pt>
                <c:pt idx="66">
                  <c:v>113</c:v>
                </c:pt>
                <c:pt idx="67">
                  <c:v>49</c:v>
                </c:pt>
                <c:pt idx="68">
                  <c:v>1117</c:v>
                </c:pt>
              </c:numCache>
            </c:numRef>
          </c:xVal>
          <c:yVal>
            <c:numRef>
              <c:f>'Regression, skola'!$C$53:$C$121</c:f>
              <c:numCache>
                <c:formatCode>General</c:formatCode>
                <c:ptCount val="69"/>
                <c:pt idx="0">
                  <c:v>17000</c:v>
                </c:pt>
                <c:pt idx="1">
                  <c:v>12784.946236559139</c:v>
                </c:pt>
                <c:pt idx="2">
                  <c:v>11370.253164556962</c:v>
                </c:pt>
                <c:pt idx="3">
                  <c:v>16844.827586206895</c:v>
                </c:pt>
                <c:pt idx="4">
                  <c:v>14320.754716981131</c:v>
                </c:pt>
                <c:pt idx="5">
                  <c:v>11204.081632653062</c:v>
                </c:pt>
                <c:pt idx="6">
                  <c:v>9802.9801324503314</c:v>
                </c:pt>
                <c:pt idx="7">
                  <c:v>24409.090909090908</c:v>
                </c:pt>
                <c:pt idx="8">
                  <c:v>19384.615384615383</c:v>
                </c:pt>
                <c:pt idx="9">
                  <c:v>12851.145038167939</c:v>
                </c:pt>
                <c:pt idx="10">
                  <c:v>14000</c:v>
                </c:pt>
                <c:pt idx="11">
                  <c:v>10977.272727272728</c:v>
                </c:pt>
                <c:pt idx="12">
                  <c:v>52000</c:v>
                </c:pt>
                <c:pt idx="13">
                  <c:v>11773.10924369748</c:v>
                </c:pt>
                <c:pt idx="14">
                  <c:v>13600</c:v>
                </c:pt>
                <c:pt idx="15">
                  <c:v>9083.7937384898705</c:v>
                </c:pt>
                <c:pt idx="16">
                  <c:v>18428.571428571428</c:v>
                </c:pt>
                <c:pt idx="17">
                  <c:v>14202.380952380952</c:v>
                </c:pt>
                <c:pt idx="18">
                  <c:v>11217.252396166134</c:v>
                </c:pt>
                <c:pt idx="19">
                  <c:v>16380.952380952382</c:v>
                </c:pt>
                <c:pt idx="20">
                  <c:v>13000</c:v>
                </c:pt>
                <c:pt idx="21">
                  <c:v>11486.187845303868</c:v>
                </c:pt>
                <c:pt idx="22">
                  <c:v>10037.865748709122</c:v>
                </c:pt>
                <c:pt idx="23">
                  <c:v>26041.666666666668</c:v>
                </c:pt>
                <c:pt idx="24">
                  <c:v>21230.76923076923</c:v>
                </c:pt>
                <c:pt idx="25">
                  <c:v>11465.201465201466</c:v>
                </c:pt>
                <c:pt idx="26">
                  <c:v>14854.166666666666</c:v>
                </c:pt>
                <c:pt idx="27">
                  <c:v>11630.841121495327</c:v>
                </c:pt>
                <c:pt idx="28">
                  <c:v>23625</c:v>
                </c:pt>
                <c:pt idx="29">
                  <c:v>12256.880733944954</c:v>
                </c:pt>
                <c:pt idx="30">
                  <c:v>15333.333333333334</c:v>
                </c:pt>
                <c:pt idx="31">
                  <c:v>8507.2595281306712</c:v>
                </c:pt>
                <c:pt idx="32">
                  <c:v>16260.869565217392</c:v>
                </c:pt>
                <c:pt idx="33">
                  <c:v>13786.516853932584</c:v>
                </c:pt>
                <c:pt idx="34">
                  <c:v>11044.025157232705</c:v>
                </c:pt>
                <c:pt idx="35">
                  <c:v>14646.153846153846</c:v>
                </c:pt>
                <c:pt idx="36">
                  <c:v>14420</c:v>
                </c:pt>
                <c:pt idx="37">
                  <c:v>11560.693641618496</c:v>
                </c:pt>
                <c:pt idx="38">
                  <c:v>9378.7610619469033</c:v>
                </c:pt>
                <c:pt idx="39">
                  <c:v>17606.060606060608</c:v>
                </c:pt>
                <c:pt idx="40">
                  <c:v>15666.666666666666</c:v>
                </c:pt>
                <c:pt idx="41">
                  <c:v>10960</c:v>
                </c:pt>
                <c:pt idx="42">
                  <c:v>12078.431372549019</c:v>
                </c:pt>
                <c:pt idx="43">
                  <c:v>11298.076923076924</c:v>
                </c:pt>
                <c:pt idx="45">
                  <c:v>27125</c:v>
                </c:pt>
                <c:pt idx="46">
                  <c:v>13349.514563106795</c:v>
                </c:pt>
                <c:pt idx="47">
                  <c:v>15568.181818181818</c:v>
                </c:pt>
                <c:pt idx="48">
                  <c:v>8507.4074074074069</c:v>
                </c:pt>
                <c:pt idx="49">
                  <c:v>15812.5</c:v>
                </c:pt>
                <c:pt idx="50">
                  <c:v>13236.559139784946</c:v>
                </c:pt>
                <c:pt idx="52">
                  <c:v>11116.504854368932</c:v>
                </c:pt>
                <c:pt idx="54">
                  <c:v>14384.615384615385</c:v>
                </c:pt>
                <c:pt idx="55">
                  <c:v>16285.714285714286</c:v>
                </c:pt>
                <c:pt idx="56">
                  <c:v>11145.348837209302</c:v>
                </c:pt>
                <c:pt idx="57">
                  <c:v>9101.6635859519411</c:v>
                </c:pt>
                <c:pt idx="58">
                  <c:v>19000</c:v>
                </c:pt>
                <c:pt idx="59">
                  <c:v>17678.571428571428</c:v>
                </c:pt>
                <c:pt idx="60">
                  <c:v>10052.816901408451</c:v>
                </c:pt>
                <c:pt idx="63">
                  <c:v>13320</c:v>
                </c:pt>
                <c:pt idx="64">
                  <c:v>10479.262672811059</c:v>
                </c:pt>
                <c:pt idx="65">
                  <c:v>21000</c:v>
                </c:pt>
                <c:pt idx="66">
                  <c:v>12601.769911504425</c:v>
                </c:pt>
                <c:pt idx="67">
                  <c:v>13408.163265306122</c:v>
                </c:pt>
                <c:pt idx="68">
                  <c:v>8142.3455684870187</c:v>
                </c:pt>
              </c:numCache>
            </c:numRef>
          </c:yVal>
          <c:smooth val="0"/>
        </c:ser>
        <c:dLbls>
          <c:showLegendKey val="0"/>
          <c:showVal val="0"/>
          <c:showCatName val="0"/>
          <c:showSerName val="0"/>
          <c:showPercent val="0"/>
          <c:showBubbleSize val="0"/>
        </c:dLbls>
        <c:axId val="149587072"/>
        <c:axId val="149588608"/>
      </c:scatterChart>
      <c:valAx>
        <c:axId val="149587072"/>
        <c:scaling>
          <c:orientation val="minMax"/>
        </c:scaling>
        <c:delete val="0"/>
        <c:axPos val="b"/>
        <c:numFmt formatCode="General" sourceLinked="1"/>
        <c:majorTickMark val="out"/>
        <c:minorTickMark val="none"/>
        <c:tickLblPos val="nextTo"/>
        <c:txPr>
          <a:bodyPr/>
          <a:lstStyle/>
          <a:p>
            <a:pPr>
              <a:defRPr sz="1400"/>
            </a:pPr>
            <a:endParaRPr lang="sv-FI"/>
          </a:p>
        </c:txPr>
        <c:crossAx val="149588608"/>
        <c:crosses val="autoZero"/>
        <c:crossBetween val="midCat"/>
      </c:valAx>
      <c:valAx>
        <c:axId val="149588608"/>
        <c:scaling>
          <c:orientation val="minMax"/>
        </c:scaling>
        <c:delete val="0"/>
        <c:axPos val="l"/>
        <c:majorGridlines/>
        <c:numFmt formatCode="General" sourceLinked="1"/>
        <c:majorTickMark val="out"/>
        <c:minorTickMark val="none"/>
        <c:tickLblPos val="nextTo"/>
        <c:txPr>
          <a:bodyPr/>
          <a:lstStyle/>
          <a:p>
            <a:pPr>
              <a:defRPr sz="1400"/>
            </a:pPr>
            <a:endParaRPr lang="sv-FI"/>
          </a:p>
        </c:txPr>
        <c:crossAx val="149587072"/>
        <c:crosses val="autoZero"/>
        <c:crossBetween val="midCat"/>
      </c:valAx>
    </c:plotArea>
    <c:legend>
      <c:legendPos val="r"/>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sv-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25122712870093E-2"/>
          <c:y val="1.5272260321478159E-2"/>
          <c:w val="0.90925413740185734"/>
          <c:h val="0.93934031846603638"/>
        </c:manualLayout>
      </c:layout>
      <c:scatterChart>
        <c:scatterStyle val="lineMarker"/>
        <c:varyColors val="0"/>
        <c:ser>
          <c:idx val="0"/>
          <c:order val="0"/>
          <c:tx>
            <c:strRef>
              <c:f>'8. Regression, tot. soc.vård'!$E$38</c:f>
              <c:strCache>
                <c:ptCount val="1"/>
              </c:strCache>
            </c:strRef>
          </c:tx>
          <c:spPr>
            <a:ln w="28575">
              <a:noFill/>
            </a:ln>
          </c:spPr>
          <c:xVal>
            <c:numRef>
              <c:f>'8. Regression, tot. soc.vård'!$D$39:$D$102</c:f>
              <c:numCache>
                <c:formatCode>General</c:formatCode>
                <c:ptCount val="64"/>
                <c:pt idx="0">
                  <c:v>475</c:v>
                </c:pt>
                <c:pt idx="1">
                  <c:v>947</c:v>
                </c:pt>
                <c:pt idx="2">
                  <c:v>2520</c:v>
                </c:pt>
                <c:pt idx="3">
                  <c:v>572</c:v>
                </c:pt>
                <c:pt idx="4">
                  <c:v>500</c:v>
                </c:pt>
                <c:pt idx="5">
                  <c:v>1540</c:v>
                </c:pt>
                <c:pt idx="6">
                  <c:v>4424</c:v>
                </c:pt>
                <c:pt idx="7">
                  <c:v>330</c:v>
                </c:pt>
                <c:pt idx="8">
                  <c:v>251</c:v>
                </c:pt>
                <c:pt idx="9">
                  <c:v>1926</c:v>
                </c:pt>
                <c:pt idx="10">
                  <c:v>413</c:v>
                </c:pt>
                <c:pt idx="11">
                  <c:v>1813</c:v>
                </c:pt>
                <c:pt idx="12">
                  <c:v>100</c:v>
                </c:pt>
                <c:pt idx="13">
                  <c:v>1029</c:v>
                </c:pt>
                <c:pt idx="14">
                  <c:v>433</c:v>
                </c:pt>
                <c:pt idx="15">
                  <c:v>11393</c:v>
                </c:pt>
                <c:pt idx="16">
                  <c:v>476</c:v>
                </c:pt>
                <c:pt idx="17">
                  <c:v>960</c:v>
                </c:pt>
                <c:pt idx="18">
                  <c:v>2531</c:v>
                </c:pt>
                <c:pt idx="19">
                  <c:v>578</c:v>
                </c:pt>
                <c:pt idx="20">
                  <c:v>495</c:v>
                </c:pt>
                <c:pt idx="21">
                  <c:v>1522</c:v>
                </c:pt>
                <c:pt idx="22">
                  <c:v>4355</c:v>
                </c:pt>
                <c:pt idx="23">
                  <c:v>338</c:v>
                </c:pt>
                <c:pt idx="24">
                  <c:v>245</c:v>
                </c:pt>
                <c:pt idx="25">
                  <c:v>1883</c:v>
                </c:pt>
                <c:pt idx="26">
                  <c:v>392</c:v>
                </c:pt>
                <c:pt idx="27">
                  <c:v>1823</c:v>
                </c:pt>
                <c:pt idx="28">
                  <c:v>101</c:v>
                </c:pt>
                <c:pt idx="29">
                  <c:v>1035</c:v>
                </c:pt>
                <c:pt idx="30">
                  <c:v>422</c:v>
                </c:pt>
                <c:pt idx="31">
                  <c:v>11346</c:v>
                </c:pt>
                <c:pt idx="32">
                  <c:v>480</c:v>
                </c:pt>
                <c:pt idx="33">
                  <c:v>978</c:v>
                </c:pt>
                <c:pt idx="34">
                  <c:v>2527</c:v>
                </c:pt>
                <c:pt idx="35">
                  <c:v>577</c:v>
                </c:pt>
                <c:pt idx="36">
                  <c:v>492</c:v>
                </c:pt>
                <c:pt idx="37">
                  <c:v>1526</c:v>
                </c:pt>
                <c:pt idx="38">
                  <c:v>4249</c:v>
                </c:pt>
                <c:pt idx="39">
                  <c:v>361</c:v>
                </c:pt>
                <c:pt idx="40">
                  <c:v>249</c:v>
                </c:pt>
                <c:pt idx="41">
                  <c:v>1860</c:v>
                </c:pt>
                <c:pt idx="42">
                  <c:v>399</c:v>
                </c:pt>
                <c:pt idx="43">
                  <c:v>1810</c:v>
                </c:pt>
                <c:pt idx="44">
                  <c:v>103</c:v>
                </c:pt>
                <c:pt idx="45">
                  <c:v>1032</c:v>
                </c:pt>
                <c:pt idx="46">
                  <c:v>449</c:v>
                </c:pt>
                <c:pt idx="47">
                  <c:v>11263</c:v>
                </c:pt>
                <c:pt idx="48">
                  <c:v>488</c:v>
                </c:pt>
                <c:pt idx="49">
                  <c:v>943</c:v>
                </c:pt>
                <c:pt idx="50">
                  <c:v>2502</c:v>
                </c:pt>
                <c:pt idx="51">
                  <c:v>580</c:v>
                </c:pt>
                <c:pt idx="52">
                  <c:v>475</c:v>
                </c:pt>
                <c:pt idx="53">
                  <c:v>1508</c:v>
                </c:pt>
                <c:pt idx="54">
                  <c:v>4098</c:v>
                </c:pt>
                <c:pt idx="55">
                  <c:v>364</c:v>
                </c:pt>
                <c:pt idx="56">
                  <c:v>259</c:v>
                </c:pt>
                <c:pt idx="57">
                  <c:v>1814</c:v>
                </c:pt>
                <c:pt idx="58">
                  <c:v>394</c:v>
                </c:pt>
                <c:pt idx="59">
                  <c:v>1802</c:v>
                </c:pt>
                <c:pt idx="60">
                  <c:v>119</c:v>
                </c:pt>
                <c:pt idx="61">
                  <c:v>1019</c:v>
                </c:pt>
                <c:pt idx="62">
                  <c:v>452</c:v>
                </c:pt>
                <c:pt idx="63">
                  <c:v>11190</c:v>
                </c:pt>
              </c:numCache>
            </c:numRef>
          </c:xVal>
          <c:yVal>
            <c:numRef>
              <c:f>'8. Regression, tot. soc.vård'!$E$39:$E$102</c:f>
              <c:numCache>
                <c:formatCode>General</c:formatCode>
                <c:ptCount val="64"/>
              </c:numCache>
            </c:numRef>
          </c:yVal>
          <c:smooth val="0"/>
        </c:ser>
        <c:ser>
          <c:idx val="1"/>
          <c:order val="1"/>
          <c:tx>
            <c:strRef>
              <c:f>'8. Regression, tot. soc.vård'!$F$38</c:f>
              <c:strCache>
                <c:ptCount val="1"/>
                <c:pt idx="0">
                  <c:v>Kost/inv</c:v>
                </c:pt>
              </c:strCache>
            </c:strRef>
          </c:tx>
          <c:spPr>
            <a:ln w="28575">
              <a:noFill/>
            </a:ln>
          </c:spPr>
          <c:marker>
            <c:symbol val="diamond"/>
            <c:size val="6"/>
          </c:marker>
          <c:trendline>
            <c:trendlineType val="log"/>
            <c:dispRSqr val="1"/>
            <c:dispEq val="1"/>
            <c:trendlineLbl>
              <c:layout>
                <c:manualLayout>
                  <c:x val="-6.910182813447642E-2"/>
                  <c:y val="-9.2443928919162782E-2"/>
                </c:manualLayout>
              </c:layout>
              <c:numFmt formatCode="General" sourceLinked="0"/>
            </c:trendlineLbl>
          </c:trendline>
          <c:xVal>
            <c:numRef>
              <c:f>'8. Regression, tot. soc.vård'!$D$39:$D$102</c:f>
              <c:numCache>
                <c:formatCode>General</c:formatCode>
                <c:ptCount val="64"/>
                <c:pt idx="0">
                  <c:v>475</c:v>
                </c:pt>
                <c:pt idx="1">
                  <c:v>947</c:v>
                </c:pt>
                <c:pt idx="2">
                  <c:v>2520</c:v>
                </c:pt>
                <c:pt idx="3">
                  <c:v>572</c:v>
                </c:pt>
                <c:pt idx="4">
                  <c:v>500</c:v>
                </c:pt>
                <c:pt idx="5">
                  <c:v>1540</c:v>
                </c:pt>
                <c:pt idx="6">
                  <c:v>4424</c:v>
                </c:pt>
                <c:pt idx="7">
                  <c:v>330</c:v>
                </c:pt>
                <c:pt idx="8">
                  <c:v>251</c:v>
                </c:pt>
                <c:pt idx="9">
                  <c:v>1926</c:v>
                </c:pt>
                <c:pt idx="10">
                  <c:v>413</c:v>
                </c:pt>
                <c:pt idx="11">
                  <c:v>1813</c:v>
                </c:pt>
                <c:pt idx="12">
                  <c:v>100</c:v>
                </c:pt>
                <c:pt idx="13">
                  <c:v>1029</c:v>
                </c:pt>
                <c:pt idx="14">
                  <c:v>433</c:v>
                </c:pt>
                <c:pt idx="15">
                  <c:v>11393</c:v>
                </c:pt>
                <c:pt idx="16">
                  <c:v>476</c:v>
                </c:pt>
                <c:pt idx="17">
                  <c:v>960</c:v>
                </c:pt>
                <c:pt idx="18">
                  <c:v>2531</c:v>
                </c:pt>
                <c:pt idx="19">
                  <c:v>578</c:v>
                </c:pt>
                <c:pt idx="20">
                  <c:v>495</c:v>
                </c:pt>
                <c:pt idx="21">
                  <c:v>1522</c:v>
                </c:pt>
                <c:pt idx="22">
                  <c:v>4355</c:v>
                </c:pt>
                <c:pt idx="23">
                  <c:v>338</c:v>
                </c:pt>
                <c:pt idx="24">
                  <c:v>245</c:v>
                </c:pt>
                <c:pt idx="25">
                  <c:v>1883</c:v>
                </c:pt>
                <c:pt idx="26">
                  <c:v>392</c:v>
                </c:pt>
                <c:pt idx="27">
                  <c:v>1823</c:v>
                </c:pt>
                <c:pt idx="28">
                  <c:v>101</c:v>
                </c:pt>
                <c:pt idx="29">
                  <c:v>1035</c:v>
                </c:pt>
                <c:pt idx="30">
                  <c:v>422</c:v>
                </c:pt>
                <c:pt idx="31">
                  <c:v>11346</c:v>
                </c:pt>
                <c:pt idx="32">
                  <c:v>480</c:v>
                </c:pt>
                <c:pt idx="33">
                  <c:v>978</c:v>
                </c:pt>
                <c:pt idx="34">
                  <c:v>2527</c:v>
                </c:pt>
                <c:pt idx="35">
                  <c:v>577</c:v>
                </c:pt>
                <c:pt idx="36">
                  <c:v>492</c:v>
                </c:pt>
                <c:pt idx="37">
                  <c:v>1526</c:v>
                </c:pt>
                <c:pt idx="38">
                  <c:v>4249</c:v>
                </c:pt>
                <c:pt idx="39">
                  <c:v>361</c:v>
                </c:pt>
                <c:pt idx="40">
                  <c:v>249</c:v>
                </c:pt>
                <c:pt idx="41">
                  <c:v>1860</c:v>
                </c:pt>
                <c:pt idx="42">
                  <c:v>399</c:v>
                </c:pt>
                <c:pt idx="43">
                  <c:v>1810</c:v>
                </c:pt>
                <c:pt idx="44">
                  <c:v>103</c:v>
                </c:pt>
                <c:pt idx="45">
                  <c:v>1032</c:v>
                </c:pt>
                <c:pt idx="46">
                  <c:v>449</c:v>
                </c:pt>
                <c:pt idx="47">
                  <c:v>11263</c:v>
                </c:pt>
                <c:pt idx="48">
                  <c:v>488</c:v>
                </c:pt>
                <c:pt idx="49">
                  <c:v>943</c:v>
                </c:pt>
                <c:pt idx="50">
                  <c:v>2502</c:v>
                </c:pt>
                <c:pt idx="51">
                  <c:v>580</c:v>
                </c:pt>
                <c:pt idx="52">
                  <c:v>475</c:v>
                </c:pt>
                <c:pt idx="53">
                  <c:v>1508</c:v>
                </c:pt>
                <c:pt idx="54">
                  <c:v>4098</c:v>
                </c:pt>
                <c:pt idx="55">
                  <c:v>364</c:v>
                </c:pt>
                <c:pt idx="56">
                  <c:v>259</c:v>
                </c:pt>
                <c:pt idx="57">
                  <c:v>1814</c:v>
                </c:pt>
                <c:pt idx="58">
                  <c:v>394</c:v>
                </c:pt>
                <c:pt idx="59">
                  <c:v>1802</c:v>
                </c:pt>
                <c:pt idx="60">
                  <c:v>119</c:v>
                </c:pt>
                <c:pt idx="61">
                  <c:v>1019</c:v>
                </c:pt>
                <c:pt idx="62">
                  <c:v>452</c:v>
                </c:pt>
                <c:pt idx="63">
                  <c:v>11190</c:v>
                </c:pt>
              </c:numCache>
            </c:numRef>
          </c:xVal>
          <c:yVal>
            <c:numRef>
              <c:f>'8. Regression, tot. soc.vård'!$F$39:$F$102</c:f>
              <c:numCache>
                <c:formatCode>General</c:formatCode>
                <c:ptCount val="64"/>
                <c:pt idx="0">
                  <c:v>1663.1578947368421</c:v>
                </c:pt>
                <c:pt idx="1">
                  <c:v>1740.232312565998</c:v>
                </c:pt>
                <c:pt idx="2">
                  <c:v>1760.7142857142858</c:v>
                </c:pt>
                <c:pt idx="3">
                  <c:v>2381.1188811188813</c:v>
                </c:pt>
                <c:pt idx="4">
                  <c:v>1636</c:v>
                </c:pt>
                <c:pt idx="5">
                  <c:v>1726.6233766233765</c:v>
                </c:pt>
                <c:pt idx="6">
                  <c:v>1636.3019891500903</c:v>
                </c:pt>
                <c:pt idx="7">
                  <c:v>2403.030303030303</c:v>
                </c:pt>
                <c:pt idx="8">
                  <c:v>3250.9960159362549</c:v>
                </c:pt>
                <c:pt idx="9">
                  <c:v>1347.871235721703</c:v>
                </c:pt>
                <c:pt idx="10">
                  <c:v>2002.4213075060534</c:v>
                </c:pt>
                <c:pt idx="11">
                  <c:v>1795.9183673469388</c:v>
                </c:pt>
                <c:pt idx="12">
                  <c:v>3110</c:v>
                </c:pt>
                <c:pt idx="13">
                  <c:v>2014.5772594752186</c:v>
                </c:pt>
                <c:pt idx="14">
                  <c:v>2969.9769053117784</c:v>
                </c:pt>
                <c:pt idx="15">
                  <c:v>1598.5254103396824</c:v>
                </c:pt>
                <c:pt idx="16">
                  <c:v>1907.5630252100841</c:v>
                </c:pt>
                <c:pt idx="17">
                  <c:v>1731.25</c:v>
                </c:pt>
                <c:pt idx="18">
                  <c:v>1736.4677992888187</c:v>
                </c:pt>
                <c:pt idx="19">
                  <c:v>2411.7647058823532</c:v>
                </c:pt>
                <c:pt idx="20">
                  <c:v>1911.1111111111111</c:v>
                </c:pt>
                <c:pt idx="21">
                  <c:v>1622.8646517739817</c:v>
                </c:pt>
                <c:pt idx="22">
                  <c:v>1619.2881745120551</c:v>
                </c:pt>
                <c:pt idx="23">
                  <c:v>2739.644970414201</c:v>
                </c:pt>
                <c:pt idx="24">
                  <c:v>3387.7551020408164</c:v>
                </c:pt>
                <c:pt idx="25">
                  <c:v>1296.3356346255975</c:v>
                </c:pt>
                <c:pt idx="26">
                  <c:v>1956.6326530612246</c:v>
                </c:pt>
                <c:pt idx="27">
                  <c:v>1763.0279758639606</c:v>
                </c:pt>
                <c:pt idx="28">
                  <c:v>3851.4851485148515</c:v>
                </c:pt>
                <c:pt idx="29">
                  <c:v>2340.0966183574878</c:v>
                </c:pt>
                <c:pt idx="30">
                  <c:v>2324.644549763033</c:v>
                </c:pt>
                <c:pt idx="31">
                  <c:v>1638.7273047770138</c:v>
                </c:pt>
                <c:pt idx="32">
                  <c:v>1608.3333333333333</c:v>
                </c:pt>
                <c:pt idx="33">
                  <c:v>1944.7852760736196</c:v>
                </c:pt>
                <c:pt idx="34">
                  <c:v>1681.8361693707955</c:v>
                </c:pt>
                <c:pt idx="35">
                  <c:v>2175.0433275563259</c:v>
                </c:pt>
                <c:pt idx="36">
                  <c:v>1463.4146341463415</c:v>
                </c:pt>
                <c:pt idx="37">
                  <c:v>1503.9318479685453</c:v>
                </c:pt>
                <c:pt idx="38">
                  <c:v>1568.6043775005883</c:v>
                </c:pt>
                <c:pt idx="39">
                  <c:v>2252.0775623268696</c:v>
                </c:pt>
                <c:pt idx="40">
                  <c:v>3317.269076305221</c:v>
                </c:pt>
                <c:pt idx="41">
                  <c:v>1588.1720430107528</c:v>
                </c:pt>
                <c:pt idx="42">
                  <c:v>1518.796992481203</c:v>
                </c:pt>
                <c:pt idx="43">
                  <c:v>1585.0828729281768</c:v>
                </c:pt>
                <c:pt idx="44">
                  <c:v>2805.8252427184466</c:v>
                </c:pt>
                <c:pt idx="45">
                  <c:v>1896.3178294573643</c:v>
                </c:pt>
                <c:pt idx="46">
                  <c:v>2242.7616926503342</c:v>
                </c:pt>
                <c:pt idx="47">
                  <c:v>1623.013406730001</c:v>
                </c:pt>
                <c:pt idx="48">
                  <c:v>1586.0655737704917</c:v>
                </c:pt>
                <c:pt idx="49">
                  <c:v>1506.8928950159068</c:v>
                </c:pt>
                <c:pt idx="50">
                  <c:v>1556.7545963229416</c:v>
                </c:pt>
                <c:pt idx="51">
                  <c:v>2250</c:v>
                </c:pt>
                <c:pt idx="52">
                  <c:v>1907.3684210526317</c:v>
                </c:pt>
                <c:pt idx="53">
                  <c:v>1408.4880636604776</c:v>
                </c:pt>
                <c:pt idx="54">
                  <c:v>1602.2449975597854</c:v>
                </c:pt>
                <c:pt idx="55">
                  <c:v>1945.0549450549452</c:v>
                </c:pt>
                <c:pt idx="56">
                  <c:v>2992.2779922779923</c:v>
                </c:pt>
                <c:pt idx="57">
                  <c:v>1346.7475192943771</c:v>
                </c:pt>
                <c:pt idx="58">
                  <c:v>1294.4162436548224</c:v>
                </c:pt>
                <c:pt idx="59">
                  <c:v>1490.566037735849</c:v>
                </c:pt>
                <c:pt idx="60">
                  <c:v>2294.1176470588234</c:v>
                </c:pt>
                <c:pt idx="61">
                  <c:v>1597.6447497546615</c:v>
                </c:pt>
                <c:pt idx="62">
                  <c:v>1902.6548672566371</c:v>
                </c:pt>
                <c:pt idx="63">
                  <c:v>1645.1295799821269</c:v>
                </c:pt>
              </c:numCache>
            </c:numRef>
          </c:yVal>
          <c:smooth val="0"/>
        </c:ser>
        <c:dLbls>
          <c:showLegendKey val="0"/>
          <c:showVal val="0"/>
          <c:showCatName val="0"/>
          <c:showSerName val="0"/>
          <c:showPercent val="0"/>
          <c:showBubbleSize val="0"/>
        </c:dLbls>
        <c:axId val="150344448"/>
        <c:axId val="150345984"/>
      </c:scatterChart>
      <c:valAx>
        <c:axId val="150344448"/>
        <c:scaling>
          <c:orientation val="minMax"/>
        </c:scaling>
        <c:delete val="0"/>
        <c:axPos val="b"/>
        <c:numFmt formatCode="General" sourceLinked="1"/>
        <c:majorTickMark val="out"/>
        <c:minorTickMark val="none"/>
        <c:tickLblPos val="nextTo"/>
        <c:crossAx val="150345984"/>
        <c:crosses val="autoZero"/>
        <c:crossBetween val="midCat"/>
        <c:majorUnit val="500"/>
      </c:valAx>
      <c:valAx>
        <c:axId val="150345984"/>
        <c:scaling>
          <c:orientation val="minMax"/>
        </c:scaling>
        <c:delete val="0"/>
        <c:axPos val="l"/>
        <c:majorGridlines/>
        <c:numFmt formatCode="General" sourceLinked="1"/>
        <c:majorTickMark val="out"/>
        <c:minorTickMark val="none"/>
        <c:tickLblPos val="nextTo"/>
        <c:crossAx val="150344448"/>
        <c:crosses val="autoZero"/>
        <c:crossBetween val="midCat"/>
      </c:valAx>
    </c:plotArea>
    <c:legend>
      <c:legendPos val="r"/>
      <c:legendEntry>
        <c:idx val="0"/>
        <c:delete val="1"/>
      </c:legendEntry>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sv-FI"/>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sv-FI"/>
              <a:t>kostnad/invånare</a:t>
            </a:r>
            <a:r>
              <a:rPr lang="sv-FI" baseline="0"/>
              <a:t> för varje kommun, fyra år</a:t>
            </a:r>
            <a:endParaRPr lang="sv-FI"/>
          </a:p>
        </c:rich>
      </c:tx>
      <c:overlay val="0"/>
    </c:title>
    <c:autoTitleDeleted val="0"/>
    <c:plotArea>
      <c:layout/>
      <c:scatterChart>
        <c:scatterStyle val="lineMarker"/>
        <c:varyColors val="0"/>
        <c:ser>
          <c:idx val="0"/>
          <c:order val="0"/>
          <c:spPr>
            <a:ln w="28575">
              <a:noFill/>
            </a:ln>
          </c:spPr>
          <c:dLbls>
            <c:dLbl>
              <c:idx val="62"/>
              <c:dLblPos val="r"/>
              <c:showLegendKey val="0"/>
              <c:showVal val="1"/>
              <c:showCatName val="1"/>
              <c:showSerName val="0"/>
              <c:showPercent val="0"/>
              <c:showBubbleSize val="0"/>
            </c:dLbl>
            <c:showLegendKey val="0"/>
            <c:showVal val="0"/>
            <c:showCatName val="0"/>
            <c:showSerName val="0"/>
            <c:showPercent val="0"/>
            <c:showBubbleSize val="0"/>
          </c:dLbls>
          <c:xVal>
            <c:numRef>
              <c:f>'8. Regression, tot. soc.vård'!$AO$42:$AO$104</c:f>
              <c:numCache>
                <c:formatCode>General</c:formatCode>
                <c:ptCount val="63"/>
                <c:pt idx="0">
                  <c:v>947</c:v>
                </c:pt>
                <c:pt idx="1">
                  <c:v>2520</c:v>
                </c:pt>
                <c:pt idx="4">
                  <c:v>1540</c:v>
                </c:pt>
                <c:pt idx="5">
                  <c:v>4424</c:v>
                </c:pt>
                <c:pt idx="8">
                  <c:v>1926</c:v>
                </c:pt>
                <c:pt idx="10">
                  <c:v>1813</c:v>
                </c:pt>
                <c:pt idx="12">
                  <c:v>1029</c:v>
                </c:pt>
                <c:pt idx="14">
                  <c:v>11393</c:v>
                </c:pt>
                <c:pt idx="16">
                  <c:v>960</c:v>
                </c:pt>
                <c:pt idx="17">
                  <c:v>2531</c:v>
                </c:pt>
                <c:pt idx="20">
                  <c:v>1522</c:v>
                </c:pt>
                <c:pt idx="21">
                  <c:v>4355</c:v>
                </c:pt>
                <c:pt idx="24">
                  <c:v>1883</c:v>
                </c:pt>
                <c:pt idx="26">
                  <c:v>1823</c:v>
                </c:pt>
                <c:pt idx="28">
                  <c:v>1035</c:v>
                </c:pt>
                <c:pt idx="30">
                  <c:v>11346</c:v>
                </c:pt>
                <c:pt idx="32">
                  <c:v>978</c:v>
                </c:pt>
                <c:pt idx="33">
                  <c:v>2527</c:v>
                </c:pt>
                <c:pt idx="36">
                  <c:v>1526</c:v>
                </c:pt>
                <c:pt idx="37">
                  <c:v>4249</c:v>
                </c:pt>
                <c:pt idx="40">
                  <c:v>1860</c:v>
                </c:pt>
                <c:pt idx="42">
                  <c:v>1810</c:v>
                </c:pt>
                <c:pt idx="44">
                  <c:v>1032</c:v>
                </c:pt>
                <c:pt idx="46">
                  <c:v>11263</c:v>
                </c:pt>
                <c:pt idx="48">
                  <c:v>943</c:v>
                </c:pt>
                <c:pt idx="49">
                  <c:v>2502</c:v>
                </c:pt>
                <c:pt idx="52">
                  <c:v>1508</c:v>
                </c:pt>
                <c:pt idx="53">
                  <c:v>4098</c:v>
                </c:pt>
                <c:pt idx="56">
                  <c:v>1814</c:v>
                </c:pt>
                <c:pt idx="58">
                  <c:v>1802</c:v>
                </c:pt>
                <c:pt idx="60">
                  <c:v>1019</c:v>
                </c:pt>
                <c:pt idx="62">
                  <c:v>11190</c:v>
                </c:pt>
              </c:numCache>
            </c:numRef>
          </c:xVal>
          <c:yVal>
            <c:numRef>
              <c:f>'8. Regression, tot. soc.vård'!$AP$42:$AP$104</c:f>
              <c:numCache>
                <c:formatCode>General</c:formatCode>
                <c:ptCount val="63"/>
              </c:numCache>
            </c:numRef>
          </c:yVal>
          <c:smooth val="0"/>
        </c:ser>
        <c:ser>
          <c:idx val="1"/>
          <c:order val="1"/>
          <c:spPr>
            <a:ln w="28575">
              <a:noFill/>
            </a:ln>
          </c:spPr>
          <c:dLbls>
            <c:dLbl>
              <c:idx val="62"/>
              <c:layout>
                <c:manualLayout>
                  <c:x val="5.1168311300117585E-2"/>
                  <c:y val="-9.0090090090090176E-3"/>
                </c:manualLayout>
              </c:layout>
              <c:dLblPos val="r"/>
              <c:showLegendKey val="0"/>
              <c:showVal val="1"/>
              <c:showCatName val="1"/>
              <c:showSerName val="0"/>
              <c:showPercent val="0"/>
              <c:showBubbleSize val="0"/>
            </c:dLbl>
            <c:showLegendKey val="0"/>
            <c:showVal val="0"/>
            <c:showCatName val="0"/>
            <c:showSerName val="0"/>
            <c:showPercent val="0"/>
            <c:showBubbleSize val="0"/>
          </c:dLbls>
          <c:trendline>
            <c:trendlineType val="linear"/>
            <c:dispRSqr val="1"/>
            <c:dispEq val="1"/>
            <c:trendlineLbl>
              <c:layout>
                <c:manualLayout>
                  <c:x val="-2.3855290162989345E-2"/>
                  <c:y val="5.7087749166489316E-2"/>
                </c:manualLayout>
              </c:layout>
              <c:numFmt formatCode="General" sourceLinked="0"/>
            </c:trendlineLbl>
          </c:trendline>
          <c:trendline>
            <c:trendlineType val="log"/>
            <c:dispRSqr val="1"/>
            <c:dispEq val="1"/>
            <c:trendlineLbl>
              <c:layout>
                <c:manualLayout>
                  <c:x val="-1.4393641020827247E-2"/>
                  <c:y val="-8.4181598921756418E-2"/>
                </c:manualLayout>
              </c:layout>
              <c:numFmt formatCode="General" sourceLinked="0"/>
            </c:trendlineLbl>
          </c:trendline>
          <c:xVal>
            <c:numRef>
              <c:f>'8. Regression, tot. soc.vård'!$AO$42:$AO$104</c:f>
              <c:numCache>
                <c:formatCode>General</c:formatCode>
                <c:ptCount val="63"/>
                <c:pt idx="0">
                  <c:v>947</c:v>
                </c:pt>
                <c:pt idx="1">
                  <c:v>2520</c:v>
                </c:pt>
                <c:pt idx="4">
                  <c:v>1540</c:v>
                </c:pt>
                <c:pt idx="5">
                  <c:v>4424</c:v>
                </c:pt>
                <c:pt idx="8">
                  <c:v>1926</c:v>
                </c:pt>
                <c:pt idx="10">
                  <c:v>1813</c:v>
                </c:pt>
                <c:pt idx="12">
                  <c:v>1029</c:v>
                </c:pt>
                <c:pt idx="14">
                  <c:v>11393</c:v>
                </c:pt>
                <c:pt idx="16">
                  <c:v>960</c:v>
                </c:pt>
                <c:pt idx="17">
                  <c:v>2531</c:v>
                </c:pt>
                <c:pt idx="20">
                  <c:v>1522</c:v>
                </c:pt>
                <c:pt idx="21">
                  <c:v>4355</c:v>
                </c:pt>
                <c:pt idx="24">
                  <c:v>1883</c:v>
                </c:pt>
                <c:pt idx="26">
                  <c:v>1823</c:v>
                </c:pt>
                <c:pt idx="28">
                  <c:v>1035</c:v>
                </c:pt>
                <c:pt idx="30">
                  <c:v>11346</c:v>
                </c:pt>
                <c:pt idx="32">
                  <c:v>978</c:v>
                </c:pt>
                <c:pt idx="33">
                  <c:v>2527</c:v>
                </c:pt>
                <c:pt idx="36">
                  <c:v>1526</c:v>
                </c:pt>
                <c:pt idx="37">
                  <c:v>4249</c:v>
                </c:pt>
                <c:pt idx="40">
                  <c:v>1860</c:v>
                </c:pt>
                <c:pt idx="42">
                  <c:v>1810</c:v>
                </c:pt>
                <c:pt idx="44">
                  <c:v>1032</c:v>
                </c:pt>
                <c:pt idx="46">
                  <c:v>11263</c:v>
                </c:pt>
                <c:pt idx="48">
                  <c:v>943</c:v>
                </c:pt>
                <c:pt idx="49">
                  <c:v>2502</c:v>
                </c:pt>
                <c:pt idx="52">
                  <c:v>1508</c:v>
                </c:pt>
                <c:pt idx="53">
                  <c:v>4098</c:v>
                </c:pt>
                <c:pt idx="56">
                  <c:v>1814</c:v>
                </c:pt>
                <c:pt idx="58">
                  <c:v>1802</c:v>
                </c:pt>
                <c:pt idx="60">
                  <c:v>1019</c:v>
                </c:pt>
                <c:pt idx="62">
                  <c:v>11190</c:v>
                </c:pt>
              </c:numCache>
            </c:numRef>
          </c:xVal>
          <c:yVal>
            <c:numRef>
              <c:f>'8. Regression, tot. soc.vård'!$AQ$42:$AQ$104</c:f>
              <c:numCache>
                <c:formatCode>General</c:formatCode>
                <c:ptCount val="63"/>
                <c:pt idx="0">
                  <c:v>1740.232312565998</c:v>
                </c:pt>
                <c:pt idx="1">
                  <c:v>1760.7142857142858</c:v>
                </c:pt>
                <c:pt idx="4">
                  <c:v>1726.6233766233765</c:v>
                </c:pt>
                <c:pt idx="5">
                  <c:v>1636.3019891500903</c:v>
                </c:pt>
                <c:pt idx="8">
                  <c:v>1347.871235721703</c:v>
                </c:pt>
                <c:pt idx="10">
                  <c:v>1795.9183673469388</c:v>
                </c:pt>
                <c:pt idx="12">
                  <c:v>2014.5772594752186</c:v>
                </c:pt>
                <c:pt idx="14">
                  <c:v>1598.5254103396824</c:v>
                </c:pt>
                <c:pt idx="16">
                  <c:v>1731.25</c:v>
                </c:pt>
                <c:pt idx="17">
                  <c:v>1736.4677992888187</c:v>
                </c:pt>
                <c:pt idx="20">
                  <c:v>1622.8646517739817</c:v>
                </c:pt>
                <c:pt idx="21">
                  <c:v>1619.2881745120551</c:v>
                </c:pt>
                <c:pt idx="24">
                  <c:v>1296.3356346255975</c:v>
                </c:pt>
                <c:pt idx="26">
                  <c:v>1763.0279758639606</c:v>
                </c:pt>
                <c:pt idx="28">
                  <c:v>2340.0966183574878</c:v>
                </c:pt>
                <c:pt idx="30">
                  <c:v>1638.7273047770138</c:v>
                </c:pt>
                <c:pt idx="32">
                  <c:v>1944.7852760736196</c:v>
                </c:pt>
                <c:pt idx="33">
                  <c:v>1681.8361693707955</c:v>
                </c:pt>
                <c:pt idx="36">
                  <c:v>1503.9318479685453</c:v>
                </c:pt>
                <c:pt idx="37">
                  <c:v>1568.6043775005883</c:v>
                </c:pt>
                <c:pt idx="40">
                  <c:v>1588.1720430107528</c:v>
                </c:pt>
                <c:pt idx="42">
                  <c:v>1585.0828729281768</c:v>
                </c:pt>
                <c:pt idx="44">
                  <c:v>1896.3178294573643</c:v>
                </c:pt>
                <c:pt idx="46">
                  <c:v>1623.013406730001</c:v>
                </c:pt>
                <c:pt idx="48">
                  <c:v>1506.8928950159068</c:v>
                </c:pt>
                <c:pt idx="49">
                  <c:v>1556.7545963229416</c:v>
                </c:pt>
                <c:pt idx="52">
                  <c:v>1408.4880636604776</c:v>
                </c:pt>
                <c:pt idx="53">
                  <c:v>1602.2449975597854</c:v>
                </c:pt>
                <c:pt idx="56">
                  <c:v>1346.7475192943771</c:v>
                </c:pt>
                <c:pt idx="58">
                  <c:v>1490.566037735849</c:v>
                </c:pt>
                <c:pt idx="60">
                  <c:v>1597.6447497546615</c:v>
                </c:pt>
                <c:pt idx="62">
                  <c:v>1645.1295799821269</c:v>
                </c:pt>
              </c:numCache>
            </c:numRef>
          </c:yVal>
          <c:smooth val="0"/>
        </c:ser>
        <c:dLbls>
          <c:showLegendKey val="0"/>
          <c:showVal val="0"/>
          <c:showCatName val="0"/>
          <c:showSerName val="0"/>
          <c:showPercent val="0"/>
          <c:showBubbleSize val="0"/>
        </c:dLbls>
        <c:axId val="150402944"/>
        <c:axId val="150425600"/>
      </c:scatterChart>
      <c:valAx>
        <c:axId val="150402944"/>
        <c:scaling>
          <c:orientation val="minMax"/>
        </c:scaling>
        <c:delete val="0"/>
        <c:axPos val="b"/>
        <c:title>
          <c:tx>
            <c:rich>
              <a:bodyPr/>
              <a:lstStyle/>
              <a:p>
                <a:pPr>
                  <a:defRPr/>
                </a:pPr>
                <a:r>
                  <a:rPr lang="sv-FI"/>
                  <a:t>antal</a:t>
                </a:r>
                <a:r>
                  <a:rPr lang="sv-FI" baseline="0"/>
                  <a:t> invånare</a:t>
                </a:r>
                <a:endParaRPr lang="sv-FI"/>
              </a:p>
            </c:rich>
          </c:tx>
          <c:overlay val="0"/>
        </c:title>
        <c:numFmt formatCode="General" sourceLinked="1"/>
        <c:majorTickMark val="none"/>
        <c:minorTickMark val="none"/>
        <c:tickLblPos val="nextTo"/>
        <c:crossAx val="150425600"/>
        <c:crosses val="autoZero"/>
        <c:crossBetween val="midCat"/>
        <c:majorUnit val="500"/>
      </c:valAx>
      <c:valAx>
        <c:axId val="150425600"/>
        <c:scaling>
          <c:orientation val="minMax"/>
        </c:scaling>
        <c:delete val="0"/>
        <c:axPos val="l"/>
        <c:majorGridlines/>
        <c:title>
          <c:tx>
            <c:rich>
              <a:bodyPr/>
              <a:lstStyle/>
              <a:p>
                <a:pPr>
                  <a:defRPr/>
                </a:pPr>
                <a:r>
                  <a:rPr lang="sv-FI"/>
                  <a:t>kostnad/inv</a:t>
                </a:r>
              </a:p>
              <a:p>
                <a:pPr>
                  <a:defRPr/>
                </a:pPr>
                <a:endParaRPr lang="sv-FI"/>
              </a:p>
            </c:rich>
          </c:tx>
          <c:overlay val="0"/>
        </c:title>
        <c:numFmt formatCode="General" sourceLinked="1"/>
        <c:majorTickMark val="none"/>
        <c:minorTickMark val="none"/>
        <c:tickLblPos val="nextTo"/>
        <c:crossAx val="150402944"/>
        <c:crosses val="autoZero"/>
        <c:crossBetween val="midCat"/>
      </c:valAx>
    </c:plotArea>
    <c:legend>
      <c:legendPos val="r"/>
      <c:legendEntry>
        <c:idx val="0"/>
        <c:delete val="1"/>
      </c:legendEntry>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sv-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strRef>
              <c:f>'8. Regression, tot. soc.vård'!$C$157</c:f>
              <c:strCache>
                <c:ptCount val="1"/>
                <c:pt idx="0">
                  <c:v>Kostnad/inv</c:v>
                </c:pt>
              </c:strCache>
            </c:strRef>
          </c:tx>
          <c:spPr>
            <a:ln w="28575">
              <a:noFill/>
            </a:ln>
          </c:spPr>
          <c:trendline>
            <c:trendlineType val="log"/>
            <c:dispRSqr val="1"/>
            <c:dispEq val="1"/>
            <c:trendlineLbl>
              <c:layout>
                <c:manualLayout>
                  <c:x val="-8.0719390883617348E-2"/>
                  <c:y val="-7.1188868442910738E-2"/>
                </c:manualLayout>
              </c:layout>
              <c:numFmt formatCode="General" sourceLinked="0"/>
            </c:trendlineLbl>
          </c:trendline>
          <c:xVal>
            <c:numRef>
              <c:f>'8. Regression, tot. soc.vård'!$A$158:$A$221</c:f>
              <c:numCache>
                <c:formatCode>General</c:formatCode>
                <c:ptCount val="64"/>
                <c:pt idx="0">
                  <c:v>475</c:v>
                </c:pt>
                <c:pt idx="1">
                  <c:v>947</c:v>
                </c:pt>
                <c:pt idx="2">
                  <c:v>2520</c:v>
                </c:pt>
                <c:pt idx="3">
                  <c:v>572</c:v>
                </c:pt>
                <c:pt idx="4">
                  <c:v>500</c:v>
                </c:pt>
                <c:pt idx="5">
                  <c:v>1540</c:v>
                </c:pt>
                <c:pt idx="6">
                  <c:v>4424</c:v>
                </c:pt>
                <c:pt idx="7">
                  <c:v>330</c:v>
                </c:pt>
                <c:pt idx="8">
                  <c:v>251</c:v>
                </c:pt>
                <c:pt idx="9">
                  <c:v>1926</c:v>
                </c:pt>
                <c:pt idx="10">
                  <c:v>413</c:v>
                </c:pt>
                <c:pt idx="11">
                  <c:v>1813</c:v>
                </c:pt>
                <c:pt idx="12">
                  <c:v>100</c:v>
                </c:pt>
                <c:pt idx="13">
                  <c:v>1029</c:v>
                </c:pt>
                <c:pt idx="14">
                  <c:v>433</c:v>
                </c:pt>
                <c:pt idx="15">
                  <c:v>11393</c:v>
                </c:pt>
                <c:pt idx="16">
                  <c:v>476</c:v>
                </c:pt>
                <c:pt idx="17">
                  <c:v>960</c:v>
                </c:pt>
                <c:pt idx="18">
                  <c:v>2531</c:v>
                </c:pt>
                <c:pt idx="19">
                  <c:v>578</c:v>
                </c:pt>
                <c:pt idx="20">
                  <c:v>495</c:v>
                </c:pt>
                <c:pt idx="21">
                  <c:v>1522</c:v>
                </c:pt>
                <c:pt idx="22">
                  <c:v>4355</c:v>
                </c:pt>
                <c:pt idx="23">
                  <c:v>338</c:v>
                </c:pt>
                <c:pt idx="24">
                  <c:v>245</c:v>
                </c:pt>
                <c:pt idx="25">
                  <c:v>1883</c:v>
                </c:pt>
                <c:pt idx="26">
                  <c:v>392</c:v>
                </c:pt>
                <c:pt idx="27">
                  <c:v>1823</c:v>
                </c:pt>
                <c:pt idx="28">
                  <c:v>101</c:v>
                </c:pt>
                <c:pt idx="29">
                  <c:v>1035</c:v>
                </c:pt>
                <c:pt idx="30">
                  <c:v>422</c:v>
                </c:pt>
                <c:pt idx="31">
                  <c:v>11346</c:v>
                </c:pt>
                <c:pt idx="32">
                  <c:v>480</c:v>
                </c:pt>
                <c:pt idx="33">
                  <c:v>978</c:v>
                </c:pt>
                <c:pt idx="34">
                  <c:v>2527</c:v>
                </c:pt>
                <c:pt idx="35">
                  <c:v>577</c:v>
                </c:pt>
                <c:pt idx="36">
                  <c:v>492</c:v>
                </c:pt>
                <c:pt idx="37">
                  <c:v>1526</c:v>
                </c:pt>
                <c:pt idx="38">
                  <c:v>4249</c:v>
                </c:pt>
                <c:pt idx="39">
                  <c:v>361</c:v>
                </c:pt>
                <c:pt idx="40">
                  <c:v>249</c:v>
                </c:pt>
                <c:pt idx="41">
                  <c:v>1860</c:v>
                </c:pt>
                <c:pt idx="42">
                  <c:v>399</c:v>
                </c:pt>
                <c:pt idx="43">
                  <c:v>1810</c:v>
                </c:pt>
                <c:pt idx="44">
                  <c:v>103</c:v>
                </c:pt>
                <c:pt idx="45">
                  <c:v>1032</c:v>
                </c:pt>
                <c:pt idx="46">
                  <c:v>449</c:v>
                </c:pt>
                <c:pt idx="47">
                  <c:v>11263</c:v>
                </c:pt>
                <c:pt idx="48">
                  <c:v>488</c:v>
                </c:pt>
                <c:pt idx="49">
                  <c:v>943</c:v>
                </c:pt>
                <c:pt idx="50">
                  <c:v>2502</c:v>
                </c:pt>
                <c:pt idx="51">
                  <c:v>580</c:v>
                </c:pt>
                <c:pt idx="52">
                  <c:v>475</c:v>
                </c:pt>
                <c:pt idx="53">
                  <c:v>1508</c:v>
                </c:pt>
                <c:pt idx="54">
                  <c:v>4098</c:v>
                </c:pt>
                <c:pt idx="55">
                  <c:v>364</c:v>
                </c:pt>
                <c:pt idx="56">
                  <c:v>259</c:v>
                </c:pt>
                <c:pt idx="57">
                  <c:v>1814</c:v>
                </c:pt>
                <c:pt idx="58">
                  <c:v>394</c:v>
                </c:pt>
                <c:pt idx="59">
                  <c:v>1802</c:v>
                </c:pt>
                <c:pt idx="60">
                  <c:v>119</c:v>
                </c:pt>
                <c:pt idx="61">
                  <c:v>1019</c:v>
                </c:pt>
                <c:pt idx="62">
                  <c:v>452</c:v>
                </c:pt>
                <c:pt idx="63">
                  <c:v>11190</c:v>
                </c:pt>
              </c:numCache>
            </c:numRef>
          </c:xVal>
          <c:yVal>
            <c:numRef>
              <c:f>'8. Regression, tot. soc.vård'!$C$158:$C$221</c:f>
              <c:numCache>
                <c:formatCode>General</c:formatCode>
                <c:ptCount val="64"/>
                <c:pt idx="0">
                  <c:v>2147.3684210526317</c:v>
                </c:pt>
                <c:pt idx="1">
                  <c:v>2709.6092925026401</c:v>
                </c:pt>
                <c:pt idx="2">
                  <c:v>2333.3333333333335</c:v>
                </c:pt>
                <c:pt idx="3">
                  <c:v>2638.1118881118882</c:v>
                </c:pt>
                <c:pt idx="4">
                  <c:v>2938</c:v>
                </c:pt>
                <c:pt idx="5">
                  <c:v>2356.4935064935066</c:v>
                </c:pt>
                <c:pt idx="6">
                  <c:v>2121.8354430379745</c:v>
                </c:pt>
                <c:pt idx="7">
                  <c:v>2721.212121212121</c:v>
                </c:pt>
                <c:pt idx="8">
                  <c:v>3370.5179282868526</c:v>
                </c:pt>
                <c:pt idx="9">
                  <c:v>1931.4641744548287</c:v>
                </c:pt>
                <c:pt idx="10">
                  <c:v>2370.46004842615</c:v>
                </c:pt>
                <c:pt idx="11">
                  <c:v>2187.5344732487588</c:v>
                </c:pt>
                <c:pt idx="12">
                  <c:v>3130</c:v>
                </c:pt>
                <c:pt idx="13">
                  <c:v>3054.4217687074829</c:v>
                </c:pt>
                <c:pt idx="14">
                  <c:v>3170.9006928406466</c:v>
                </c:pt>
                <c:pt idx="15">
                  <c:v>2425.6999912226806</c:v>
                </c:pt>
                <c:pt idx="16">
                  <c:v>2449.5798319327732</c:v>
                </c:pt>
                <c:pt idx="17">
                  <c:v>2619.7916666666665</c:v>
                </c:pt>
                <c:pt idx="18">
                  <c:v>2312.129593046227</c:v>
                </c:pt>
                <c:pt idx="19">
                  <c:v>3036.332179930796</c:v>
                </c:pt>
                <c:pt idx="20">
                  <c:v>3090.909090909091</c:v>
                </c:pt>
                <c:pt idx="21">
                  <c:v>2235.8738501971093</c:v>
                </c:pt>
                <c:pt idx="22">
                  <c:v>2087.7152698048221</c:v>
                </c:pt>
                <c:pt idx="23">
                  <c:v>3073.9644970414201</c:v>
                </c:pt>
                <c:pt idx="24">
                  <c:v>3555.1020408163267</c:v>
                </c:pt>
                <c:pt idx="25">
                  <c:v>2019.6494954859268</c:v>
                </c:pt>
                <c:pt idx="26">
                  <c:v>2502.5510204081634</c:v>
                </c:pt>
                <c:pt idx="27">
                  <c:v>2132.7482172243554</c:v>
                </c:pt>
                <c:pt idx="28">
                  <c:v>3891.0891089108909</c:v>
                </c:pt>
                <c:pt idx="29">
                  <c:v>3434.782608695652</c:v>
                </c:pt>
                <c:pt idx="30">
                  <c:v>3139.8104265402844</c:v>
                </c:pt>
                <c:pt idx="31">
                  <c:v>2437.5110170985367</c:v>
                </c:pt>
                <c:pt idx="32">
                  <c:v>2047.9166666666667</c:v>
                </c:pt>
                <c:pt idx="33">
                  <c:v>2617.5869120654397</c:v>
                </c:pt>
                <c:pt idx="34">
                  <c:v>2191.5314602295211</c:v>
                </c:pt>
                <c:pt idx="35">
                  <c:v>2641.2478336221839</c:v>
                </c:pt>
                <c:pt idx="36">
                  <c:v>2995.9349593495936</c:v>
                </c:pt>
                <c:pt idx="37">
                  <c:v>2031.4547837483617</c:v>
                </c:pt>
                <c:pt idx="38">
                  <c:v>2004.7069898799718</c:v>
                </c:pt>
                <c:pt idx="39">
                  <c:v>2570.6371191135736</c:v>
                </c:pt>
                <c:pt idx="40">
                  <c:v>3546.1847389558234</c:v>
                </c:pt>
                <c:pt idx="41">
                  <c:v>2001.6129032258063</c:v>
                </c:pt>
                <c:pt idx="42">
                  <c:v>2000</c:v>
                </c:pt>
                <c:pt idx="43">
                  <c:v>1991.7127071823204</c:v>
                </c:pt>
                <c:pt idx="44">
                  <c:v>2990.2912621359224</c:v>
                </c:pt>
                <c:pt idx="45">
                  <c:v>2955.4263565891474</c:v>
                </c:pt>
                <c:pt idx="46">
                  <c:v>2530.0668151447662</c:v>
                </c:pt>
                <c:pt idx="47">
                  <c:v>2357.0984639971589</c:v>
                </c:pt>
                <c:pt idx="48">
                  <c:v>2036.8852459016393</c:v>
                </c:pt>
                <c:pt idx="49">
                  <c:v>2464.4750795334039</c:v>
                </c:pt>
                <c:pt idx="50">
                  <c:v>2014.388489208633</c:v>
                </c:pt>
                <c:pt idx="51">
                  <c:v>2494.8275862068967</c:v>
                </c:pt>
                <c:pt idx="52">
                  <c:v>3035.7894736842104</c:v>
                </c:pt>
                <c:pt idx="53">
                  <c:v>1975.4641909814325</c:v>
                </c:pt>
                <c:pt idx="54">
                  <c:v>2063.6896046852121</c:v>
                </c:pt>
                <c:pt idx="55">
                  <c:v>2280.2197802197802</c:v>
                </c:pt>
                <c:pt idx="56">
                  <c:v>3138.9961389961391</c:v>
                </c:pt>
                <c:pt idx="57">
                  <c:v>1674.2006615214993</c:v>
                </c:pt>
                <c:pt idx="58">
                  <c:v>1578.6802030456852</c:v>
                </c:pt>
                <c:pt idx="59">
                  <c:v>1869.0344062153163</c:v>
                </c:pt>
                <c:pt idx="60">
                  <c:v>2394.9579831932774</c:v>
                </c:pt>
                <c:pt idx="61">
                  <c:v>2839.0578999018644</c:v>
                </c:pt>
                <c:pt idx="62">
                  <c:v>2380.5309734513276</c:v>
                </c:pt>
                <c:pt idx="63">
                  <c:v>2359.964253798034</c:v>
                </c:pt>
              </c:numCache>
            </c:numRef>
          </c:yVal>
          <c:smooth val="0"/>
        </c:ser>
        <c:dLbls>
          <c:showLegendKey val="0"/>
          <c:showVal val="0"/>
          <c:showCatName val="0"/>
          <c:showSerName val="0"/>
          <c:showPercent val="0"/>
          <c:showBubbleSize val="0"/>
        </c:dLbls>
        <c:axId val="150451712"/>
        <c:axId val="150453248"/>
      </c:scatterChart>
      <c:valAx>
        <c:axId val="150451712"/>
        <c:scaling>
          <c:orientation val="minMax"/>
        </c:scaling>
        <c:delete val="0"/>
        <c:axPos val="b"/>
        <c:numFmt formatCode="General" sourceLinked="1"/>
        <c:majorTickMark val="out"/>
        <c:minorTickMark val="none"/>
        <c:tickLblPos val="nextTo"/>
        <c:crossAx val="150453248"/>
        <c:crosses val="autoZero"/>
        <c:crossBetween val="midCat"/>
      </c:valAx>
      <c:valAx>
        <c:axId val="150453248"/>
        <c:scaling>
          <c:orientation val="minMax"/>
        </c:scaling>
        <c:delete val="0"/>
        <c:axPos val="l"/>
        <c:majorGridlines/>
        <c:numFmt formatCode="General" sourceLinked="1"/>
        <c:majorTickMark val="out"/>
        <c:minorTickMark val="none"/>
        <c:tickLblPos val="nextTo"/>
        <c:crossAx val="150451712"/>
        <c:crosses val="autoZero"/>
        <c:crossBetween val="midCat"/>
      </c:valAx>
    </c:plotArea>
    <c:legend>
      <c:legendPos val="r"/>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sv-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'8. Regression, tot. soc.vård'!$AP$114</c:f>
              <c:strCache>
                <c:ptCount val="1"/>
              </c:strCache>
            </c:strRef>
          </c:tx>
          <c:spPr>
            <a:ln w="28575">
              <a:noFill/>
            </a:ln>
          </c:spPr>
          <c:xVal>
            <c:numRef>
              <c:f>'8. Regression, tot. soc.vård'!$AO$115:$AO$178</c:f>
              <c:numCache>
                <c:formatCode>General</c:formatCode>
                <c:ptCount val="64"/>
                <c:pt idx="1">
                  <c:v>947</c:v>
                </c:pt>
                <c:pt idx="2">
                  <c:v>2520</c:v>
                </c:pt>
                <c:pt idx="4">
                  <c:v>500</c:v>
                </c:pt>
                <c:pt idx="5">
                  <c:v>1540</c:v>
                </c:pt>
                <c:pt idx="6">
                  <c:v>4424</c:v>
                </c:pt>
                <c:pt idx="9">
                  <c:v>1926</c:v>
                </c:pt>
                <c:pt idx="10">
                  <c:v>413</c:v>
                </c:pt>
                <c:pt idx="11">
                  <c:v>1813</c:v>
                </c:pt>
                <c:pt idx="13">
                  <c:v>1029</c:v>
                </c:pt>
                <c:pt idx="15">
                  <c:v>11393</c:v>
                </c:pt>
                <c:pt idx="17">
                  <c:v>960</c:v>
                </c:pt>
                <c:pt idx="18">
                  <c:v>2531</c:v>
                </c:pt>
                <c:pt idx="20">
                  <c:v>495</c:v>
                </c:pt>
                <c:pt idx="21">
                  <c:v>1522</c:v>
                </c:pt>
                <c:pt idx="22">
                  <c:v>4355</c:v>
                </c:pt>
                <c:pt idx="25">
                  <c:v>1883</c:v>
                </c:pt>
                <c:pt idx="26">
                  <c:v>392</c:v>
                </c:pt>
                <c:pt idx="27">
                  <c:v>1823</c:v>
                </c:pt>
                <c:pt idx="29">
                  <c:v>1035</c:v>
                </c:pt>
                <c:pt idx="31">
                  <c:v>11346</c:v>
                </c:pt>
                <c:pt idx="33">
                  <c:v>978</c:v>
                </c:pt>
                <c:pt idx="34">
                  <c:v>2527</c:v>
                </c:pt>
                <c:pt idx="36">
                  <c:v>492</c:v>
                </c:pt>
                <c:pt idx="37">
                  <c:v>1526</c:v>
                </c:pt>
                <c:pt idx="38">
                  <c:v>4249</c:v>
                </c:pt>
                <c:pt idx="41">
                  <c:v>1860</c:v>
                </c:pt>
                <c:pt idx="42">
                  <c:v>399</c:v>
                </c:pt>
                <c:pt idx="43">
                  <c:v>1810</c:v>
                </c:pt>
                <c:pt idx="45">
                  <c:v>1032</c:v>
                </c:pt>
                <c:pt idx="47">
                  <c:v>11263</c:v>
                </c:pt>
                <c:pt idx="49">
                  <c:v>943</c:v>
                </c:pt>
                <c:pt idx="50">
                  <c:v>2502</c:v>
                </c:pt>
                <c:pt idx="52">
                  <c:v>475</c:v>
                </c:pt>
                <c:pt idx="53">
                  <c:v>1508</c:v>
                </c:pt>
                <c:pt idx="54">
                  <c:v>4098</c:v>
                </c:pt>
                <c:pt idx="57">
                  <c:v>1814</c:v>
                </c:pt>
                <c:pt idx="58">
                  <c:v>394</c:v>
                </c:pt>
                <c:pt idx="59">
                  <c:v>1802</c:v>
                </c:pt>
                <c:pt idx="61">
                  <c:v>1019</c:v>
                </c:pt>
                <c:pt idx="63">
                  <c:v>11190</c:v>
                </c:pt>
              </c:numCache>
            </c:numRef>
          </c:xVal>
          <c:yVal>
            <c:numRef>
              <c:f>'8. Regression, tot. soc.vård'!$AP$115:$AP$178</c:f>
              <c:numCache>
                <c:formatCode>General</c:formatCode>
                <c:ptCount val="64"/>
              </c:numCache>
            </c:numRef>
          </c:yVal>
          <c:smooth val="0"/>
        </c:ser>
        <c:ser>
          <c:idx val="1"/>
          <c:order val="1"/>
          <c:tx>
            <c:strRef>
              <c:f>'8. Regression, tot. soc.vård'!$AQ$114</c:f>
              <c:strCache>
                <c:ptCount val="1"/>
                <c:pt idx="0">
                  <c:v>Kost/inv</c:v>
                </c:pt>
              </c:strCache>
            </c:strRef>
          </c:tx>
          <c:spPr>
            <a:ln w="28575">
              <a:noFill/>
            </a:ln>
          </c:spPr>
          <c:trendline>
            <c:trendlineType val="log"/>
            <c:dispRSqr val="1"/>
            <c:dispEq val="1"/>
            <c:trendlineLbl>
              <c:layout>
                <c:manualLayout>
                  <c:x val="-8.9894824697427225E-2"/>
                  <c:y val="-6.8830699470183637E-2"/>
                </c:manualLayout>
              </c:layout>
              <c:numFmt formatCode="General" sourceLinked="0"/>
            </c:trendlineLbl>
          </c:trendline>
          <c:trendline>
            <c:trendlineType val="linear"/>
            <c:dispRSqr val="1"/>
            <c:dispEq val="1"/>
            <c:trendlineLbl>
              <c:layout>
                <c:manualLayout>
                  <c:x val="-7.7079234099566171E-2"/>
                  <c:y val="8.7431343223872013E-2"/>
                </c:manualLayout>
              </c:layout>
              <c:numFmt formatCode="General" sourceLinked="0"/>
            </c:trendlineLbl>
          </c:trendline>
          <c:xVal>
            <c:numRef>
              <c:f>'8. Regression, tot. soc.vård'!$AO$115:$AO$178</c:f>
              <c:numCache>
                <c:formatCode>General</c:formatCode>
                <c:ptCount val="64"/>
                <c:pt idx="1">
                  <c:v>947</c:v>
                </c:pt>
                <c:pt idx="2">
                  <c:v>2520</c:v>
                </c:pt>
                <c:pt idx="4">
                  <c:v>500</c:v>
                </c:pt>
                <c:pt idx="5">
                  <c:v>1540</c:v>
                </c:pt>
                <c:pt idx="6">
                  <c:v>4424</c:v>
                </c:pt>
                <c:pt idx="9">
                  <c:v>1926</c:v>
                </c:pt>
                <c:pt idx="10">
                  <c:v>413</c:v>
                </c:pt>
                <c:pt idx="11">
                  <c:v>1813</c:v>
                </c:pt>
                <c:pt idx="13">
                  <c:v>1029</c:v>
                </c:pt>
                <c:pt idx="15">
                  <c:v>11393</c:v>
                </c:pt>
                <c:pt idx="17">
                  <c:v>960</c:v>
                </c:pt>
                <c:pt idx="18">
                  <c:v>2531</c:v>
                </c:pt>
                <c:pt idx="20">
                  <c:v>495</c:v>
                </c:pt>
                <c:pt idx="21">
                  <c:v>1522</c:v>
                </c:pt>
                <c:pt idx="22">
                  <c:v>4355</c:v>
                </c:pt>
                <c:pt idx="25">
                  <c:v>1883</c:v>
                </c:pt>
                <c:pt idx="26">
                  <c:v>392</c:v>
                </c:pt>
                <c:pt idx="27">
                  <c:v>1823</c:v>
                </c:pt>
                <c:pt idx="29">
                  <c:v>1035</c:v>
                </c:pt>
                <c:pt idx="31">
                  <c:v>11346</c:v>
                </c:pt>
                <c:pt idx="33">
                  <c:v>978</c:v>
                </c:pt>
                <c:pt idx="34">
                  <c:v>2527</c:v>
                </c:pt>
                <c:pt idx="36">
                  <c:v>492</c:v>
                </c:pt>
                <c:pt idx="37">
                  <c:v>1526</c:v>
                </c:pt>
                <c:pt idx="38">
                  <c:v>4249</c:v>
                </c:pt>
                <c:pt idx="41">
                  <c:v>1860</c:v>
                </c:pt>
                <c:pt idx="42">
                  <c:v>399</c:v>
                </c:pt>
                <c:pt idx="43">
                  <c:v>1810</c:v>
                </c:pt>
                <c:pt idx="45">
                  <c:v>1032</c:v>
                </c:pt>
                <c:pt idx="47">
                  <c:v>11263</c:v>
                </c:pt>
                <c:pt idx="49">
                  <c:v>943</c:v>
                </c:pt>
                <c:pt idx="50">
                  <c:v>2502</c:v>
                </c:pt>
                <c:pt idx="52">
                  <c:v>475</c:v>
                </c:pt>
                <c:pt idx="53">
                  <c:v>1508</c:v>
                </c:pt>
                <c:pt idx="54">
                  <c:v>4098</c:v>
                </c:pt>
                <c:pt idx="57">
                  <c:v>1814</c:v>
                </c:pt>
                <c:pt idx="58">
                  <c:v>394</c:v>
                </c:pt>
                <c:pt idx="59">
                  <c:v>1802</c:v>
                </c:pt>
                <c:pt idx="61">
                  <c:v>1019</c:v>
                </c:pt>
                <c:pt idx="63">
                  <c:v>11190</c:v>
                </c:pt>
              </c:numCache>
            </c:numRef>
          </c:xVal>
          <c:yVal>
            <c:numRef>
              <c:f>'8. Regression, tot. soc.vård'!$AQ$115:$AQ$178</c:f>
              <c:numCache>
                <c:formatCode>General</c:formatCode>
                <c:ptCount val="64"/>
                <c:pt idx="1">
                  <c:v>1740.232312565998</c:v>
                </c:pt>
                <c:pt idx="2">
                  <c:v>1760.7142857142858</c:v>
                </c:pt>
                <c:pt idx="4">
                  <c:v>1636</c:v>
                </c:pt>
                <c:pt idx="5">
                  <c:v>1726.6233766233765</c:v>
                </c:pt>
                <c:pt idx="6">
                  <c:v>1636.3019891500903</c:v>
                </c:pt>
                <c:pt idx="9">
                  <c:v>1347.871235721703</c:v>
                </c:pt>
                <c:pt idx="10">
                  <c:v>2002.4213075060534</c:v>
                </c:pt>
                <c:pt idx="11">
                  <c:v>1795.9183673469388</c:v>
                </c:pt>
                <c:pt idx="13">
                  <c:v>2014.5772594752186</c:v>
                </c:pt>
                <c:pt idx="15">
                  <c:v>1598.5254103396824</c:v>
                </c:pt>
                <c:pt idx="17">
                  <c:v>1731.25</c:v>
                </c:pt>
                <c:pt idx="18">
                  <c:v>1736.4677992888187</c:v>
                </c:pt>
                <c:pt idx="20">
                  <c:v>1911.1111111111111</c:v>
                </c:pt>
                <c:pt idx="21">
                  <c:v>1622.8646517739817</c:v>
                </c:pt>
                <c:pt idx="22">
                  <c:v>1619.2881745120551</c:v>
                </c:pt>
                <c:pt idx="25">
                  <c:v>1296.3356346255975</c:v>
                </c:pt>
                <c:pt idx="26">
                  <c:v>1956.6326530612246</c:v>
                </c:pt>
                <c:pt idx="27">
                  <c:v>1763.0279758639606</c:v>
                </c:pt>
                <c:pt idx="29">
                  <c:v>2340.0966183574878</c:v>
                </c:pt>
                <c:pt idx="31">
                  <c:v>1638.7273047770138</c:v>
                </c:pt>
                <c:pt idx="33">
                  <c:v>1944.7852760736196</c:v>
                </c:pt>
                <c:pt idx="34">
                  <c:v>1681.8361693707955</c:v>
                </c:pt>
                <c:pt idx="36">
                  <c:v>1463.4146341463415</c:v>
                </c:pt>
                <c:pt idx="37">
                  <c:v>1503.9318479685453</c:v>
                </c:pt>
                <c:pt idx="38">
                  <c:v>1568.6043775005883</c:v>
                </c:pt>
                <c:pt idx="41">
                  <c:v>1588.1720430107528</c:v>
                </c:pt>
                <c:pt idx="42">
                  <c:v>1518.796992481203</c:v>
                </c:pt>
                <c:pt idx="43">
                  <c:v>1585.0828729281768</c:v>
                </c:pt>
                <c:pt idx="45">
                  <c:v>1896.3178294573643</c:v>
                </c:pt>
                <c:pt idx="47">
                  <c:v>1623.013406730001</c:v>
                </c:pt>
                <c:pt idx="49">
                  <c:v>1506.8928950159068</c:v>
                </c:pt>
                <c:pt idx="50">
                  <c:v>1556.7545963229416</c:v>
                </c:pt>
                <c:pt idx="52">
                  <c:v>1907.3684210526317</c:v>
                </c:pt>
                <c:pt idx="53">
                  <c:v>1408.4880636604776</c:v>
                </c:pt>
                <c:pt idx="54">
                  <c:v>1602.2449975597854</c:v>
                </c:pt>
                <c:pt idx="57">
                  <c:v>1346.7475192943771</c:v>
                </c:pt>
                <c:pt idx="58">
                  <c:v>1294.4162436548224</c:v>
                </c:pt>
                <c:pt idx="59">
                  <c:v>1490.566037735849</c:v>
                </c:pt>
                <c:pt idx="61">
                  <c:v>1597.6447497546615</c:v>
                </c:pt>
                <c:pt idx="63">
                  <c:v>1645.1295799821269</c:v>
                </c:pt>
              </c:numCache>
            </c:numRef>
          </c:yVal>
          <c:smooth val="0"/>
        </c:ser>
        <c:dLbls>
          <c:showLegendKey val="0"/>
          <c:showVal val="0"/>
          <c:showCatName val="0"/>
          <c:showSerName val="0"/>
          <c:showPercent val="0"/>
          <c:showBubbleSize val="0"/>
        </c:dLbls>
        <c:axId val="153978368"/>
        <c:axId val="153979904"/>
      </c:scatterChart>
      <c:valAx>
        <c:axId val="153978368"/>
        <c:scaling>
          <c:orientation val="minMax"/>
        </c:scaling>
        <c:delete val="0"/>
        <c:axPos val="b"/>
        <c:numFmt formatCode="General" sourceLinked="1"/>
        <c:majorTickMark val="out"/>
        <c:minorTickMark val="none"/>
        <c:tickLblPos val="nextTo"/>
        <c:crossAx val="153979904"/>
        <c:crosses val="autoZero"/>
        <c:crossBetween val="midCat"/>
      </c:valAx>
      <c:valAx>
        <c:axId val="153979904"/>
        <c:scaling>
          <c:orientation val="minMax"/>
        </c:scaling>
        <c:delete val="0"/>
        <c:axPos val="l"/>
        <c:majorGridlines/>
        <c:numFmt formatCode="General" sourceLinked="1"/>
        <c:majorTickMark val="out"/>
        <c:minorTickMark val="none"/>
        <c:tickLblPos val="nextTo"/>
        <c:crossAx val="153978368"/>
        <c:crosses val="autoZero"/>
        <c:crossBetween val="midCat"/>
      </c:valAx>
    </c:plotArea>
    <c:legend>
      <c:legendPos val="r"/>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sv-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strRef>
              <c:f>'8. Regression, tot. soc.vård'!$J$157</c:f>
              <c:strCache>
                <c:ptCount val="1"/>
                <c:pt idx="0">
                  <c:v>Kost/inv</c:v>
                </c:pt>
              </c:strCache>
            </c:strRef>
          </c:tx>
          <c:spPr>
            <a:ln w="28575">
              <a:noFill/>
            </a:ln>
          </c:spPr>
          <c:trendline>
            <c:trendlineType val="linear"/>
            <c:dispRSqr val="1"/>
            <c:dispEq val="1"/>
            <c:trendlineLbl>
              <c:layout>
                <c:manualLayout>
                  <c:x val="-0.14298518327693144"/>
                  <c:y val="-9.9995063373750789E-2"/>
                </c:manualLayout>
              </c:layout>
              <c:numFmt formatCode="General" sourceLinked="0"/>
            </c:trendlineLbl>
          </c:trendline>
          <c:trendline>
            <c:trendlineType val="log"/>
            <c:dispRSqr val="0"/>
            <c:dispEq val="0"/>
          </c:trendline>
          <c:xVal>
            <c:numRef>
              <c:f>'8. Regression, tot. soc.vård'!$H$158:$H$221</c:f>
              <c:numCache>
                <c:formatCode>General</c:formatCode>
                <c:ptCount val="64"/>
                <c:pt idx="0">
                  <c:v>475</c:v>
                </c:pt>
                <c:pt idx="1">
                  <c:v>947</c:v>
                </c:pt>
                <c:pt idx="2">
                  <c:v>2520</c:v>
                </c:pt>
                <c:pt idx="3">
                  <c:v>572</c:v>
                </c:pt>
                <c:pt idx="4">
                  <c:v>500</c:v>
                </c:pt>
                <c:pt idx="5">
                  <c:v>1540</c:v>
                </c:pt>
                <c:pt idx="6">
                  <c:v>4424</c:v>
                </c:pt>
                <c:pt idx="7">
                  <c:v>330</c:v>
                </c:pt>
                <c:pt idx="8">
                  <c:v>251</c:v>
                </c:pt>
                <c:pt idx="9">
                  <c:v>1926</c:v>
                </c:pt>
                <c:pt idx="10">
                  <c:v>413</c:v>
                </c:pt>
                <c:pt idx="11">
                  <c:v>1813</c:v>
                </c:pt>
                <c:pt idx="12">
                  <c:v>100</c:v>
                </c:pt>
                <c:pt idx="13">
                  <c:v>1029</c:v>
                </c:pt>
                <c:pt idx="14">
                  <c:v>433</c:v>
                </c:pt>
                <c:pt idx="15">
                  <c:v>11393</c:v>
                </c:pt>
                <c:pt idx="16">
                  <c:v>476</c:v>
                </c:pt>
                <c:pt idx="17">
                  <c:v>960</c:v>
                </c:pt>
                <c:pt idx="18">
                  <c:v>2531</c:v>
                </c:pt>
                <c:pt idx="19">
                  <c:v>578</c:v>
                </c:pt>
                <c:pt idx="20">
                  <c:v>495</c:v>
                </c:pt>
                <c:pt idx="21">
                  <c:v>1522</c:v>
                </c:pt>
                <c:pt idx="22">
                  <c:v>4355</c:v>
                </c:pt>
                <c:pt idx="23">
                  <c:v>338</c:v>
                </c:pt>
                <c:pt idx="24">
                  <c:v>245</c:v>
                </c:pt>
                <c:pt idx="25">
                  <c:v>1883</c:v>
                </c:pt>
                <c:pt idx="26">
                  <c:v>392</c:v>
                </c:pt>
                <c:pt idx="27">
                  <c:v>1823</c:v>
                </c:pt>
                <c:pt idx="28">
                  <c:v>101</c:v>
                </c:pt>
                <c:pt idx="29">
                  <c:v>1035</c:v>
                </c:pt>
                <c:pt idx="30">
                  <c:v>422</c:v>
                </c:pt>
                <c:pt idx="31">
                  <c:v>11346</c:v>
                </c:pt>
                <c:pt idx="32">
                  <c:v>480</c:v>
                </c:pt>
                <c:pt idx="33">
                  <c:v>978</c:v>
                </c:pt>
                <c:pt idx="34">
                  <c:v>2527</c:v>
                </c:pt>
                <c:pt idx="35">
                  <c:v>577</c:v>
                </c:pt>
                <c:pt idx="36">
                  <c:v>492</c:v>
                </c:pt>
                <c:pt idx="37">
                  <c:v>1526</c:v>
                </c:pt>
                <c:pt idx="38">
                  <c:v>4249</c:v>
                </c:pt>
                <c:pt idx="39">
                  <c:v>361</c:v>
                </c:pt>
                <c:pt idx="40">
                  <c:v>249</c:v>
                </c:pt>
                <c:pt idx="41">
                  <c:v>1860</c:v>
                </c:pt>
                <c:pt idx="42">
                  <c:v>399</c:v>
                </c:pt>
                <c:pt idx="43">
                  <c:v>1810</c:v>
                </c:pt>
                <c:pt idx="44">
                  <c:v>103</c:v>
                </c:pt>
                <c:pt idx="45">
                  <c:v>1032</c:v>
                </c:pt>
                <c:pt idx="46">
                  <c:v>449</c:v>
                </c:pt>
                <c:pt idx="47">
                  <c:v>11263</c:v>
                </c:pt>
                <c:pt idx="48">
                  <c:v>488</c:v>
                </c:pt>
                <c:pt idx="49">
                  <c:v>943</c:v>
                </c:pt>
                <c:pt idx="50">
                  <c:v>2502</c:v>
                </c:pt>
                <c:pt idx="51">
                  <c:v>580</c:v>
                </c:pt>
                <c:pt idx="52">
                  <c:v>475</c:v>
                </c:pt>
                <c:pt idx="53">
                  <c:v>1508</c:v>
                </c:pt>
                <c:pt idx="54">
                  <c:v>4098</c:v>
                </c:pt>
                <c:pt idx="55">
                  <c:v>364</c:v>
                </c:pt>
                <c:pt idx="56">
                  <c:v>259</c:v>
                </c:pt>
                <c:pt idx="57">
                  <c:v>1814</c:v>
                </c:pt>
                <c:pt idx="58">
                  <c:v>394</c:v>
                </c:pt>
                <c:pt idx="59">
                  <c:v>1802</c:v>
                </c:pt>
                <c:pt idx="60">
                  <c:v>119</c:v>
                </c:pt>
                <c:pt idx="61">
                  <c:v>1019</c:v>
                </c:pt>
                <c:pt idx="62">
                  <c:v>452</c:v>
                </c:pt>
                <c:pt idx="63">
                  <c:v>11190</c:v>
                </c:pt>
              </c:numCache>
            </c:numRef>
          </c:xVal>
          <c:yVal>
            <c:numRef>
              <c:f>'8. Regression, tot. soc.vård'!$J$158:$J$221</c:f>
              <c:numCache>
                <c:formatCode>General</c:formatCode>
                <c:ptCount val="64"/>
                <c:pt idx="1">
                  <c:v>969.37697993664199</c:v>
                </c:pt>
                <c:pt idx="2">
                  <c:v>572.61904761904759</c:v>
                </c:pt>
                <c:pt idx="4">
                  <c:v>1302</c:v>
                </c:pt>
                <c:pt idx="5">
                  <c:v>629.87012987012986</c:v>
                </c:pt>
                <c:pt idx="6">
                  <c:v>485.53345388788426</c:v>
                </c:pt>
                <c:pt idx="7">
                  <c:v>318.18181818181819</c:v>
                </c:pt>
                <c:pt idx="9">
                  <c:v>583.59293873312561</c:v>
                </c:pt>
                <c:pt idx="10">
                  <c:v>368.03874092009687</c:v>
                </c:pt>
                <c:pt idx="11">
                  <c:v>391.61610590182016</c:v>
                </c:pt>
                <c:pt idx="15">
                  <c:v>827.17458088299838</c:v>
                </c:pt>
                <c:pt idx="17">
                  <c:v>888.54166666666663</c:v>
                </c:pt>
                <c:pt idx="18">
                  <c:v>575.66179375740819</c:v>
                </c:pt>
                <c:pt idx="20">
                  <c:v>1179.7979797979799</c:v>
                </c:pt>
                <c:pt idx="21">
                  <c:v>613.00919842312749</c:v>
                </c:pt>
                <c:pt idx="22">
                  <c:v>468.42709529276692</c:v>
                </c:pt>
                <c:pt idx="25">
                  <c:v>723.31386086032921</c:v>
                </c:pt>
                <c:pt idx="26">
                  <c:v>545.91836734693879</c:v>
                </c:pt>
                <c:pt idx="27">
                  <c:v>369.72024136039494</c:v>
                </c:pt>
                <c:pt idx="29">
                  <c:v>1094.6859903381642</c:v>
                </c:pt>
                <c:pt idx="31">
                  <c:v>798.78371232152301</c:v>
                </c:pt>
                <c:pt idx="33">
                  <c:v>672.80163599182004</c:v>
                </c:pt>
                <c:pt idx="34">
                  <c:v>509.69529085872574</c:v>
                </c:pt>
                <c:pt idx="36">
                  <c:v>1532.520325203252</c:v>
                </c:pt>
                <c:pt idx="37">
                  <c:v>527.52293577981652</c:v>
                </c:pt>
                <c:pt idx="38">
                  <c:v>436.1026123793834</c:v>
                </c:pt>
                <c:pt idx="41">
                  <c:v>413.44086021505376</c:v>
                </c:pt>
                <c:pt idx="42">
                  <c:v>481.20300751879699</c:v>
                </c:pt>
                <c:pt idx="43">
                  <c:v>406.62983425414365</c:v>
                </c:pt>
                <c:pt idx="45">
                  <c:v>1059.1085271317829</c:v>
                </c:pt>
                <c:pt idx="47">
                  <c:v>734.08505726715794</c:v>
                </c:pt>
                <c:pt idx="49">
                  <c:v>957.58218451749735</c:v>
                </c:pt>
                <c:pt idx="50">
                  <c:v>457.63389288569147</c:v>
                </c:pt>
                <c:pt idx="52">
                  <c:v>1128.421052631579</c:v>
                </c:pt>
                <c:pt idx="53">
                  <c:v>566.9761273209549</c:v>
                </c:pt>
                <c:pt idx="54">
                  <c:v>461.44460712542701</c:v>
                </c:pt>
                <c:pt idx="57">
                  <c:v>327.45314222712238</c:v>
                </c:pt>
                <c:pt idx="58">
                  <c:v>284.26395939086296</c:v>
                </c:pt>
                <c:pt idx="59">
                  <c:v>378.46836847946724</c:v>
                </c:pt>
                <c:pt idx="61">
                  <c:v>1241.4131501472032</c:v>
                </c:pt>
                <c:pt idx="63">
                  <c:v>714.83467381590708</c:v>
                </c:pt>
              </c:numCache>
            </c:numRef>
          </c:yVal>
          <c:smooth val="0"/>
        </c:ser>
        <c:dLbls>
          <c:showLegendKey val="0"/>
          <c:showVal val="0"/>
          <c:showCatName val="0"/>
          <c:showSerName val="0"/>
          <c:showPercent val="0"/>
          <c:showBubbleSize val="0"/>
        </c:dLbls>
        <c:axId val="154005888"/>
        <c:axId val="154007424"/>
      </c:scatterChart>
      <c:valAx>
        <c:axId val="154005888"/>
        <c:scaling>
          <c:orientation val="minMax"/>
        </c:scaling>
        <c:delete val="0"/>
        <c:axPos val="b"/>
        <c:numFmt formatCode="General" sourceLinked="1"/>
        <c:majorTickMark val="out"/>
        <c:minorTickMark val="none"/>
        <c:tickLblPos val="nextTo"/>
        <c:crossAx val="154007424"/>
        <c:crosses val="autoZero"/>
        <c:crossBetween val="midCat"/>
      </c:valAx>
      <c:valAx>
        <c:axId val="154007424"/>
        <c:scaling>
          <c:orientation val="minMax"/>
        </c:scaling>
        <c:delete val="0"/>
        <c:axPos val="l"/>
        <c:majorGridlines/>
        <c:numFmt formatCode="General" sourceLinked="1"/>
        <c:majorTickMark val="out"/>
        <c:minorTickMark val="none"/>
        <c:tickLblPos val="nextTo"/>
        <c:crossAx val="154005888"/>
        <c:crosses val="autoZero"/>
        <c:crossBetween val="midCat"/>
      </c:valAx>
    </c:plotArea>
    <c:legend>
      <c:legendPos val="r"/>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sv-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Regressionsanalys för kostnader i barnomsorgen </a:t>
            </a:r>
            <a:endParaRPr lang="sv-FI">
              <a:effectLst/>
            </a:endParaRPr>
          </a:p>
          <a:p>
            <a:pPr>
              <a:defRPr/>
            </a:pPr>
            <a:r>
              <a:rPr lang="en-US" sz="1800" b="1" i="0" baseline="0">
                <a:effectLst/>
              </a:rPr>
              <a:t>mot invånare i 0-6 per kommun. 4 år</a:t>
            </a:r>
            <a:endParaRPr lang="sv-FI">
              <a:effectLst/>
            </a:endParaRPr>
          </a:p>
        </c:rich>
      </c:tx>
      <c:overlay val="0"/>
    </c:title>
    <c:autoTitleDeleted val="0"/>
    <c:plotArea>
      <c:layout>
        <c:manualLayout>
          <c:layoutTarget val="inner"/>
          <c:xMode val="edge"/>
          <c:yMode val="edge"/>
          <c:x val="0.10262358191631424"/>
          <c:y val="0.22513723053996615"/>
          <c:w val="0.86406719202092797"/>
          <c:h val="0.57946685178184065"/>
        </c:manualLayout>
      </c:layout>
      <c:scatterChart>
        <c:scatterStyle val="lineMarker"/>
        <c:varyColors val="0"/>
        <c:ser>
          <c:idx val="0"/>
          <c:order val="0"/>
          <c:tx>
            <c:strRef>
              <c:f>'9. Regression. Soc, äldre, barn'!$H$61</c:f>
              <c:strCache>
                <c:ptCount val="1"/>
                <c:pt idx="0">
                  <c:v>Kost Barn/inv</c:v>
                </c:pt>
              </c:strCache>
            </c:strRef>
          </c:tx>
          <c:spPr>
            <a:ln w="28575">
              <a:noFill/>
            </a:ln>
          </c:spPr>
          <c:trendline>
            <c:trendlineType val="log"/>
            <c:dispRSqr val="1"/>
            <c:dispEq val="1"/>
            <c:trendlineLbl>
              <c:layout>
                <c:manualLayout>
                  <c:x val="-0.12242421982910778"/>
                  <c:y val="-0.15715741457846227"/>
                </c:manualLayout>
              </c:layout>
              <c:numFmt formatCode="General" sourceLinked="0"/>
              <c:txPr>
                <a:bodyPr/>
                <a:lstStyle/>
                <a:p>
                  <a:pPr>
                    <a:defRPr sz="1400"/>
                  </a:pPr>
                  <a:endParaRPr lang="sv-FI"/>
                </a:p>
              </c:txPr>
            </c:trendlineLbl>
          </c:trendline>
          <c:xVal>
            <c:numRef>
              <c:f>'9. Regression. Soc, äldre, barn'!$C$62:$C$125</c:f>
              <c:numCache>
                <c:formatCode>General</c:formatCode>
                <c:ptCount val="64"/>
                <c:pt idx="0">
                  <c:v>15</c:v>
                </c:pt>
                <c:pt idx="1">
                  <c:v>64</c:v>
                </c:pt>
                <c:pt idx="2">
                  <c:v>214</c:v>
                </c:pt>
                <c:pt idx="3">
                  <c:v>25</c:v>
                </c:pt>
                <c:pt idx="4">
                  <c:v>33</c:v>
                </c:pt>
                <c:pt idx="5">
                  <c:v>127</c:v>
                </c:pt>
                <c:pt idx="6">
                  <c:v>471</c:v>
                </c:pt>
                <c:pt idx="7">
                  <c:v>12</c:v>
                </c:pt>
                <c:pt idx="8">
                  <c:v>8</c:v>
                </c:pt>
                <c:pt idx="9">
                  <c:v>173</c:v>
                </c:pt>
                <c:pt idx="10">
                  <c:v>36</c:v>
                </c:pt>
                <c:pt idx="11">
                  <c:v>144</c:v>
                </c:pt>
                <c:pt idx="12">
                  <c:v>0</c:v>
                </c:pt>
                <c:pt idx="13">
                  <c:v>71</c:v>
                </c:pt>
                <c:pt idx="14">
                  <c:v>26</c:v>
                </c:pt>
                <c:pt idx="15">
                  <c:v>717</c:v>
                </c:pt>
                <c:pt idx="16">
                  <c:v>17</c:v>
                </c:pt>
                <c:pt idx="17">
                  <c:v>69</c:v>
                </c:pt>
                <c:pt idx="18">
                  <c:v>223</c:v>
                </c:pt>
                <c:pt idx="19">
                  <c:v>24</c:v>
                </c:pt>
                <c:pt idx="20">
                  <c:v>42</c:v>
                </c:pt>
                <c:pt idx="21">
                  <c:v>128</c:v>
                </c:pt>
                <c:pt idx="22">
                  <c:v>480</c:v>
                </c:pt>
                <c:pt idx="23">
                  <c:v>13</c:v>
                </c:pt>
                <c:pt idx="24">
                  <c:v>8</c:v>
                </c:pt>
                <c:pt idx="25">
                  <c:v>159</c:v>
                </c:pt>
                <c:pt idx="26">
                  <c:v>25</c:v>
                </c:pt>
                <c:pt idx="27">
                  <c:v>147</c:v>
                </c:pt>
                <c:pt idx="28">
                  <c:v>1</c:v>
                </c:pt>
                <c:pt idx="29">
                  <c:v>75</c:v>
                </c:pt>
                <c:pt idx="30">
                  <c:v>29</c:v>
                </c:pt>
                <c:pt idx="31">
                  <c:v>726</c:v>
                </c:pt>
                <c:pt idx="32">
                  <c:v>18</c:v>
                </c:pt>
                <c:pt idx="33">
                  <c:v>69</c:v>
                </c:pt>
                <c:pt idx="34">
                  <c:v>226</c:v>
                </c:pt>
                <c:pt idx="35">
                  <c:v>24</c:v>
                </c:pt>
                <c:pt idx="36">
                  <c:v>38</c:v>
                </c:pt>
                <c:pt idx="37">
                  <c:v>136</c:v>
                </c:pt>
                <c:pt idx="38">
                  <c:v>448</c:v>
                </c:pt>
                <c:pt idx="39">
                  <c:v>17</c:v>
                </c:pt>
                <c:pt idx="40">
                  <c:v>11</c:v>
                </c:pt>
                <c:pt idx="41">
                  <c:v>155</c:v>
                </c:pt>
                <c:pt idx="42">
                  <c:v>26</c:v>
                </c:pt>
                <c:pt idx="43">
                  <c:v>135</c:v>
                </c:pt>
                <c:pt idx="44">
                  <c:v>1</c:v>
                </c:pt>
                <c:pt idx="45">
                  <c:v>83</c:v>
                </c:pt>
                <c:pt idx="46">
                  <c:v>29</c:v>
                </c:pt>
                <c:pt idx="47">
                  <c:v>714</c:v>
                </c:pt>
                <c:pt idx="48">
                  <c:v>22</c:v>
                </c:pt>
                <c:pt idx="49">
                  <c:v>63</c:v>
                </c:pt>
                <c:pt idx="50">
                  <c:v>220</c:v>
                </c:pt>
                <c:pt idx="51">
                  <c:v>30</c:v>
                </c:pt>
                <c:pt idx="52">
                  <c:v>34</c:v>
                </c:pt>
                <c:pt idx="53">
                  <c:v>122</c:v>
                </c:pt>
                <c:pt idx="54">
                  <c:v>450</c:v>
                </c:pt>
                <c:pt idx="55">
                  <c:v>17</c:v>
                </c:pt>
                <c:pt idx="56">
                  <c:v>11</c:v>
                </c:pt>
                <c:pt idx="57">
                  <c:v>149</c:v>
                </c:pt>
                <c:pt idx="58">
                  <c:v>30</c:v>
                </c:pt>
                <c:pt idx="59">
                  <c:v>136</c:v>
                </c:pt>
                <c:pt idx="60">
                  <c:v>2</c:v>
                </c:pt>
                <c:pt idx="61">
                  <c:v>73</c:v>
                </c:pt>
                <c:pt idx="62">
                  <c:v>27</c:v>
                </c:pt>
                <c:pt idx="63">
                  <c:v>711</c:v>
                </c:pt>
              </c:numCache>
            </c:numRef>
          </c:xVal>
          <c:yVal>
            <c:numRef>
              <c:f>'9. Regression. Soc, äldre, barn'!$H$62:$H$125</c:f>
              <c:numCache>
                <c:formatCode>#,##0</c:formatCode>
                <c:ptCount val="64"/>
                <c:pt idx="0">
                  <c:v>16533.333333333332</c:v>
                </c:pt>
                <c:pt idx="1">
                  <c:v>8656.25</c:v>
                </c:pt>
                <c:pt idx="2">
                  <c:v>9271.0280373831774</c:v>
                </c:pt>
                <c:pt idx="3">
                  <c:v>12920</c:v>
                </c:pt>
                <c:pt idx="4">
                  <c:v>8636.363636363636</c:v>
                </c:pt>
                <c:pt idx="5">
                  <c:v>8944.8818897637793</c:v>
                </c:pt>
                <c:pt idx="6">
                  <c:v>9110.4033970276014</c:v>
                </c:pt>
                <c:pt idx="7">
                  <c:v>14166.666666666666</c:v>
                </c:pt>
                <c:pt idx="8">
                  <c:v>16000</c:v>
                </c:pt>
                <c:pt idx="9">
                  <c:v>10560.693641618496</c:v>
                </c:pt>
                <c:pt idx="10">
                  <c:v>8888.8888888888887</c:v>
                </c:pt>
                <c:pt idx="11">
                  <c:v>9395.8333333333339</c:v>
                </c:pt>
                <c:pt idx="13">
                  <c:v>11140.845070422536</c:v>
                </c:pt>
                <c:pt idx="14">
                  <c:v>11615.384615384615</c:v>
                </c:pt>
                <c:pt idx="15">
                  <c:v>9114.3654114365418</c:v>
                </c:pt>
                <c:pt idx="16">
                  <c:v>16352.941176470587</c:v>
                </c:pt>
                <c:pt idx="17">
                  <c:v>7492.753623188406</c:v>
                </c:pt>
                <c:pt idx="18">
                  <c:v>8852.0179372197308</c:v>
                </c:pt>
                <c:pt idx="19">
                  <c:v>12916.666666666666</c:v>
                </c:pt>
                <c:pt idx="20">
                  <c:v>8571.4285714285706</c:v>
                </c:pt>
                <c:pt idx="21">
                  <c:v>7273.4375</c:v>
                </c:pt>
                <c:pt idx="22">
                  <c:v>8558.3333333333339</c:v>
                </c:pt>
                <c:pt idx="23">
                  <c:v>14692.307692307691</c:v>
                </c:pt>
                <c:pt idx="24">
                  <c:v>16125</c:v>
                </c:pt>
                <c:pt idx="25">
                  <c:v>9628.9308176100621</c:v>
                </c:pt>
                <c:pt idx="26">
                  <c:v>12880</c:v>
                </c:pt>
                <c:pt idx="27">
                  <c:v>8700.6802721088443</c:v>
                </c:pt>
                <c:pt idx="28">
                  <c:v>15000</c:v>
                </c:pt>
                <c:pt idx="29">
                  <c:v>12013.333333333334</c:v>
                </c:pt>
                <c:pt idx="30">
                  <c:v>11620.689655172413</c:v>
                </c:pt>
                <c:pt idx="31">
                  <c:v>9148.7603305785124</c:v>
                </c:pt>
                <c:pt idx="32">
                  <c:v>13166.666666666666</c:v>
                </c:pt>
                <c:pt idx="33">
                  <c:v>6869.565217391304</c:v>
                </c:pt>
                <c:pt idx="34">
                  <c:v>7960.1769911504425</c:v>
                </c:pt>
                <c:pt idx="35">
                  <c:v>10458.333333333334</c:v>
                </c:pt>
                <c:pt idx="36">
                  <c:v>6868.4210526315792</c:v>
                </c:pt>
                <c:pt idx="37">
                  <c:v>6625</c:v>
                </c:pt>
                <c:pt idx="38">
                  <c:v>8285.7142857142862</c:v>
                </c:pt>
                <c:pt idx="39">
                  <c:v>8411.7647058823532</c:v>
                </c:pt>
                <c:pt idx="40">
                  <c:v>10909.09090909091</c:v>
                </c:pt>
                <c:pt idx="41">
                  <c:v>11664.516129032258</c:v>
                </c:pt>
                <c:pt idx="42">
                  <c:v>10230.76923076923</c:v>
                </c:pt>
                <c:pt idx="43">
                  <c:v>8311.1111111111113</c:v>
                </c:pt>
                <c:pt idx="45">
                  <c:v>9457.8313253012057</c:v>
                </c:pt>
                <c:pt idx="46">
                  <c:v>10620.689655172413</c:v>
                </c:pt>
                <c:pt idx="47">
                  <c:v>8868.347338935575</c:v>
                </c:pt>
                <c:pt idx="48">
                  <c:v>11000</c:v>
                </c:pt>
                <c:pt idx="49">
                  <c:v>6936.5079365079364</c:v>
                </c:pt>
                <c:pt idx="50">
                  <c:v>7609.090909090909</c:v>
                </c:pt>
                <c:pt idx="51">
                  <c:v>9066.6666666666661</c:v>
                </c:pt>
                <c:pt idx="52">
                  <c:v>8382.3529411764703</c:v>
                </c:pt>
                <c:pt idx="53">
                  <c:v>7385.2459016393441</c:v>
                </c:pt>
                <c:pt idx="54">
                  <c:v>7677.7777777777774</c:v>
                </c:pt>
                <c:pt idx="55">
                  <c:v>8058.8235294117649</c:v>
                </c:pt>
                <c:pt idx="56">
                  <c:v>11636.363636363636</c:v>
                </c:pt>
                <c:pt idx="57">
                  <c:v>9469.79865771812</c:v>
                </c:pt>
                <c:pt idx="58">
                  <c:v>7933.333333333333</c:v>
                </c:pt>
                <c:pt idx="59">
                  <c:v>7014.7058823529414</c:v>
                </c:pt>
                <c:pt idx="60">
                  <c:v>7500</c:v>
                </c:pt>
                <c:pt idx="61">
                  <c:v>9876.7123287671238</c:v>
                </c:pt>
                <c:pt idx="62">
                  <c:v>11296.296296296296</c:v>
                </c:pt>
                <c:pt idx="63">
                  <c:v>9037.9746835443038</c:v>
                </c:pt>
              </c:numCache>
            </c:numRef>
          </c:yVal>
          <c:smooth val="0"/>
        </c:ser>
        <c:dLbls>
          <c:showLegendKey val="0"/>
          <c:showVal val="0"/>
          <c:showCatName val="0"/>
          <c:showSerName val="0"/>
          <c:showPercent val="0"/>
          <c:showBubbleSize val="0"/>
        </c:dLbls>
        <c:axId val="154463232"/>
        <c:axId val="151598208"/>
      </c:scatterChart>
      <c:valAx>
        <c:axId val="154463232"/>
        <c:scaling>
          <c:orientation val="minMax"/>
        </c:scaling>
        <c:delete val="0"/>
        <c:axPos val="b"/>
        <c:title>
          <c:tx>
            <c:rich>
              <a:bodyPr/>
              <a:lstStyle/>
              <a:p>
                <a:pPr>
                  <a:defRPr sz="1200"/>
                </a:pPr>
                <a:r>
                  <a:rPr lang="sv-FI" sz="1200"/>
                  <a:t>Invånare i åldersgruppen 0-6</a:t>
                </a:r>
                <a:endParaRPr lang="sv-FI" sz="1200" baseline="0"/>
              </a:p>
              <a:p>
                <a:pPr>
                  <a:defRPr sz="1200"/>
                </a:pPr>
                <a:endParaRPr lang="sv-FI" sz="1200"/>
              </a:p>
            </c:rich>
          </c:tx>
          <c:layout>
            <c:manualLayout>
              <c:xMode val="edge"/>
              <c:yMode val="edge"/>
              <c:x val="0.39858521433484007"/>
              <c:y val="0.8942416395356092"/>
            </c:manualLayout>
          </c:layout>
          <c:overlay val="0"/>
        </c:title>
        <c:numFmt formatCode="General" sourceLinked="1"/>
        <c:majorTickMark val="none"/>
        <c:minorTickMark val="none"/>
        <c:tickLblPos val="nextTo"/>
        <c:txPr>
          <a:bodyPr/>
          <a:lstStyle/>
          <a:p>
            <a:pPr>
              <a:defRPr sz="1200"/>
            </a:pPr>
            <a:endParaRPr lang="sv-FI"/>
          </a:p>
        </c:txPr>
        <c:crossAx val="151598208"/>
        <c:crosses val="autoZero"/>
        <c:crossBetween val="midCat"/>
      </c:valAx>
      <c:valAx>
        <c:axId val="151598208"/>
        <c:scaling>
          <c:orientation val="minMax"/>
        </c:scaling>
        <c:delete val="0"/>
        <c:axPos val="l"/>
        <c:majorGridlines/>
        <c:title>
          <c:tx>
            <c:rich>
              <a:bodyPr rot="0" vert="horz"/>
              <a:lstStyle/>
              <a:p>
                <a:pPr>
                  <a:defRPr/>
                </a:pPr>
                <a:r>
                  <a:rPr lang="sv-FI"/>
                  <a:t>Kostnad euro/invånare i åldersgruppen 0-6</a:t>
                </a:r>
              </a:p>
            </c:rich>
          </c:tx>
          <c:layout>
            <c:manualLayout>
              <c:xMode val="edge"/>
              <c:yMode val="edge"/>
              <c:x val="1.1588696940323294E-2"/>
              <c:y val="0.1183421853378505"/>
            </c:manualLayout>
          </c:layout>
          <c:overlay val="0"/>
        </c:title>
        <c:numFmt formatCode="#,##0" sourceLinked="1"/>
        <c:majorTickMark val="none"/>
        <c:minorTickMark val="none"/>
        <c:tickLblPos val="nextTo"/>
        <c:txPr>
          <a:bodyPr/>
          <a:lstStyle/>
          <a:p>
            <a:pPr>
              <a:defRPr sz="1200"/>
            </a:pPr>
            <a:endParaRPr lang="sv-FI"/>
          </a:p>
        </c:txPr>
        <c:crossAx val="154463232"/>
        <c:crosses val="autoZero"/>
        <c:crossBetween val="midCat"/>
      </c:valAx>
    </c:plotArea>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sv-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og"/>
            <c:dispRSqr val="1"/>
            <c:dispEq val="1"/>
            <c:trendlineLbl>
              <c:layout>
                <c:manualLayout>
                  <c:x val="-7.1609798775153102E-4"/>
                  <c:y val="0.25582822980460773"/>
                </c:manualLayout>
              </c:layout>
              <c:numFmt formatCode="General" sourceLinked="0"/>
            </c:trendlineLbl>
          </c:trendline>
          <c:xVal>
            <c:numRef>
              <c:f>'provräknignar invkm2'!$C$86:$C$100</c:f>
              <c:numCache>
                <c:formatCode>General</c:formatCode>
                <c:ptCount val="15"/>
                <c:pt idx="0">
                  <c:v>108</c:v>
                </c:pt>
                <c:pt idx="1">
                  <c:v>107.68999999999994</c:v>
                </c:pt>
                <c:pt idx="2">
                  <c:v>123.24999999999999</c:v>
                </c:pt>
                <c:pt idx="3">
                  <c:v>134.77999999999997</c:v>
                </c:pt>
                <c:pt idx="4">
                  <c:v>84.340000000000032</c:v>
                </c:pt>
                <c:pt idx="5">
                  <c:v>138.16999999999985</c:v>
                </c:pt>
                <c:pt idx="6">
                  <c:v>142.52999999999997</c:v>
                </c:pt>
                <c:pt idx="7">
                  <c:v>99.259999999999991</c:v>
                </c:pt>
                <c:pt idx="8">
                  <c:v>63.550000000000182</c:v>
                </c:pt>
                <c:pt idx="9">
                  <c:v>113.08000000000004</c:v>
                </c:pt>
                <c:pt idx="10">
                  <c:v>36.26</c:v>
                </c:pt>
                <c:pt idx="11">
                  <c:v>151.91999999999996</c:v>
                </c:pt>
                <c:pt idx="12">
                  <c:v>28.04000000000002</c:v>
                </c:pt>
                <c:pt idx="13">
                  <c:v>108.12</c:v>
                </c:pt>
                <c:pt idx="14">
                  <c:v>101.59000000000003</c:v>
                </c:pt>
              </c:numCache>
            </c:numRef>
          </c:xVal>
          <c:yVal>
            <c:numRef>
              <c:f>'provräknignar invkm2'!$D$86:$D$100</c:f>
              <c:numCache>
                <c:formatCode>General</c:formatCode>
                <c:ptCount val="15"/>
                <c:pt idx="0">
                  <c:v>1479.84453781513</c:v>
                </c:pt>
                <c:pt idx="1">
                  <c:v>1242.0625</c:v>
                </c:pt>
                <c:pt idx="2">
                  <c:v>1427.5827736072699</c:v>
                </c:pt>
                <c:pt idx="3">
                  <c:v>1711.0276816608996</c:v>
                </c:pt>
                <c:pt idx="4">
                  <c:v>1649.7575757575758</c:v>
                </c:pt>
                <c:pt idx="5">
                  <c:v>1452.3074901445466</c:v>
                </c:pt>
                <c:pt idx="6">
                  <c:v>1458.2493685419058</c:v>
                </c:pt>
                <c:pt idx="7">
                  <c:v>1485.2130177514794</c:v>
                </c:pt>
                <c:pt idx="8">
                  <c:v>2024.4489795918366</c:v>
                </c:pt>
                <c:pt idx="9">
                  <c:v>1812.4333510355816</c:v>
                </c:pt>
                <c:pt idx="10">
                  <c:v>1799.5102040816328</c:v>
                </c:pt>
                <c:pt idx="11">
                  <c:v>1382.3532638507954</c:v>
                </c:pt>
                <c:pt idx="12">
                  <c:v>863.10891089108907</c:v>
                </c:pt>
                <c:pt idx="13">
                  <c:v>1386.3420289855073</c:v>
                </c:pt>
                <c:pt idx="14">
                  <c:v>1749.9383886255923</c:v>
                </c:pt>
              </c:numCache>
            </c:numRef>
          </c:yVal>
          <c:smooth val="0"/>
        </c:ser>
        <c:dLbls>
          <c:showLegendKey val="0"/>
          <c:showVal val="0"/>
          <c:showCatName val="0"/>
          <c:showSerName val="0"/>
          <c:showPercent val="0"/>
          <c:showBubbleSize val="0"/>
        </c:dLbls>
        <c:axId val="135153920"/>
        <c:axId val="135155712"/>
      </c:scatterChart>
      <c:valAx>
        <c:axId val="135153920"/>
        <c:scaling>
          <c:orientation val="minMax"/>
        </c:scaling>
        <c:delete val="0"/>
        <c:axPos val="b"/>
        <c:numFmt formatCode="General" sourceLinked="1"/>
        <c:majorTickMark val="out"/>
        <c:minorTickMark val="none"/>
        <c:tickLblPos val="nextTo"/>
        <c:crossAx val="135155712"/>
        <c:crosses val="autoZero"/>
        <c:crossBetween val="midCat"/>
      </c:valAx>
      <c:valAx>
        <c:axId val="135155712"/>
        <c:scaling>
          <c:orientation val="minMax"/>
        </c:scaling>
        <c:delete val="0"/>
        <c:axPos val="l"/>
        <c:majorGridlines/>
        <c:numFmt formatCode="General" sourceLinked="1"/>
        <c:majorTickMark val="out"/>
        <c:minorTickMark val="none"/>
        <c:tickLblPos val="nextTo"/>
        <c:crossAx val="13515392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sv-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Regressionsanalys för kostnader i äldreomsorgen</a:t>
            </a:r>
          </a:p>
          <a:p>
            <a:pPr>
              <a:defRPr/>
            </a:pPr>
            <a:r>
              <a:rPr lang="en-US"/>
              <a:t>mot</a:t>
            </a:r>
            <a:r>
              <a:rPr lang="en-US" baseline="0"/>
              <a:t> invånare i 65+. 4 års uppgifter</a:t>
            </a:r>
            <a:endParaRPr lang="en-US"/>
          </a:p>
        </c:rich>
      </c:tx>
      <c:layout>
        <c:manualLayout>
          <c:xMode val="edge"/>
          <c:yMode val="edge"/>
          <c:x val="0.28867683992367793"/>
          <c:y val="3.1148006374304611E-2"/>
        </c:manualLayout>
      </c:layout>
      <c:overlay val="0"/>
    </c:title>
    <c:autoTitleDeleted val="0"/>
    <c:plotArea>
      <c:layout>
        <c:manualLayout>
          <c:layoutTarget val="inner"/>
          <c:xMode val="edge"/>
          <c:yMode val="edge"/>
          <c:x val="8.6824727890517803E-2"/>
          <c:y val="0.16625902428665648"/>
          <c:w val="0.87840974498658808"/>
          <c:h val="0.7136739952366441"/>
        </c:manualLayout>
      </c:layout>
      <c:scatterChart>
        <c:scatterStyle val="lineMarker"/>
        <c:varyColors val="0"/>
        <c:ser>
          <c:idx val="0"/>
          <c:order val="0"/>
          <c:tx>
            <c:strRef>
              <c:f>'9. Regression. Soc, äldre, barn'!$G$61</c:f>
              <c:strCache>
                <c:ptCount val="1"/>
                <c:pt idx="0">
                  <c:v>Kost Äldre/inv</c:v>
                </c:pt>
              </c:strCache>
            </c:strRef>
          </c:tx>
          <c:spPr>
            <a:ln w="28575">
              <a:noFill/>
            </a:ln>
          </c:spPr>
          <c:trendline>
            <c:trendlineType val="log"/>
            <c:dispRSqr val="1"/>
            <c:dispEq val="1"/>
            <c:trendlineLbl>
              <c:layout>
                <c:manualLayout>
                  <c:x val="-4.8547659544437155E-2"/>
                  <c:y val="0.13689528363182485"/>
                </c:manualLayout>
              </c:layout>
              <c:numFmt formatCode="General" sourceLinked="0"/>
              <c:txPr>
                <a:bodyPr/>
                <a:lstStyle/>
                <a:p>
                  <a:pPr>
                    <a:defRPr sz="1200"/>
                  </a:pPr>
                  <a:endParaRPr lang="sv-FI"/>
                </a:p>
              </c:txPr>
            </c:trendlineLbl>
          </c:trendline>
          <c:xVal>
            <c:numRef>
              <c:f>'9. Regression. Soc, äldre, barn'!$D$62:$D$125</c:f>
              <c:numCache>
                <c:formatCode>General</c:formatCode>
                <c:ptCount val="64"/>
                <c:pt idx="0">
                  <c:v>140</c:v>
                </c:pt>
                <c:pt idx="1">
                  <c:v>210</c:v>
                </c:pt>
                <c:pt idx="2">
                  <c:v>471</c:v>
                </c:pt>
                <c:pt idx="3">
                  <c:v>158</c:v>
                </c:pt>
                <c:pt idx="4">
                  <c:v>112</c:v>
                </c:pt>
                <c:pt idx="5">
                  <c:v>311</c:v>
                </c:pt>
                <c:pt idx="6">
                  <c:v>608</c:v>
                </c:pt>
                <c:pt idx="7">
                  <c:v>97</c:v>
                </c:pt>
                <c:pt idx="8">
                  <c:v>85</c:v>
                </c:pt>
                <c:pt idx="9">
                  <c:v>305</c:v>
                </c:pt>
                <c:pt idx="10">
                  <c:v>102</c:v>
                </c:pt>
                <c:pt idx="11">
                  <c:v>383</c:v>
                </c:pt>
                <c:pt idx="12">
                  <c:v>35</c:v>
                </c:pt>
                <c:pt idx="13">
                  <c:v>228</c:v>
                </c:pt>
                <c:pt idx="14">
                  <c:v>125</c:v>
                </c:pt>
                <c:pt idx="15">
                  <c:v>2335</c:v>
                </c:pt>
                <c:pt idx="16">
                  <c:v>136</c:v>
                </c:pt>
                <c:pt idx="17">
                  <c:v>209</c:v>
                </c:pt>
                <c:pt idx="18">
                  <c:v>468</c:v>
                </c:pt>
                <c:pt idx="19">
                  <c:v>152</c:v>
                </c:pt>
                <c:pt idx="20">
                  <c:v>111</c:v>
                </c:pt>
                <c:pt idx="21">
                  <c:v>297</c:v>
                </c:pt>
                <c:pt idx="22">
                  <c:v>573</c:v>
                </c:pt>
                <c:pt idx="23">
                  <c:v>96</c:v>
                </c:pt>
                <c:pt idx="24">
                  <c:v>76</c:v>
                </c:pt>
                <c:pt idx="25">
                  <c:v>292</c:v>
                </c:pt>
                <c:pt idx="26">
                  <c:v>98</c:v>
                </c:pt>
                <c:pt idx="27">
                  <c:v>378</c:v>
                </c:pt>
                <c:pt idx="28">
                  <c:v>33</c:v>
                </c:pt>
                <c:pt idx="29">
                  <c:v>224</c:v>
                </c:pt>
                <c:pt idx="30">
                  <c:v>121</c:v>
                </c:pt>
                <c:pt idx="31">
                  <c:v>2263</c:v>
                </c:pt>
                <c:pt idx="32">
                  <c:v>125</c:v>
                </c:pt>
                <c:pt idx="33">
                  <c:v>205</c:v>
                </c:pt>
                <c:pt idx="34">
                  <c:v>452</c:v>
                </c:pt>
                <c:pt idx="35">
                  <c:v>154</c:v>
                </c:pt>
                <c:pt idx="36">
                  <c:v>113</c:v>
                </c:pt>
                <c:pt idx="37">
                  <c:v>286</c:v>
                </c:pt>
                <c:pt idx="38">
                  <c:v>551</c:v>
                </c:pt>
                <c:pt idx="39">
                  <c:v>101</c:v>
                </c:pt>
                <c:pt idx="40">
                  <c:v>72</c:v>
                </c:pt>
                <c:pt idx="41">
                  <c:v>282</c:v>
                </c:pt>
                <c:pt idx="42">
                  <c:v>93</c:v>
                </c:pt>
                <c:pt idx="43">
                  <c:v>378</c:v>
                </c:pt>
                <c:pt idx="44">
                  <c:v>37</c:v>
                </c:pt>
                <c:pt idx="45">
                  <c:v>220</c:v>
                </c:pt>
                <c:pt idx="46">
                  <c:v>126</c:v>
                </c:pt>
                <c:pt idx="47">
                  <c:v>2163</c:v>
                </c:pt>
                <c:pt idx="48">
                  <c:v>126</c:v>
                </c:pt>
                <c:pt idx="49">
                  <c:v>195</c:v>
                </c:pt>
                <c:pt idx="50">
                  <c:v>455</c:v>
                </c:pt>
                <c:pt idx="51">
                  <c:v>155</c:v>
                </c:pt>
                <c:pt idx="52">
                  <c:v>114</c:v>
                </c:pt>
                <c:pt idx="53">
                  <c:v>273</c:v>
                </c:pt>
                <c:pt idx="54">
                  <c:v>523</c:v>
                </c:pt>
                <c:pt idx="55">
                  <c:v>102</c:v>
                </c:pt>
                <c:pt idx="56">
                  <c:v>65</c:v>
                </c:pt>
                <c:pt idx="57">
                  <c:v>268</c:v>
                </c:pt>
                <c:pt idx="58">
                  <c:v>86</c:v>
                </c:pt>
                <c:pt idx="59">
                  <c:v>363</c:v>
                </c:pt>
                <c:pt idx="60">
                  <c:v>35</c:v>
                </c:pt>
                <c:pt idx="61">
                  <c:v>201</c:v>
                </c:pt>
                <c:pt idx="62">
                  <c:v>122</c:v>
                </c:pt>
                <c:pt idx="63">
                  <c:v>2062</c:v>
                </c:pt>
              </c:numCache>
            </c:numRef>
          </c:xVal>
          <c:yVal>
            <c:numRef>
              <c:f>'9. Regression. Soc, äldre, barn'!$G$62:$G$125</c:f>
              <c:numCache>
                <c:formatCode>#,##0</c:formatCode>
                <c:ptCount val="64"/>
                <c:pt idx="0">
                  <c:v>3685.7142857142858</c:v>
                </c:pt>
                <c:pt idx="1">
                  <c:v>4809.5238095238092</c:v>
                </c:pt>
                <c:pt idx="2">
                  <c:v>4866.2420382165601</c:v>
                </c:pt>
                <c:pt idx="3">
                  <c:v>6088.6075949367087</c:v>
                </c:pt>
                <c:pt idx="4">
                  <c:v>4678.5714285714284</c:v>
                </c:pt>
                <c:pt idx="5">
                  <c:v>4575.5627009646305</c:v>
                </c:pt>
                <c:pt idx="6">
                  <c:v>4557.5657894736842</c:v>
                </c:pt>
                <c:pt idx="7">
                  <c:v>5927.8350515463917</c:v>
                </c:pt>
                <c:pt idx="8">
                  <c:v>7823.5294117647063</c:v>
                </c:pt>
                <c:pt idx="9">
                  <c:v>2042.622950819672</c:v>
                </c:pt>
                <c:pt idx="10">
                  <c:v>4205.8823529411766</c:v>
                </c:pt>
                <c:pt idx="11">
                  <c:v>4859.0078328981726</c:v>
                </c:pt>
                <c:pt idx="12">
                  <c:v>7942.8571428571431</c:v>
                </c:pt>
                <c:pt idx="13">
                  <c:v>5324.5614035087719</c:v>
                </c:pt>
                <c:pt idx="14">
                  <c:v>7696</c:v>
                </c:pt>
                <c:pt idx="15">
                  <c:v>4671.0920770877947</c:v>
                </c:pt>
                <c:pt idx="16">
                  <c:v>4455.8823529411766</c:v>
                </c:pt>
                <c:pt idx="17">
                  <c:v>5038.2775119617227</c:v>
                </c:pt>
                <c:pt idx="18">
                  <c:v>4893.1623931623935</c:v>
                </c:pt>
                <c:pt idx="19">
                  <c:v>6697.3684210526317</c:v>
                </c:pt>
                <c:pt idx="20">
                  <c:v>4792.7927927927931</c:v>
                </c:pt>
                <c:pt idx="21">
                  <c:v>4878.787878787879</c:v>
                </c:pt>
                <c:pt idx="22">
                  <c:v>4966.8411867364748</c:v>
                </c:pt>
                <c:pt idx="23">
                  <c:v>7187.5</c:v>
                </c:pt>
                <c:pt idx="24">
                  <c:v>9013.1578947368416</c:v>
                </c:pt>
                <c:pt idx="25">
                  <c:v>2585.6164383561645</c:v>
                </c:pt>
                <c:pt idx="26">
                  <c:v>3765.3061224489797</c:v>
                </c:pt>
                <c:pt idx="27">
                  <c:v>5071.4285714285716</c:v>
                </c:pt>
                <c:pt idx="28">
                  <c:v>10969.69696969697</c:v>
                </c:pt>
                <c:pt idx="29">
                  <c:v>6504.4642857142853</c:v>
                </c:pt>
                <c:pt idx="30">
                  <c:v>5214.8760330578516</c:v>
                </c:pt>
                <c:pt idx="31">
                  <c:v>4899.6906760936808</c:v>
                </c:pt>
                <c:pt idx="32">
                  <c:v>4000</c:v>
                </c:pt>
                <c:pt idx="33">
                  <c:v>5756.0975609756097</c:v>
                </c:pt>
                <c:pt idx="34">
                  <c:v>5201.3274336283184</c:v>
                </c:pt>
                <c:pt idx="35">
                  <c:v>6142.8571428571431</c:v>
                </c:pt>
                <c:pt idx="36">
                  <c:v>3610.6194690265488</c:v>
                </c:pt>
                <c:pt idx="37">
                  <c:v>4555.9440559440563</c:v>
                </c:pt>
                <c:pt idx="38">
                  <c:v>5145.1905626134303</c:v>
                </c:pt>
                <c:pt idx="39">
                  <c:v>6217.8217821782182</c:v>
                </c:pt>
                <c:pt idx="40">
                  <c:v>9555.5555555555547</c:v>
                </c:pt>
                <c:pt idx="41">
                  <c:v>3723.4042553191489</c:v>
                </c:pt>
                <c:pt idx="42">
                  <c:v>2849.4623655913979</c:v>
                </c:pt>
                <c:pt idx="43">
                  <c:v>4452.3809523809523</c:v>
                </c:pt>
                <c:pt idx="44">
                  <c:v>7540.5405405405409</c:v>
                </c:pt>
                <c:pt idx="45">
                  <c:v>5045.454545454545</c:v>
                </c:pt>
                <c:pt idx="46">
                  <c:v>5460.3174603174602</c:v>
                </c:pt>
                <c:pt idx="47">
                  <c:v>5080.9061488673142</c:v>
                </c:pt>
                <c:pt idx="48">
                  <c:v>3944.4444444444443</c:v>
                </c:pt>
                <c:pt idx="49">
                  <c:v>4728.2051282051279</c:v>
                </c:pt>
                <c:pt idx="50">
                  <c:v>4701.0989010989015</c:v>
                </c:pt>
                <c:pt idx="51">
                  <c:v>6283.8709677419356</c:v>
                </c:pt>
                <c:pt idx="52">
                  <c:v>4991.2280701754389</c:v>
                </c:pt>
                <c:pt idx="53">
                  <c:v>4197.802197802198</c:v>
                </c:pt>
                <c:pt idx="54">
                  <c:v>5653.9196940726579</c:v>
                </c:pt>
                <c:pt idx="55">
                  <c:v>5166.666666666667</c:v>
                </c:pt>
                <c:pt idx="56">
                  <c:v>9738.461538461539</c:v>
                </c:pt>
                <c:pt idx="57">
                  <c:v>2962.686567164179</c:v>
                </c:pt>
                <c:pt idx="58">
                  <c:v>2383.7209302325582</c:v>
                </c:pt>
                <c:pt idx="59">
                  <c:v>4812.6721763085397</c:v>
                </c:pt>
                <c:pt idx="60">
                  <c:v>7028.5714285714284</c:v>
                </c:pt>
                <c:pt idx="61">
                  <c:v>4179.1044776119406</c:v>
                </c:pt>
                <c:pt idx="62">
                  <c:v>4450.8196721311479</c:v>
                </c:pt>
                <c:pt idx="63">
                  <c:v>5318.1377303588752</c:v>
                </c:pt>
              </c:numCache>
            </c:numRef>
          </c:yVal>
          <c:smooth val="0"/>
        </c:ser>
        <c:dLbls>
          <c:showLegendKey val="0"/>
          <c:showVal val="0"/>
          <c:showCatName val="0"/>
          <c:showSerName val="0"/>
          <c:showPercent val="0"/>
          <c:showBubbleSize val="0"/>
        </c:dLbls>
        <c:axId val="151631744"/>
        <c:axId val="151642112"/>
      </c:scatterChart>
      <c:valAx>
        <c:axId val="151631744"/>
        <c:scaling>
          <c:orientation val="minMax"/>
        </c:scaling>
        <c:delete val="0"/>
        <c:axPos val="b"/>
        <c:title>
          <c:tx>
            <c:rich>
              <a:bodyPr/>
              <a:lstStyle/>
              <a:p>
                <a:pPr>
                  <a:defRPr sz="1200"/>
                </a:pPr>
                <a:r>
                  <a:rPr lang="sv-FI" sz="1200"/>
                  <a:t>Antal invånare per</a:t>
                </a:r>
                <a:r>
                  <a:rPr lang="sv-FI" sz="1200" baseline="0"/>
                  <a:t> kommun i  6</a:t>
                </a:r>
                <a:r>
                  <a:rPr lang="sv-FI" sz="1200"/>
                  <a:t>5+</a:t>
                </a:r>
              </a:p>
            </c:rich>
          </c:tx>
          <c:overlay val="0"/>
        </c:title>
        <c:numFmt formatCode="General" sourceLinked="1"/>
        <c:majorTickMark val="none"/>
        <c:minorTickMark val="none"/>
        <c:tickLblPos val="nextTo"/>
        <c:txPr>
          <a:bodyPr/>
          <a:lstStyle/>
          <a:p>
            <a:pPr>
              <a:defRPr sz="1200"/>
            </a:pPr>
            <a:endParaRPr lang="sv-FI"/>
          </a:p>
        </c:txPr>
        <c:crossAx val="151642112"/>
        <c:crosses val="autoZero"/>
        <c:crossBetween val="midCat"/>
      </c:valAx>
      <c:valAx>
        <c:axId val="151642112"/>
        <c:scaling>
          <c:orientation val="minMax"/>
        </c:scaling>
        <c:delete val="0"/>
        <c:axPos val="l"/>
        <c:majorGridlines/>
        <c:title>
          <c:tx>
            <c:rich>
              <a:bodyPr rot="0" vert="horz"/>
              <a:lstStyle/>
              <a:p>
                <a:pPr>
                  <a:defRPr sz="1200"/>
                </a:pPr>
                <a:r>
                  <a:rPr lang="sv-FI" sz="1200"/>
                  <a:t>Kostnad euro/invånare för</a:t>
                </a:r>
                <a:r>
                  <a:rPr lang="sv-FI" sz="1200" baseline="0"/>
                  <a:t> äldreomsorgen  i åldersgruppen  65+</a:t>
                </a:r>
                <a:endParaRPr lang="sv-FI" sz="1200"/>
              </a:p>
            </c:rich>
          </c:tx>
          <c:layout>
            <c:manualLayout>
              <c:xMode val="edge"/>
              <c:yMode val="edge"/>
              <c:x val="0"/>
              <c:y val="2.9383008062656112E-2"/>
            </c:manualLayout>
          </c:layout>
          <c:overlay val="0"/>
        </c:title>
        <c:numFmt formatCode="#,##0" sourceLinked="1"/>
        <c:majorTickMark val="none"/>
        <c:minorTickMark val="none"/>
        <c:tickLblPos val="nextTo"/>
        <c:txPr>
          <a:bodyPr/>
          <a:lstStyle/>
          <a:p>
            <a:pPr>
              <a:defRPr sz="1200"/>
            </a:pPr>
            <a:endParaRPr lang="sv-FI"/>
          </a:p>
        </c:txPr>
        <c:crossAx val="151631744"/>
        <c:crosses val="autoZero"/>
        <c:crossBetween val="midCat"/>
      </c:valAx>
    </c:plotArea>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sv-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Regressionsanalys för kostnader/inv</a:t>
            </a:r>
            <a:r>
              <a:rPr lang="en-US" baseline="0"/>
              <a:t> </a:t>
            </a:r>
            <a:r>
              <a:rPr lang="en-US"/>
              <a:t>i barnomsorgen </a:t>
            </a:r>
          </a:p>
          <a:p>
            <a:pPr>
              <a:defRPr/>
            </a:pPr>
            <a:r>
              <a:rPr lang="en-US"/>
              <a:t>mot invånare</a:t>
            </a:r>
            <a:r>
              <a:rPr lang="en-US" baseline="0"/>
              <a:t> i 0-6 per kommun. 4 år. Utan skärgården</a:t>
            </a:r>
            <a:endParaRPr lang="en-US"/>
          </a:p>
        </c:rich>
      </c:tx>
      <c:layout>
        <c:manualLayout>
          <c:xMode val="edge"/>
          <c:yMode val="edge"/>
          <c:x val="0.2743539968500821"/>
          <c:y val="2.3356307162723088E-2"/>
        </c:manualLayout>
      </c:layout>
      <c:overlay val="0"/>
    </c:title>
    <c:autoTitleDeleted val="0"/>
    <c:plotArea>
      <c:layout>
        <c:manualLayout>
          <c:layoutTarget val="inner"/>
          <c:xMode val="edge"/>
          <c:yMode val="edge"/>
          <c:x val="0.11556681606937938"/>
          <c:y val="0.18359186351706036"/>
          <c:w val="0.85166992335369063"/>
          <c:h val="0.6215359580052493"/>
        </c:manualLayout>
      </c:layout>
      <c:scatterChart>
        <c:scatterStyle val="lineMarker"/>
        <c:varyColors val="0"/>
        <c:ser>
          <c:idx val="0"/>
          <c:order val="0"/>
          <c:tx>
            <c:strRef>
              <c:f>'13. Regression. Soc, äld(SKä)'!$H$61</c:f>
              <c:strCache>
                <c:ptCount val="1"/>
                <c:pt idx="0">
                  <c:v>Kost Barn/inv</c:v>
                </c:pt>
              </c:strCache>
            </c:strRef>
          </c:tx>
          <c:spPr>
            <a:ln w="28575">
              <a:noFill/>
            </a:ln>
          </c:spPr>
          <c:trendline>
            <c:trendlineType val="log"/>
            <c:dispRSqr val="1"/>
            <c:dispEq val="1"/>
            <c:trendlineLbl>
              <c:layout>
                <c:manualLayout>
                  <c:x val="-7.4303625350835229E-3"/>
                  <c:y val="0.10823402031949116"/>
                </c:manualLayout>
              </c:layout>
              <c:numFmt formatCode="General" sourceLinked="0"/>
              <c:txPr>
                <a:bodyPr/>
                <a:lstStyle/>
                <a:p>
                  <a:pPr>
                    <a:defRPr sz="1200"/>
                  </a:pPr>
                  <a:endParaRPr lang="sv-FI"/>
                </a:p>
              </c:txPr>
            </c:trendlineLbl>
          </c:trendline>
          <c:xVal>
            <c:numRef>
              <c:f>'13. Regression. Soc, äld(SKä)'!$C$62:$C$125</c:f>
              <c:numCache>
                <c:formatCode>General</c:formatCode>
                <c:ptCount val="64"/>
                <c:pt idx="1">
                  <c:v>64</c:v>
                </c:pt>
                <c:pt idx="2">
                  <c:v>214</c:v>
                </c:pt>
                <c:pt idx="4">
                  <c:v>33</c:v>
                </c:pt>
                <c:pt idx="5">
                  <c:v>127</c:v>
                </c:pt>
                <c:pt idx="6">
                  <c:v>471</c:v>
                </c:pt>
                <c:pt idx="9">
                  <c:v>173</c:v>
                </c:pt>
                <c:pt idx="10">
                  <c:v>36</c:v>
                </c:pt>
                <c:pt idx="11">
                  <c:v>144</c:v>
                </c:pt>
                <c:pt idx="13">
                  <c:v>71</c:v>
                </c:pt>
                <c:pt idx="15">
                  <c:v>717</c:v>
                </c:pt>
                <c:pt idx="17">
                  <c:v>69</c:v>
                </c:pt>
                <c:pt idx="18">
                  <c:v>223</c:v>
                </c:pt>
                <c:pt idx="20">
                  <c:v>42</c:v>
                </c:pt>
                <c:pt idx="21">
                  <c:v>128</c:v>
                </c:pt>
                <c:pt idx="22">
                  <c:v>480</c:v>
                </c:pt>
                <c:pt idx="25">
                  <c:v>159</c:v>
                </c:pt>
                <c:pt idx="26">
                  <c:v>25</c:v>
                </c:pt>
                <c:pt idx="27">
                  <c:v>147</c:v>
                </c:pt>
                <c:pt idx="29">
                  <c:v>75</c:v>
                </c:pt>
                <c:pt idx="31">
                  <c:v>726</c:v>
                </c:pt>
                <c:pt idx="33">
                  <c:v>69</c:v>
                </c:pt>
                <c:pt idx="34">
                  <c:v>226</c:v>
                </c:pt>
                <c:pt idx="36">
                  <c:v>38</c:v>
                </c:pt>
                <c:pt idx="37">
                  <c:v>136</c:v>
                </c:pt>
                <c:pt idx="38">
                  <c:v>448</c:v>
                </c:pt>
                <c:pt idx="41">
                  <c:v>155</c:v>
                </c:pt>
                <c:pt idx="42">
                  <c:v>26</c:v>
                </c:pt>
                <c:pt idx="43">
                  <c:v>135</c:v>
                </c:pt>
                <c:pt idx="45">
                  <c:v>83</c:v>
                </c:pt>
                <c:pt idx="47">
                  <c:v>714</c:v>
                </c:pt>
                <c:pt idx="49">
                  <c:v>63</c:v>
                </c:pt>
                <c:pt idx="50">
                  <c:v>220</c:v>
                </c:pt>
                <c:pt idx="52">
                  <c:v>34</c:v>
                </c:pt>
                <c:pt idx="53">
                  <c:v>122</c:v>
                </c:pt>
                <c:pt idx="54">
                  <c:v>450</c:v>
                </c:pt>
                <c:pt idx="57">
                  <c:v>149</c:v>
                </c:pt>
                <c:pt idx="58">
                  <c:v>30</c:v>
                </c:pt>
                <c:pt idx="59">
                  <c:v>136</c:v>
                </c:pt>
                <c:pt idx="61">
                  <c:v>73</c:v>
                </c:pt>
                <c:pt idx="63">
                  <c:v>711</c:v>
                </c:pt>
              </c:numCache>
            </c:numRef>
          </c:xVal>
          <c:yVal>
            <c:numRef>
              <c:f>'13. Regression. Soc, äld(SKä)'!$H$62:$H$125</c:f>
              <c:numCache>
                <c:formatCode>#,##0</c:formatCode>
                <c:ptCount val="64"/>
                <c:pt idx="1">
                  <c:v>8656.25</c:v>
                </c:pt>
                <c:pt idx="2">
                  <c:v>9271.0280373831774</c:v>
                </c:pt>
                <c:pt idx="4">
                  <c:v>8636.363636363636</c:v>
                </c:pt>
                <c:pt idx="5">
                  <c:v>8944.8818897637793</c:v>
                </c:pt>
                <c:pt idx="6">
                  <c:v>9110.4033970276014</c:v>
                </c:pt>
                <c:pt idx="9">
                  <c:v>10560.693641618496</c:v>
                </c:pt>
                <c:pt idx="10">
                  <c:v>8888.8888888888887</c:v>
                </c:pt>
                <c:pt idx="11">
                  <c:v>9395.8333333333339</c:v>
                </c:pt>
                <c:pt idx="13">
                  <c:v>11140.845070422536</c:v>
                </c:pt>
                <c:pt idx="15">
                  <c:v>9114.3654114365418</c:v>
                </c:pt>
                <c:pt idx="17">
                  <c:v>7492.753623188406</c:v>
                </c:pt>
                <c:pt idx="18">
                  <c:v>8852.0179372197308</c:v>
                </c:pt>
                <c:pt idx="20">
                  <c:v>8571.4285714285706</c:v>
                </c:pt>
                <c:pt idx="21">
                  <c:v>7273.4375</c:v>
                </c:pt>
                <c:pt idx="22">
                  <c:v>8558.3333333333339</c:v>
                </c:pt>
                <c:pt idx="25">
                  <c:v>9628.9308176100621</c:v>
                </c:pt>
                <c:pt idx="26">
                  <c:v>12880</c:v>
                </c:pt>
                <c:pt idx="27">
                  <c:v>8700.6802721088443</c:v>
                </c:pt>
                <c:pt idx="29">
                  <c:v>12013.333333333334</c:v>
                </c:pt>
                <c:pt idx="31">
                  <c:v>9148.7603305785124</c:v>
                </c:pt>
                <c:pt idx="33">
                  <c:v>6869.565217391304</c:v>
                </c:pt>
                <c:pt idx="34">
                  <c:v>7960.1769911504425</c:v>
                </c:pt>
                <c:pt idx="36">
                  <c:v>6868.4210526315792</c:v>
                </c:pt>
                <c:pt idx="37">
                  <c:v>6625</c:v>
                </c:pt>
                <c:pt idx="38">
                  <c:v>8285.7142857142862</c:v>
                </c:pt>
                <c:pt idx="41">
                  <c:v>11664.516129032258</c:v>
                </c:pt>
                <c:pt idx="42">
                  <c:v>10230.76923076923</c:v>
                </c:pt>
                <c:pt idx="43">
                  <c:v>8311.1111111111113</c:v>
                </c:pt>
                <c:pt idx="45">
                  <c:v>9457.8313253012057</c:v>
                </c:pt>
                <c:pt idx="47">
                  <c:v>8868.347338935575</c:v>
                </c:pt>
                <c:pt idx="49">
                  <c:v>6936.5079365079364</c:v>
                </c:pt>
                <c:pt idx="50">
                  <c:v>7609.090909090909</c:v>
                </c:pt>
                <c:pt idx="52">
                  <c:v>8382.3529411764703</c:v>
                </c:pt>
                <c:pt idx="53">
                  <c:v>7385.2459016393441</c:v>
                </c:pt>
                <c:pt idx="54">
                  <c:v>7677.7777777777774</c:v>
                </c:pt>
                <c:pt idx="57">
                  <c:v>9469.79865771812</c:v>
                </c:pt>
                <c:pt idx="58">
                  <c:v>7933.333333333333</c:v>
                </c:pt>
                <c:pt idx="59">
                  <c:v>7014.7058823529414</c:v>
                </c:pt>
                <c:pt idx="61">
                  <c:v>9876.7123287671238</c:v>
                </c:pt>
                <c:pt idx="63">
                  <c:v>9037.9746835443038</c:v>
                </c:pt>
              </c:numCache>
            </c:numRef>
          </c:yVal>
          <c:smooth val="0"/>
        </c:ser>
        <c:dLbls>
          <c:showLegendKey val="0"/>
          <c:showVal val="0"/>
          <c:showCatName val="0"/>
          <c:showSerName val="0"/>
          <c:showPercent val="0"/>
          <c:showBubbleSize val="0"/>
        </c:dLbls>
        <c:axId val="151770240"/>
        <c:axId val="151772160"/>
      </c:scatterChart>
      <c:valAx>
        <c:axId val="151770240"/>
        <c:scaling>
          <c:orientation val="minMax"/>
        </c:scaling>
        <c:delete val="0"/>
        <c:axPos val="b"/>
        <c:title>
          <c:tx>
            <c:rich>
              <a:bodyPr/>
              <a:lstStyle/>
              <a:p>
                <a:pPr>
                  <a:defRPr sz="1400"/>
                </a:pPr>
                <a:r>
                  <a:rPr lang="sv-FI" sz="1400"/>
                  <a:t>Invånare</a:t>
                </a:r>
                <a:r>
                  <a:rPr lang="sv-FI" sz="1400" baseline="0"/>
                  <a:t> i åldersgruppen 0-6</a:t>
                </a:r>
              </a:p>
              <a:p>
                <a:pPr>
                  <a:defRPr sz="1400"/>
                </a:pPr>
                <a:endParaRPr lang="sv-FI" sz="1400"/>
              </a:p>
            </c:rich>
          </c:tx>
          <c:overlay val="0"/>
        </c:title>
        <c:numFmt formatCode="General" sourceLinked="1"/>
        <c:majorTickMark val="none"/>
        <c:minorTickMark val="none"/>
        <c:tickLblPos val="nextTo"/>
        <c:txPr>
          <a:bodyPr/>
          <a:lstStyle/>
          <a:p>
            <a:pPr>
              <a:defRPr sz="1200"/>
            </a:pPr>
            <a:endParaRPr lang="sv-FI"/>
          </a:p>
        </c:txPr>
        <c:crossAx val="151772160"/>
        <c:crosses val="autoZero"/>
        <c:crossBetween val="midCat"/>
      </c:valAx>
      <c:valAx>
        <c:axId val="151772160"/>
        <c:scaling>
          <c:orientation val="minMax"/>
        </c:scaling>
        <c:delete val="0"/>
        <c:axPos val="l"/>
        <c:majorGridlines/>
        <c:title>
          <c:tx>
            <c:rich>
              <a:bodyPr rot="0" vert="horz"/>
              <a:lstStyle/>
              <a:p>
                <a:pPr>
                  <a:defRPr sz="1200"/>
                </a:pPr>
                <a:r>
                  <a:rPr lang="sv-FI" sz="1200"/>
                  <a:t>Kostnad euro/invånare i åldersgruppen 0-6</a:t>
                </a:r>
              </a:p>
            </c:rich>
          </c:tx>
          <c:layout>
            <c:manualLayout>
              <c:xMode val="edge"/>
              <c:yMode val="edge"/>
              <c:x val="3.5397490300128117E-3"/>
              <c:y val="4.6126920399407564E-2"/>
            </c:manualLayout>
          </c:layout>
          <c:overlay val="0"/>
        </c:title>
        <c:numFmt formatCode="#,##0" sourceLinked="1"/>
        <c:majorTickMark val="none"/>
        <c:minorTickMark val="none"/>
        <c:tickLblPos val="nextTo"/>
        <c:txPr>
          <a:bodyPr/>
          <a:lstStyle/>
          <a:p>
            <a:pPr>
              <a:defRPr sz="1400"/>
            </a:pPr>
            <a:endParaRPr lang="sv-FI"/>
          </a:p>
        </c:txPr>
        <c:crossAx val="151770240"/>
        <c:crosses val="autoZero"/>
        <c:crossBetween val="midCat"/>
      </c:valAx>
    </c:plotArea>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sv-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Regressionsanalys för kostnader i äldreomsorgen</a:t>
            </a:r>
            <a:endParaRPr lang="sv-FI">
              <a:effectLst/>
            </a:endParaRP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mot invånare i 65+. 4 år. Utan skärgården</a:t>
            </a:r>
            <a:endParaRPr lang="sv-FI">
              <a:effectLst/>
            </a:endParaRP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endParaRPr lang="sv-FI">
              <a:effectLst/>
            </a:endParaRPr>
          </a:p>
        </c:rich>
      </c:tx>
      <c:layout>
        <c:manualLayout>
          <c:xMode val="edge"/>
          <c:yMode val="edge"/>
          <c:x val="0.3276388206342527"/>
          <c:y val="4.6363638576169819E-2"/>
        </c:manualLayout>
      </c:layout>
      <c:overlay val="0"/>
    </c:title>
    <c:autoTitleDeleted val="0"/>
    <c:plotArea>
      <c:layout>
        <c:manualLayout>
          <c:layoutTarget val="inner"/>
          <c:xMode val="edge"/>
          <c:yMode val="edge"/>
          <c:x val="9.2348450435566137E-2"/>
          <c:y val="0.18873874677827471"/>
          <c:w val="0.87119599267993553"/>
          <c:h val="0.67624835009536388"/>
        </c:manualLayout>
      </c:layout>
      <c:scatterChart>
        <c:scatterStyle val="lineMarker"/>
        <c:varyColors val="0"/>
        <c:ser>
          <c:idx val="0"/>
          <c:order val="0"/>
          <c:tx>
            <c:strRef>
              <c:f>'13. Regression. Soc, äld(SKä)'!$G$61</c:f>
              <c:strCache>
                <c:ptCount val="1"/>
                <c:pt idx="0">
                  <c:v>Kost Äldre/inv</c:v>
                </c:pt>
              </c:strCache>
            </c:strRef>
          </c:tx>
          <c:spPr>
            <a:ln w="28575">
              <a:noFill/>
            </a:ln>
          </c:spPr>
          <c:trendline>
            <c:trendlineType val="log"/>
            <c:dispRSqr val="1"/>
            <c:dispEq val="1"/>
            <c:trendlineLbl>
              <c:layout>
                <c:manualLayout>
                  <c:x val="-8.5708956171950873E-2"/>
                  <c:y val="0.17839069092773518"/>
                </c:manualLayout>
              </c:layout>
              <c:numFmt formatCode="General" sourceLinked="0"/>
              <c:txPr>
                <a:bodyPr/>
                <a:lstStyle/>
                <a:p>
                  <a:pPr>
                    <a:defRPr sz="1200"/>
                  </a:pPr>
                  <a:endParaRPr lang="sv-FI"/>
                </a:p>
              </c:txPr>
            </c:trendlineLbl>
          </c:trendline>
          <c:xVal>
            <c:numRef>
              <c:f>'13. Regression. Soc, äld(SKä)'!$D$62:$D$125</c:f>
              <c:numCache>
                <c:formatCode>General</c:formatCode>
                <c:ptCount val="64"/>
                <c:pt idx="1">
                  <c:v>210</c:v>
                </c:pt>
                <c:pt idx="2">
                  <c:v>471</c:v>
                </c:pt>
                <c:pt idx="4">
                  <c:v>112</c:v>
                </c:pt>
                <c:pt idx="5">
                  <c:v>311</c:v>
                </c:pt>
                <c:pt idx="6">
                  <c:v>608</c:v>
                </c:pt>
                <c:pt idx="9">
                  <c:v>305</c:v>
                </c:pt>
                <c:pt idx="10">
                  <c:v>102</c:v>
                </c:pt>
                <c:pt idx="11">
                  <c:v>383</c:v>
                </c:pt>
                <c:pt idx="13">
                  <c:v>228</c:v>
                </c:pt>
                <c:pt idx="15">
                  <c:v>2335</c:v>
                </c:pt>
                <c:pt idx="17">
                  <c:v>209</c:v>
                </c:pt>
                <c:pt idx="18">
                  <c:v>468</c:v>
                </c:pt>
                <c:pt idx="20">
                  <c:v>111</c:v>
                </c:pt>
                <c:pt idx="21">
                  <c:v>297</c:v>
                </c:pt>
                <c:pt idx="22">
                  <c:v>573</c:v>
                </c:pt>
                <c:pt idx="25">
                  <c:v>292</c:v>
                </c:pt>
                <c:pt idx="26">
                  <c:v>98</c:v>
                </c:pt>
                <c:pt idx="27">
                  <c:v>378</c:v>
                </c:pt>
                <c:pt idx="29">
                  <c:v>224</c:v>
                </c:pt>
                <c:pt idx="31">
                  <c:v>2263</c:v>
                </c:pt>
                <c:pt idx="33">
                  <c:v>205</c:v>
                </c:pt>
                <c:pt idx="34">
                  <c:v>452</c:v>
                </c:pt>
                <c:pt idx="36">
                  <c:v>113</c:v>
                </c:pt>
                <c:pt idx="37">
                  <c:v>286</c:v>
                </c:pt>
                <c:pt idx="38">
                  <c:v>551</c:v>
                </c:pt>
                <c:pt idx="41">
                  <c:v>282</c:v>
                </c:pt>
                <c:pt idx="42">
                  <c:v>93</c:v>
                </c:pt>
                <c:pt idx="43">
                  <c:v>378</c:v>
                </c:pt>
                <c:pt idx="45">
                  <c:v>220</c:v>
                </c:pt>
                <c:pt idx="47">
                  <c:v>2163</c:v>
                </c:pt>
                <c:pt idx="49">
                  <c:v>195</c:v>
                </c:pt>
                <c:pt idx="50">
                  <c:v>455</c:v>
                </c:pt>
                <c:pt idx="52">
                  <c:v>114</c:v>
                </c:pt>
                <c:pt idx="53">
                  <c:v>273</c:v>
                </c:pt>
                <c:pt idx="54">
                  <c:v>523</c:v>
                </c:pt>
                <c:pt idx="57">
                  <c:v>268</c:v>
                </c:pt>
                <c:pt idx="58">
                  <c:v>86</c:v>
                </c:pt>
                <c:pt idx="59">
                  <c:v>363</c:v>
                </c:pt>
                <c:pt idx="61">
                  <c:v>201</c:v>
                </c:pt>
                <c:pt idx="63">
                  <c:v>2062</c:v>
                </c:pt>
              </c:numCache>
            </c:numRef>
          </c:xVal>
          <c:yVal>
            <c:numRef>
              <c:f>'13. Regression. Soc, äld(SKä)'!$G$62:$G$125</c:f>
              <c:numCache>
                <c:formatCode>#,##0</c:formatCode>
                <c:ptCount val="64"/>
                <c:pt idx="1">
                  <c:v>4809.5238095238092</c:v>
                </c:pt>
                <c:pt idx="2">
                  <c:v>4866.2420382165601</c:v>
                </c:pt>
                <c:pt idx="4">
                  <c:v>4678.5714285714284</c:v>
                </c:pt>
                <c:pt idx="5">
                  <c:v>4575.5627009646305</c:v>
                </c:pt>
                <c:pt idx="6">
                  <c:v>4557.5657894736842</c:v>
                </c:pt>
                <c:pt idx="9">
                  <c:v>2042.622950819672</c:v>
                </c:pt>
                <c:pt idx="10">
                  <c:v>4205.8823529411766</c:v>
                </c:pt>
                <c:pt idx="11">
                  <c:v>4859.0078328981726</c:v>
                </c:pt>
                <c:pt idx="13">
                  <c:v>5324.5614035087719</c:v>
                </c:pt>
                <c:pt idx="15">
                  <c:v>4671.0920770877947</c:v>
                </c:pt>
                <c:pt idx="17">
                  <c:v>5038.2775119617227</c:v>
                </c:pt>
                <c:pt idx="18">
                  <c:v>4893.1623931623935</c:v>
                </c:pt>
                <c:pt idx="20">
                  <c:v>4792.7927927927931</c:v>
                </c:pt>
                <c:pt idx="21">
                  <c:v>4878.787878787879</c:v>
                </c:pt>
                <c:pt idx="22">
                  <c:v>4966.8411867364748</c:v>
                </c:pt>
                <c:pt idx="25">
                  <c:v>2585.6164383561645</c:v>
                </c:pt>
                <c:pt idx="26">
                  <c:v>3765.3061224489797</c:v>
                </c:pt>
                <c:pt idx="27">
                  <c:v>5071.4285714285716</c:v>
                </c:pt>
                <c:pt idx="29">
                  <c:v>6504.4642857142853</c:v>
                </c:pt>
                <c:pt idx="31">
                  <c:v>4899.6906760936808</c:v>
                </c:pt>
                <c:pt idx="33">
                  <c:v>5756.0975609756097</c:v>
                </c:pt>
                <c:pt idx="34">
                  <c:v>5201.3274336283184</c:v>
                </c:pt>
                <c:pt idx="36">
                  <c:v>3610.6194690265488</c:v>
                </c:pt>
                <c:pt idx="37">
                  <c:v>4555.9440559440563</c:v>
                </c:pt>
                <c:pt idx="38">
                  <c:v>5145.1905626134303</c:v>
                </c:pt>
                <c:pt idx="41">
                  <c:v>3723.4042553191489</c:v>
                </c:pt>
                <c:pt idx="42">
                  <c:v>2849.4623655913979</c:v>
                </c:pt>
                <c:pt idx="43">
                  <c:v>4452.3809523809523</c:v>
                </c:pt>
                <c:pt idx="45">
                  <c:v>5045.454545454545</c:v>
                </c:pt>
                <c:pt idx="47">
                  <c:v>5080.9061488673142</c:v>
                </c:pt>
                <c:pt idx="49">
                  <c:v>4728.2051282051279</c:v>
                </c:pt>
                <c:pt idx="50">
                  <c:v>4701.0989010989015</c:v>
                </c:pt>
                <c:pt idx="52">
                  <c:v>4991.2280701754389</c:v>
                </c:pt>
                <c:pt idx="53">
                  <c:v>4197.802197802198</c:v>
                </c:pt>
                <c:pt idx="54">
                  <c:v>5653.9196940726579</c:v>
                </c:pt>
                <c:pt idx="57">
                  <c:v>2962.686567164179</c:v>
                </c:pt>
                <c:pt idx="58">
                  <c:v>2383.7209302325582</c:v>
                </c:pt>
                <c:pt idx="59">
                  <c:v>4812.6721763085397</c:v>
                </c:pt>
                <c:pt idx="61">
                  <c:v>4179.1044776119406</c:v>
                </c:pt>
                <c:pt idx="63">
                  <c:v>5318.1377303588752</c:v>
                </c:pt>
              </c:numCache>
            </c:numRef>
          </c:yVal>
          <c:smooth val="0"/>
        </c:ser>
        <c:dLbls>
          <c:showLegendKey val="0"/>
          <c:showVal val="0"/>
          <c:showCatName val="0"/>
          <c:showSerName val="0"/>
          <c:showPercent val="0"/>
          <c:showBubbleSize val="0"/>
        </c:dLbls>
        <c:axId val="146911232"/>
        <c:axId val="146913152"/>
      </c:scatterChart>
      <c:valAx>
        <c:axId val="146911232"/>
        <c:scaling>
          <c:orientation val="minMax"/>
        </c:scaling>
        <c:delete val="0"/>
        <c:axPos val="b"/>
        <c:title>
          <c:tx>
            <c:rich>
              <a:bodyPr/>
              <a:lstStyle/>
              <a:p>
                <a:pPr>
                  <a:defRPr sz="1200"/>
                </a:pPr>
                <a:r>
                  <a:rPr lang="sv-FI" sz="1200"/>
                  <a:t>Invånare 65+</a:t>
                </a:r>
              </a:p>
            </c:rich>
          </c:tx>
          <c:overlay val="0"/>
        </c:title>
        <c:numFmt formatCode="General" sourceLinked="1"/>
        <c:majorTickMark val="none"/>
        <c:minorTickMark val="none"/>
        <c:tickLblPos val="nextTo"/>
        <c:txPr>
          <a:bodyPr/>
          <a:lstStyle/>
          <a:p>
            <a:pPr>
              <a:defRPr sz="1200"/>
            </a:pPr>
            <a:endParaRPr lang="sv-FI"/>
          </a:p>
        </c:txPr>
        <c:crossAx val="146913152"/>
        <c:crosses val="autoZero"/>
        <c:crossBetween val="midCat"/>
      </c:valAx>
      <c:valAx>
        <c:axId val="146913152"/>
        <c:scaling>
          <c:orientation val="minMax"/>
        </c:scaling>
        <c:delete val="0"/>
        <c:axPos val="l"/>
        <c:majorGridlines/>
        <c:title>
          <c:tx>
            <c:rich>
              <a:bodyPr rot="0" vert="horz"/>
              <a:lstStyle/>
              <a:p>
                <a:pPr>
                  <a:defRPr sz="1200"/>
                </a:pPr>
                <a:r>
                  <a:rPr lang="sv-FI" sz="1200"/>
                  <a:t>Kostnad euro/invånare för </a:t>
                </a:r>
                <a:r>
                  <a:rPr lang="sv-FI" sz="1200" baseline="0"/>
                  <a:t>äldreomsorgen  i åldersgruppen 65+</a:t>
                </a:r>
                <a:endParaRPr lang="sv-FI" sz="1200"/>
              </a:p>
            </c:rich>
          </c:tx>
          <c:layout>
            <c:manualLayout>
              <c:xMode val="edge"/>
              <c:yMode val="edge"/>
              <c:x val="4.7222223943650622E-3"/>
              <c:y val="4.3644287456181693E-2"/>
            </c:manualLayout>
          </c:layout>
          <c:overlay val="0"/>
        </c:title>
        <c:numFmt formatCode="#,##0" sourceLinked="1"/>
        <c:majorTickMark val="none"/>
        <c:minorTickMark val="none"/>
        <c:tickLblPos val="nextTo"/>
        <c:txPr>
          <a:bodyPr/>
          <a:lstStyle/>
          <a:p>
            <a:pPr>
              <a:defRPr sz="1200"/>
            </a:pPr>
            <a:endParaRPr lang="sv-FI"/>
          </a:p>
        </c:txPr>
        <c:crossAx val="146911232"/>
        <c:crosses val="autoZero"/>
        <c:crossBetween val="midCat"/>
      </c:valAx>
    </c:plotArea>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sv-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v-FI"/>
              <a:t>Kostnad euro/inv(6-15)</a:t>
            </a:r>
            <a:r>
              <a:rPr lang="sv-FI" baseline="0"/>
              <a:t> för Ålands kommuner. Siffror från 4 år.</a:t>
            </a:r>
            <a:br>
              <a:rPr lang="sv-FI" baseline="0"/>
            </a:br>
            <a:r>
              <a:rPr lang="sv-FI" baseline="0"/>
              <a:t>Nettodriftskostnader för grundskolan utan träningsundervisning </a:t>
            </a:r>
            <a:endParaRPr lang="sv-FI"/>
          </a:p>
        </c:rich>
      </c:tx>
      <c:overlay val="0"/>
    </c:title>
    <c:autoTitleDeleted val="0"/>
    <c:plotArea>
      <c:layout>
        <c:manualLayout>
          <c:layoutTarget val="inner"/>
          <c:xMode val="edge"/>
          <c:yMode val="edge"/>
          <c:x val="0.10441059913704888"/>
          <c:y val="0.11817150694637625"/>
          <c:w val="0.81661183604683363"/>
          <c:h val="0.78022128982923777"/>
        </c:manualLayout>
      </c:layout>
      <c:scatterChart>
        <c:scatterStyle val="lineMarker"/>
        <c:varyColors val="0"/>
        <c:ser>
          <c:idx val="0"/>
          <c:order val="0"/>
          <c:spPr>
            <a:ln w="28575">
              <a:noFill/>
            </a:ln>
          </c:spPr>
          <c:trendline>
            <c:trendlineType val="log"/>
            <c:dispRSqr val="1"/>
            <c:dispEq val="1"/>
            <c:trendlineLbl>
              <c:layout>
                <c:manualLayout>
                  <c:x val="-0.11577966482077134"/>
                  <c:y val="-0.13162063816596206"/>
                </c:manualLayout>
              </c:layout>
              <c:numFmt formatCode="General" sourceLinked="0"/>
              <c:txPr>
                <a:bodyPr/>
                <a:lstStyle/>
                <a:p>
                  <a:pPr>
                    <a:defRPr sz="1600"/>
                  </a:pPr>
                  <a:endParaRPr lang="sv-FI"/>
                </a:p>
              </c:txPr>
            </c:trendlineLbl>
          </c:trendline>
          <c:xVal>
            <c:numRef>
              <c:f>'10 Regr. SKOLA utan trän.und'!$D$52:$D$115</c:f>
              <c:numCache>
                <c:formatCode>General</c:formatCode>
                <c:ptCount val="64"/>
                <c:pt idx="0">
                  <c:v>43</c:v>
                </c:pt>
                <c:pt idx="1">
                  <c:v>93</c:v>
                </c:pt>
                <c:pt idx="2">
                  <c:v>316</c:v>
                </c:pt>
                <c:pt idx="3">
                  <c:v>58</c:v>
                </c:pt>
                <c:pt idx="4">
                  <c:v>53</c:v>
                </c:pt>
                <c:pt idx="5">
                  <c:v>196</c:v>
                </c:pt>
                <c:pt idx="6">
                  <c:v>604</c:v>
                </c:pt>
                <c:pt idx="7">
                  <c:v>22</c:v>
                </c:pt>
                <c:pt idx="8">
                  <c:v>26</c:v>
                </c:pt>
                <c:pt idx="9">
                  <c:v>262</c:v>
                </c:pt>
                <c:pt idx="10">
                  <c:v>55</c:v>
                </c:pt>
                <c:pt idx="11">
                  <c:v>220</c:v>
                </c:pt>
                <c:pt idx="12">
                  <c:v>3</c:v>
                </c:pt>
                <c:pt idx="13">
                  <c:v>119</c:v>
                </c:pt>
                <c:pt idx="14">
                  <c:v>50</c:v>
                </c:pt>
                <c:pt idx="15">
                  <c:v>1086</c:v>
                </c:pt>
                <c:pt idx="16">
                  <c:v>42</c:v>
                </c:pt>
                <c:pt idx="17">
                  <c:v>84</c:v>
                </c:pt>
                <c:pt idx="18">
                  <c:v>313</c:v>
                </c:pt>
                <c:pt idx="19">
                  <c:v>63</c:v>
                </c:pt>
                <c:pt idx="20">
                  <c:v>52</c:v>
                </c:pt>
                <c:pt idx="21">
                  <c:v>181</c:v>
                </c:pt>
                <c:pt idx="22">
                  <c:v>581</c:v>
                </c:pt>
                <c:pt idx="23">
                  <c:v>24</c:v>
                </c:pt>
                <c:pt idx="24">
                  <c:v>26</c:v>
                </c:pt>
                <c:pt idx="25">
                  <c:v>273</c:v>
                </c:pt>
                <c:pt idx="26">
                  <c:v>48</c:v>
                </c:pt>
                <c:pt idx="27">
                  <c:v>214</c:v>
                </c:pt>
                <c:pt idx="28">
                  <c:v>8</c:v>
                </c:pt>
                <c:pt idx="29">
                  <c:v>109</c:v>
                </c:pt>
                <c:pt idx="30">
                  <c:v>45</c:v>
                </c:pt>
                <c:pt idx="31">
                  <c:v>1102</c:v>
                </c:pt>
                <c:pt idx="32">
                  <c:v>46</c:v>
                </c:pt>
                <c:pt idx="33">
                  <c:v>89</c:v>
                </c:pt>
                <c:pt idx="34">
                  <c:v>318</c:v>
                </c:pt>
                <c:pt idx="35">
                  <c:v>65</c:v>
                </c:pt>
                <c:pt idx="36">
                  <c:v>50</c:v>
                </c:pt>
                <c:pt idx="37">
                  <c:v>173</c:v>
                </c:pt>
                <c:pt idx="38">
                  <c:v>565</c:v>
                </c:pt>
                <c:pt idx="39">
                  <c:v>33</c:v>
                </c:pt>
                <c:pt idx="40">
                  <c:v>30</c:v>
                </c:pt>
                <c:pt idx="41">
                  <c:v>275</c:v>
                </c:pt>
                <c:pt idx="42">
                  <c:v>51</c:v>
                </c:pt>
                <c:pt idx="43">
                  <c:v>208</c:v>
                </c:pt>
                <c:pt idx="44">
                  <c:v>8</c:v>
                </c:pt>
                <c:pt idx="45">
                  <c:v>103</c:v>
                </c:pt>
                <c:pt idx="46">
                  <c:v>44</c:v>
                </c:pt>
                <c:pt idx="47">
                  <c:v>1080</c:v>
                </c:pt>
                <c:pt idx="48">
                  <c:v>48</c:v>
                </c:pt>
                <c:pt idx="49">
                  <c:v>93</c:v>
                </c:pt>
                <c:pt idx="50">
                  <c:v>309</c:v>
                </c:pt>
                <c:pt idx="51">
                  <c:v>65</c:v>
                </c:pt>
                <c:pt idx="52">
                  <c:v>42</c:v>
                </c:pt>
                <c:pt idx="53">
                  <c:v>172</c:v>
                </c:pt>
                <c:pt idx="54">
                  <c:v>541</c:v>
                </c:pt>
                <c:pt idx="55">
                  <c:v>29</c:v>
                </c:pt>
                <c:pt idx="56">
                  <c:v>28</c:v>
                </c:pt>
                <c:pt idx="57">
                  <c:v>284</c:v>
                </c:pt>
                <c:pt idx="58">
                  <c:v>50</c:v>
                </c:pt>
                <c:pt idx="59">
                  <c:v>217</c:v>
                </c:pt>
                <c:pt idx="60">
                  <c:v>14</c:v>
                </c:pt>
                <c:pt idx="61">
                  <c:v>113</c:v>
                </c:pt>
                <c:pt idx="62">
                  <c:v>49</c:v>
                </c:pt>
                <c:pt idx="63">
                  <c:v>1117</c:v>
                </c:pt>
              </c:numCache>
            </c:numRef>
          </c:xVal>
          <c:yVal>
            <c:numRef>
              <c:f>'10 Regr. SKOLA utan trän.und'!$G$52:$G$115</c:f>
              <c:numCache>
                <c:formatCode>General</c:formatCode>
                <c:ptCount val="64"/>
                <c:pt idx="0">
                  <c:v>17000</c:v>
                </c:pt>
                <c:pt idx="1">
                  <c:v>12520.376344086022</c:v>
                </c:pt>
                <c:pt idx="2">
                  <c:v>10702.848101265823</c:v>
                </c:pt>
                <c:pt idx="3">
                  <c:v>16844.827586206895</c:v>
                </c:pt>
                <c:pt idx="4">
                  <c:v>12729.056603773584</c:v>
                </c:pt>
                <c:pt idx="5">
                  <c:v>10558.469387755102</c:v>
                </c:pt>
                <c:pt idx="6">
                  <c:v>9692.4089403973503</c:v>
                </c:pt>
                <c:pt idx="7">
                  <c:v>24409.090909090908</c:v>
                </c:pt>
                <c:pt idx="8">
                  <c:v>19384.615384615383</c:v>
                </c:pt>
                <c:pt idx="9">
                  <c:v>12690.152671755724</c:v>
                </c:pt>
                <c:pt idx="10">
                  <c:v>14000</c:v>
                </c:pt>
                <c:pt idx="11">
                  <c:v>10865.431818181818</c:v>
                </c:pt>
                <c:pt idx="12">
                  <c:v>52000</c:v>
                </c:pt>
                <c:pt idx="13">
                  <c:v>11773.10924369748</c:v>
                </c:pt>
                <c:pt idx="14">
                  <c:v>13248.5</c:v>
                </c:pt>
                <c:pt idx="15">
                  <c:v>8756.8922651933699</c:v>
                </c:pt>
                <c:pt idx="16">
                  <c:v>18428.571428571428</c:v>
                </c:pt>
                <c:pt idx="17">
                  <c:v>13741.857142857143</c:v>
                </c:pt>
                <c:pt idx="18">
                  <c:v>10455.107561235356</c:v>
                </c:pt>
                <c:pt idx="19">
                  <c:v>16380.952380952382</c:v>
                </c:pt>
                <c:pt idx="20">
                  <c:v>11512.153846153846</c:v>
                </c:pt>
                <c:pt idx="21">
                  <c:v>10845.016574585636</c:v>
                </c:pt>
                <c:pt idx="22">
                  <c:v>9865.8628800917959</c:v>
                </c:pt>
                <c:pt idx="23">
                  <c:v>26041.666666666668</c:v>
                </c:pt>
                <c:pt idx="24">
                  <c:v>21230.76923076923</c:v>
                </c:pt>
                <c:pt idx="25">
                  <c:v>11323.501831501831</c:v>
                </c:pt>
                <c:pt idx="26">
                  <c:v>14854.166666666666</c:v>
                </c:pt>
                <c:pt idx="27">
                  <c:v>11344.627725856699</c:v>
                </c:pt>
                <c:pt idx="28">
                  <c:v>23625</c:v>
                </c:pt>
                <c:pt idx="29">
                  <c:v>12256.880733944954</c:v>
                </c:pt>
                <c:pt idx="30">
                  <c:v>14831.874074074074</c:v>
                </c:pt>
                <c:pt idx="31">
                  <c:v>8205.9549304295233</c:v>
                </c:pt>
                <c:pt idx="32">
                  <c:v>16260.869565217392</c:v>
                </c:pt>
                <c:pt idx="33">
                  <c:v>13215.022471910112</c:v>
                </c:pt>
                <c:pt idx="34">
                  <c:v>10277.965408805032</c:v>
                </c:pt>
                <c:pt idx="35">
                  <c:v>14646.153846153846</c:v>
                </c:pt>
                <c:pt idx="36">
                  <c:v>12760.26</c:v>
                </c:pt>
                <c:pt idx="37">
                  <c:v>11111.947976878613</c:v>
                </c:pt>
                <c:pt idx="38">
                  <c:v>9208.191150442477</c:v>
                </c:pt>
                <c:pt idx="39">
                  <c:v>17606.060606060608</c:v>
                </c:pt>
                <c:pt idx="40">
                  <c:v>15666.666666666666</c:v>
                </c:pt>
                <c:pt idx="41">
                  <c:v>10843.185454545455</c:v>
                </c:pt>
                <c:pt idx="42">
                  <c:v>12078.431372549019</c:v>
                </c:pt>
                <c:pt idx="43">
                  <c:v>10989.192307692309</c:v>
                </c:pt>
                <c:pt idx="44">
                  <c:v>27125</c:v>
                </c:pt>
                <c:pt idx="45">
                  <c:v>13349.514563106795</c:v>
                </c:pt>
                <c:pt idx="46">
                  <c:v>15263.977272727272</c:v>
                </c:pt>
                <c:pt idx="47">
                  <c:v>8239.707407407408</c:v>
                </c:pt>
                <c:pt idx="48">
                  <c:v>15812.5</c:v>
                </c:pt>
                <c:pt idx="49">
                  <c:v>12606.494623655914</c:v>
                </c:pt>
                <c:pt idx="50">
                  <c:v>10413.289644012944</c:v>
                </c:pt>
                <c:pt idx="51">
                  <c:v>14384.615384615385</c:v>
                </c:pt>
                <c:pt idx="52">
                  <c:v>14193</c:v>
                </c:pt>
                <c:pt idx="53">
                  <c:v>10804.674418604651</c:v>
                </c:pt>
                <c:pt idx="54">
                  <c:v>8939.1977818853975</c:v>
                </c:pt>
                <c:pt idx="55">
                  <c:v>19000</c:v>
                </c:pt>
                <c:pt idx="56">
                  <c:v>17678.571428571428</c:v>
                </c:pt>
                <c:pt idx="57">
                  <c:v>9949.6549295774639</c:v>
                </c:pt>
                <c:pt idx="58">
                  <c:v>13320</c:v>
                </c:pt>
                <c:pt idx="59">
                  <c:v>10209.235023041474</c:v>
                </c:pt>
                <c:pt idx="60">
                  <c:v>21000</c:v>
                </c:pt>
                <c:pt idx="61">
                  <c:v>12601.769911504425</c:v>
                </c:pt>
                <c:pt idx="62">
                  <c:v>13408.163265306122</c:v>
                </c:pt>
                <c:pt idx="63">
                  <c:v>7860.3818263205012</c:v>
                </c:pt>
              </c:numCache>
            </c:numRef>
          </c:yVal>
          <c:smooth val="0"/>
        </c:ser>
        <c:dLbls>
          <c:showLegendKey val="0"/>
          <c:showVal val="0"/>
          <c:showCatName val="0"/>
          <c:showSerName val="0"/>
          <c:showPercent val="0"/>
          <c:showBubbleSize val="0"/>
        </c:dLbls>
        <c:axId val="151817216"/>
        <c:axId val="151835776"/>
      </c:scatterChart>
      <c:valAx>
        <c:axId val="151817216"/>
        <c:scaling>
          <c:orientation val="minMax"/>
        </c:scaling>
        <c:delete val="0"/>
        <c:axPos val="b"/>
        <c:title>
          <c:tx>
            <c:rich>
              <a:bodyPr/>
              <a:lstStyle/>
              <a:p>
                <a:pPr>
                  <a:defRPr sz="1600"/>
                </a:pPr>
                <a:r>
                  <a:rPr lang="sv-FI" sz="1600"/>
                  <a:t>Antal invånare i åldern 6-15</a:t>
                </a:r>
              </a:p>
            </c:rich>
          </c:tx>
          <c:overlay val="0"/>
        </c:title>
        <c:numFmt formatCode="General" sourceLinked="1"/>
        <c:majorTickMark val="none"/>
        <c:minorTickMark val="none"/>
        <c:tickLblPos val="nextTo"/>
        <c:txPr>
          <a:bodyPr/>
          <a:lstStyle/>
          <a:p>
            <a:pPr>
              <a:defRPr sz="1600"/>
            </a:pPr>
            <a:endParaRPr lang="sv-FI"/>
          </a:p>
        </c:txPr>
        <c:crossAx val="151835776"/>
        <c:crosses val="autoZero"/>
        <c:crossBetween val="midCat"/>
      </c:valAx>
      <c:valAx>
        <c:axId val="151835776"/>
        <c:scaling>
          <c:orientation val="minMax"/>
        </c:scaling>
        <c:delete val="0"/>
        <c:axPos val="l"/>
        <c:majorGridlines/>
        <c:title>
          <c:tx>
            <c:rich>
              <a:bodyPr rot="0" vert="horz"/>
              <a:lstStyle/>
              <a:p>
                <a:pPr>
                  <a:defRPr sz="1400"/>
                </a:pPr>
                <a:r>
                  <a:rPr lang="sv-FI" sz="1400"/>
                  <a:t>Kostnad euro/inv 6-15</a:t>
                </a:r>
              </a:p>
            </c:rich>
          </c:tx>
          <c:layout>
            <c:manualLayout>
              <c:xMode val="edge"/>
              <c:yMode val="edge"/>
              <c:x val="1.5860989869227668E-2"/>
              <c:y val="4.0972829483521926E-2"/>
            </c:manualLayout>
          </c:layout>
          <c:overlay val="0"/>
        </c:title>
        <c:numFmt formatCode="#,##0" sourceLinked="0"/>
        <c:majorTickMark val="none"/>
        <c:minorTickMark val="none"/>
        <c:tickLblPos val="nextTo"/>
        <c:txPr>
          <a:bodyPr/>
          <a:lstStyle/>
          <a:p>
            <a:pPr>
              <a:defRPr sz="1600"/>
            </a:pPr>
            <a:endParaRPr lang="sv-FI"/>
          </a:p>
        </c:txPr>
        <c:crossAx val="151817216"/>
        <c:crosses val="autoZero"/>
        <c:crossBetween val="midCat"/>
      </c:valAx>
    </c:plotArea>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sv-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v-FI" sz="1800" b="1" i="0" baseline="0">
                <a:effectLst/>
              </a:rPr>
              <a:t>Kostnad euro/inv(6-15) för Ålands kommuner utom skärgården, Lumparland, Geta.</a:t>
            </a:r>
          </a:p>
          <a:p>
            <a:pPr>
              <a:defRPr/>
            </a:pPr>
            <a:r>
              <a:rPr lang="sv-FI" sz="1800" b="1" i="0" baseline="0">
                <a:effectLst/>
              </a:rPr>
              <a:t> Siffror från 4 år. Nettodriftskostnader för grundskolan utan träningsundervisning </a:t>
            </a:r>
            <a:endParaRPr lang="sv-FI">
              <a:effectLst/>
            </a:endParaRPr>
          </a:p>
          <a:p>
            <a:pPr>
              <a:defRPr/>
            </a:pPr>
            <a:endParaRPr lang="sv-FI"/>
          </a:p>
        </c:rich>
      </c:tx>
      <c:layout>
        <c:manualLayout>
          <c:xMode val="edge"/>
          <c:yMode val="edge"/>
          <c:x val="0.26098914343874435"/>
          <c:y val="2.8017070558423708E-2"/>
        </c:manualLayout>
      </c:layout>
      <c:overlay val="0"/>
    </c:title>
    <c:autoTitleDeleted val="0"/>
    <c:plotArea>
      <c:layout>
        <c:manualLayout>
          <c:layoutTarget val="inner"/>
          <c:xMode val="edge"/>
          <c:yMode val="edge"/>
          <c:x val="9.597808583623138E-2"/>
          <c:y val="0.16423722996163942"/>
          <c:w val="0.84690186240022858"/>
          <c:h val="0.68858679406397383"/>
        </c:manualLayout>
      </c:layout>
      <c:scatterChart>
        <c:scatterStyle val="lineMarker"/>
        <c:varyColors val="0"/>
        <c:ser>
          <c:idx val="0"/>
          <c:order val="0"/>
          <c:spPr>
            <a:ln w="28575">
              <a:noFill/>
            </a:ln>
          </c:spPr>
          <c:trendline>
            <c:trendlineType val="log"/>
            <c:dispRSqr val="1"/>
            <c:dispEq val="1"/>
            <c:trendlineLbl>
              <c:layout>
                <c:manualLayout>
                  <c:x val="-0.14112213555049219"/>
                  <c:y val="0.14211346658590754"/>
                </c:manualLayout>
              </c:layout>
              <c:numFmt formatCode="General" sourceLinked="0"/>
              <c:txPr>
                <a:bodyPr/>
                <a:lstStyle/>
                <a:p>
                  <a:pPr>
                    <a:defRPr sz="1800"/>
                  </a:pPr>
                  <a:endParaRPr lang="sv-FI"/>
                </a:p>
              </c:txPr>
            </c:trendlineLbl>
          </c:trendline>
          <c:xVal>
            <c:numRef>
              <c:f>'10 Regr. SKOLA utan trän.und'!$D$123:$D$185</c:f>
              <c:numCache>
                <c:formatCode>General</c:formatCode>
                <c:ptCount val="63"/>
                <c:pt idx="0">
                  <c:v>93</c:v>
                </c:pt>
                <c:pt idx="1">
                  <c:v>316</c:v>
                </c:pt>
                <c:pt idx="4">
                  <c:v>196</c:v>
                </c:pt>
                <c:pt idx="5">
                  <c:v>604</c:v>
                </c:pt>
                <c:pt idx="8">
                  <c:v>262</c:v>
                </c:pt>
                <c:pt idx="10">
                  <c:v>220</c:v>
                </c:pt>
                <c:pt idx="12">
                  <c:v>119</c:v>
                </c:pt>
                <c:pt idx="14">
                  <c:v>1086</c:v>
                </c:pt>
                <c:pt idx="16">
                  <c:v>84</c:v>
                </c:pt>
                <c:pt idx="17">
                  <c:v>313</c:v>
                </c:pt>
                <c:pt idx="20">
                  <c:v>181</c:v>
                </c:pt>
                <c:pt idx="21">
                  <c:v>581</c:v>
                </c:pt>
                <c:pt idx="24">
                  <c:v>273</c:v>
                </c:pt>
                <c:pt idx="26">
                  <c:v>214</c:v>
                </c:pt>
                <c:pt idx="28">
                  <c:v>109</c:v>
                </c:pt>
                <c:pt idx="30">
                  <c:v>1102</c:v>
                </c:pt>
                <c:pt idx="32">
                  <c:v>89</c:v>
                </c:pt>
                <c:pt idx="33">
                  <c:v>318</c:v>
                </c:pt>
                <c:pt idx="36">
                  <c:v>173</c:v>
                </c:pt>
                <c:pt idx="37">
                  <c:v>565</c:v>
                </c:pt>
                <c:pt idx="40">
                  <c:v>275</c:v>
                </c:pt>
                <c:pt idx="42">
                  <c:v>208</c:v>
                </c:pt>
                <c:pt idx="44">
                  <c:v>103</c:v>
                </c:pt>
                <c:pt idx="46">
                  <c:v>1080</c:v>
                </c:pt>
                <c:pt idx="48">
                  <c:v>93</c:v>
                </c:pt>
                <c:pt idx="49">
                  <c:v>309</c:v>
                </c:pt>
                <c:pt idx="52">
                  <c:v>172</c:v>
                </c:pt>
                <c:pt idx="53">
                  <c:v>541</c:v>
                </c:pt>
                <c:pt idx="56">
                  <c:v>284</c:v>
                </c:pt>
                <c:pt idx="58">
                  <c:v>217</c:v>
                </c:pt>
                <c:pt idx="60">
                  <c:v>113</c:v>
                </c:pt>
                <c:pt idx="62">
                  <c:v>1117</c:v>
                </c:pt>
              </c:numCache>
            </c:numRef>
          </c:xVal>
          <c:yVal>
            <c:numRef>
              <c:f>'10 Regr. SKOLA utan trän.und'!$G$123:$G$185</c:f>
              <c:numCache>
                <c:formatCode>General</c:formatCode>
                <c:ptCount val="63"/>
                <c:pt idx="0">
                  <c:v>12520.376344086022</c:v>
                </c:pt>
                <c:pt idx="1">
                  <c:v>10702.848101265823</c:v>
                </c:pt>
                <c:pt idx="4">
                  <c:v>10558.469387755102</c:v>
                </c:pt>
                <c:pt idx="5">
                  <c:v>9692.4089403973503</c:v>
                </c:pt>
                <c:pt idx="8">
                  <c:v>12690.152671755724</c:v>
                </c:pt>
                <c:pt idx="10">
                  <c:v>10865.431818181818</c:v>
                </c:pt>
                <c:pt idx="12">
                  <c:v>11773.10924369748</c:v>
                </c:pt>
                <c:pt idx="14">
                  <c:v>8756.8922651933699</c:v>
                </c:pt>
                <c:pt idx="16">
                  <c:v>13741.857142857143</c:v>
                </c:pt>
                <c:pt idx="17">
                  <c:v>10455.107561235356</c:v>
                </c:pt>
                <c:pt idx="20">
                  <c:v>10845.016574585636</c:v>
                </c:pt>
                <c:pt idx="21">
                  <c:v>9865.8628800917959</c:v>
                </c:pt>
                <c:pt idx="24">
                  <c:v>11323.501831501831</c:v>
                </c:pt>
                <c:pt idx="26">
                  <c:v>11344.627725856699</c:v>
                </c:pt>
                <c:pt idx="28">
                  <c:v>12256.880733944954</c:v>
                </c:pt>
                <c:pt idx="30">
                  <c:v>8205.9549304295233</c:v>
                </c:pt>
                <c:pt idx="32">
                  <c:v>13215.022471910112</c:v>
                </c:pt>
                <c:pt idx="33">
                  <c:v>10277.965408805032</c:v>
                </c:pt>
                <c:pt idx="36">
                  <c:v>11111.947976878613</c:v>
                </c:pt>
                <c:pt idx="37">
                  <c:v>9208.191150442477</c:v>
                </c:pt>
                <c:pt idx="40">
                  <c:v>10843.185454545455</c:v>
                </c:pt>
                <c:pt idx="42">
                  <c:v>10989.192307692309</c:v>
                </c:pt>
                <c:pt idx="44">
                  <c:v>13349.514563106795</c:v>
                </c:pt>
                <c:pt idx="46">
                  <c:v>8239.707407407408</c:v>
                </c:pt>
                <c:pt idx="48">
                  <c:v>12606.494623655914</c:v>
                </c:pt>
                <c:pt idx="49">
                  <c:v>10413.289644012944</c:v>
                </c:pt>
                <c:pt idx="52">
                  <c:v>10804.674418604651</c:v>
                </c:pt>
                <c:pt idx="53">
                  <c:v>8939.1977818853975</c:v>
                </c:pt>
                <c:pt idx="56">
                  <c:v>9949.6549295774639</c:v>
                </c:pt>
                <c:pt idx="58">
                  <c:v>10209.235023041474</c:v>
                </c:pt>
                <c:pt idx="60">
                  <c:v>12601.769911504425</c:v>
                </c:pt>
                <c:pt idx="62">
                  <c:v>7860.3818263205012</c:v>
                </c:pt>
              </c:numCache>
            </c:numRef>
          </c:yVal>
          <c:smooth val="0"/>
        </c:ser>
        <c:dLbls>
          <c:showLegendKey val="0"/>
          <c:showVal val="0"/>
          <c:showCatName val="0"/>
          <c:showSerName val="0"/>
          <c:showPercent val="0"/>
          <c:showBubbleSize val="0"/>
        </c:dLbls>
        <c:axId val="154699648"/>
        <c:axId val="154718208"/>
      </c:scatterChart>
      <c:valAx>
        <c:axId val="154699648"/>
        <c:scaling>
          <c:orientation val="minMax"/>
        </c:scaling>
        <c:delete val="0"/>
        <c:axPos val="b"/>
        <c:title>
          <c:tx>
            <c:rich>
              <a:bodyPr/>
              <a:lstStyle/>
              <a:p>
                <a:pPr>
                  <a:defRPr sz="1800"/>
                </a:pPr>
                <a:r>
                  <a:rPr lang="sv-FI" sz="1800"/>
                  <a:t>Antal invånare</a:t>
                </a:r>
                <a:r>
                  <a:rPr lang="sv-FI" sz="1800" baseline="0"/>
                  <a:t> i åldern </a:t>
                </a:r>
                <a:r>
                  <a:rPr lang="sv-FI" sz="1800"/>
                  <a:t> 6-15</a:t>
                </a:r>
              </a:p>
            </c:rich>
          </c:tx>
          <c:layout>
            <c:manualLayout>
              <c:xMode val="edge"/>
              <c:yMode val="edge"/>
              <c:x val="0.39708372765744693"/>
              <c:y val="0.9218282761575517"/>
            </c:manualLayout>
          </c:layout>
          <c:overlay val="0"/>
        </c:title>
        <c:numFmt formatCode="General" sourceLinked="1"/>
        <c:majorTickMark val="none"/>
        <c:minorTickMark val="none"/>
        <c:tickLblPos val="nextTo"/>
        <c:txPr>
          <a:bodyPr/>
          <a:lstStyle/>
          <a:p>
            <a:pPr>
              <a:defRPr sz="1600"/>
            </a:pPr>
            <a:endParaRPr lang="sv-FI"/>
          </a:p>
        </c:txPr>
        <c:crossAx val="154718208"/>
        <c:crosses val="autoZero"/>
        <c:crossBetween val="midCat"/>
      </c:valAx>
      <c:valAx>
        <c:axId val="154718208"/>
        <c:scaling>
          <c:orientation val="minMax"/>
        </c:scaling>
        <c:delete val="0"/>
        <c:axPos val="l"/>
        <c:majorGridlines/>
        <c:title>
          <c:tx>
            <c:rich>
              <a:bodyPr rot="0" vert="horz"/>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sv-FI" sz="1800" b="1" i="0" baseline="0">
                    <a:effectLst/>
                  </a:rPr>
                  <a:t>Kostnad euro/inv 6-15</a:t>
                </a:r>
                <a:endParaRPr lang="sv-FI" sz="14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endParaRPr lang="en-US" sz="1400"/>
              </a:p>
            </c:rich>
          </c:tx>
          <c:layout>
            <c:manualLayout>
              <c:xMode val="edge"/>
              <c:yMode val="edge"/>
              <c:x val="1.1110922629144865E-2"/>
              <c:y val="5.1513906662185194E-2"/>
            </c:manualLayout>
          </c:layout>
          <c:overlay val="0"/>
        </c:title>
        <c:numFmt formatCode="#,##0" sourceLinked="0"/>
        <c:majorTickMark val="none"/>
        <c:minorTickMark val="none"/>
        <c:tickLblPos val="nextTo"/>
        <c:txPr>
          <a:bodyPr/>
          <a:lstStyle/>
          <a:p>
            <a:pPr>
              <a:defRPr sz="1600"/>
            </a:pPr>
            <a:endParaRPr lang="sv-FI"/>
          </a:p>
        </c:txPr>
        <c:crossAx val="154699648"/>
        <c:crosses val="autoZero"/>
        <c:crossBetween val="midCat"/>
      </c:valAx>
    </c:plotArea>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sv-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strRef>
              <c:f>'10 Regr. SKOLA utan trän.und'!$H$189</c:f>
              <c:strCache>
                <c:ptCount val="1"/>
                <c:pt idx="0">
                  <c:v>yta</c:v>
                </c:pt>
              </c:strCache>
            </c:strRef>
          </c:tx>
          <c:spPr>
            <a:ln w="28575">
              <a:noFill/>
            </a:ln>
          </c:spPr>
          <c:trendline>
            <c:trendlineType val="log"/>
            <c:dispRSqr val="1"/>
            <c:dispEq val="1"/>
            <c:trendlineLbl>
              <c:layout>
                <c:manualLayout>
                  <c:x val="-7.8245271451601914E-2"/>
                  <c:y val="8.4294700765710065E-2"/>
                </c:manualLayout>
              </c:layout>
              <c:numFmt formatCode="General" sourceLinked="0"/>
            </c:trendlineLbl>
          </c:trendline>
          <c:xVal>
            <c:numRef>
              <c:f>'10 Regr. SKOLA utan trän.und'!$G$190:$G$253</c:f>
              <c:numCache>
                <c:formatCode>General</c:formatCode>
                <c:ptCount val="64"/>
                <c:pt idx="0">
                  <c:v>17000</c:v>
                </c:pt>
                <c:pt idx="1">
                  <c:v>12520.376344086022</c:v>
                </c:pt>
                <c:pt idx="2">
                  <c:v>10702.848101265823</c:v>
                </c:pt>
                <c:pt idx="3">
                  <c:v>16844.827586206895</c:v>
                </c:pt>
                <c:pt idx="4">
                  <c:v>12729.056603773584</c:v>
                </c:pt>
                <c:pt idx="5">
                  <c:v>10558.469387755102</c:v>
                </c:pt>
                <c:pt idx="6">
                  <c:v>9692.4089403973503</c:v>
                </c:pt>
                <c:pt idx="7">
                  <c:v>24409.090909090908</c:v>
                </c:pt>
                <c:pt idx="8">
                  <c:v>19384.615384615383</c:v>
                </c:pt>
                <c:pt idx="9">
                  <c:v>12690.152671755724</c:v>
                </c:pt>
                <c:pt idx="10">
                  <c:v>14000</c:v>
                </c:pt>
                <c:pt idx="11">
                  <c:v>10865.431818181818</c:v>
                </c:pt>
                <c:pt idx="12">
                  <c:v>52000</c:v>
                </c:pt>
                <c:pt idx="13">
                  <c:v>11773.10924369748</c:v>
                </c:pt>
                <c:pt idx="14">
                  <c:v>13248.5</c:v>
                </c:pt>
                <c:pt idx="15">
                  <c:v>8756.8922651933699</c:v>
                </c:pt>
                <c:pt idx="16">
                  <c:v>18428.571428571428</c:v>
                </c:pt>
                <c:pt idx="17">
                  <c:v>13741.857142857143</c:v>
                </c:pt>
                <c:pt idx="18">
                  <c:v>10455.107561235356</c:v>
                </c:pt>
                <c:pt idx="19">
                  <c:v>16380.952380952382</c:v>
                </c:pt>
                <c:pt idx="20">
                  <c:v>11512.153846153846</c:v>
                </c:pt>
                <c:pt idx="21">
                  <c:v>10845.016574585636</c:v>
                </c:pt>
                <c:pt idx="22">
                  <c:v>9865.8628800917959</c:v>
                </c:pt>
                <c:pt idx="23">
                  <c:v>26041.666666666668</c:v>
                </c:pt>
                <c:pt idx="24">
                  <c:v>21230.76923076923</c:v>
                </c:pt>
                <c:pt idx="25">
                  <c:v>11323.501831501831</c:v>
                </c:pt>
                <c:pt idx="26">
                  <c:v>14854.166666666666</c:v>
                </c:pt>
                <c:pt idx="27">
                  <c:v>11344.627725856699</c:v>
                </c:pt>
                <c:pt idx="28">
                  <c:v>23625</c:v>
                </c:pt>
                <c:pt idx="29">
                  <c:v>12256.880733944954</c:v>
                </c:pt>
                <c:pt idx="30">
                  <c:v>14831.874074074074</c:v>
                </c:pt>
                <c:pt idx="31">
                  <c:v>8205.9549304295233</c:v>
                </c:pt>
                <c:pt idx="32">
                  <c:v>16260.869565217392</c:v>
                </c:pt>
                <c:pt idx="33">
                  <c:v>13215.022471910112</c:v>
                </c:pt>
                <c:pt idx="34">
                  <c:v>10277.965408805032</c:v>
                </c:pt>
                <c:pt idx="35">
                  <c:v>14646.153846153846</c:v>
                </c:pt>
                <c:pt idx="36">
                  <c:v>12760.26</c:v>
                </c:pt>
                <c:pt idx="37">
                  <c:v>11111.947976878613</c:v>
                </c:pt>
                <c:pt idx="38">
                  <c:v>9208.191150442477</c:v>
                </c:pt>
                <c:pt idx="39">
                  <c:v>17606.060606060608</c:v>
                </c:pt>
                <c:pt idx="40">
                  <c:v>15666.666666666666</c:v>
                </c:pt>
                <c:pt idx="41">
                  <c:v>10843.185454545455</c:v>
                </c:pt>
                <c:pt idx="42">
                  <c:v>12078.431372549019</c:v>
                </c:pt>
                <c:pt idx="43">
                  <c:v>10989.192307692309</c:v>
                </c:pt>
                <c:pt idx="44">
                  <c:v>27125</c:v>
                </c:pt>
                <c:pt idx="45">
                  <c:v>13349.514563106795</c:v>
                </c:pt>
                <c:pt idx="46">
                  <c:v>15263.977272727272</c:v>
                </c:pt>
                <c:pt idx="47">
                  <c:v>8239.707407407408</c:v>
                </c:pt>
                <c:pt idx="48">
                  <c:v>15812.5</c:v>
                </c:pt>
                <c:pt idx="49">
                  <c:v>12606.494623655914</c:v>
                </c:pt>
                <c:pt idx="50">
                  <c:v>10413.289644012944</c:v>
                </c:pt>
                <c:pt idx="51">
                  <c:v>14384.615384615385</c:v>
                </c:pt>
                <c:pt idx="52">
                  <c:v>14193</c:v>
                </c:pt>
                <c:pt idx="53">
                  <c:v>10804.674418604651</c:v>
                </c:pt>
                <c:pt idx="54">
                  <c:v>8939.1977818853975</c:v>
                </c:pt>
                <c:pt idx="55">
                  <c:v>19000</c:v>
                </c:pt>
                <c:pt idx="56">
                  <c:v>17678.571428571428</c:v>
                </c:pt>
                <c:pt idx="57">
                  <c:v>9949.6549295774639</c:v>
                </c:pt>
                <c:pt idx="58">
                  <c:v>13320</c:v>
                </c:pt>
                <c:pt idx="59">
                  <c:v>10209.235023041474</c:v>
                </c:pt>
                <c:pt idx="60">
                  <c:v>21000</c:v>
                </c:pt>
                <c:pt idx="61">
                  <c:v>12601.769911504425</c:v>
                </c:pt>
                <c:pt idx="62">
                  <c:v>13408.163265306122</c:v>
                </c:pt>
                <c:pt idx="63">
                  <c:v>7860.3818263205012</c:v>
                </c:pt>
              </c:numCache>
            </c:numRef>
          </c:xVal>
          <c:yVal>
            <c:numRef>
              <c:f>'10 Regr. SKOLA utan trän.und'!$H$190:$H$253</c:f>
              <c:numCache>
                <c:formatCode>0</c:formatCode>
                <c:ptCount val="64"/>
                <c:pt idx="0">
                  <c:v>108</c:v>
                </c:pt>
                <c:pt idx="1">
                  <c:v>107.68999999999994</c:v>
                </c:pt>
                <c:pt idx="2">
                  <c:v>123.24999999999999</c:v>
                </c:pt>
                <c:pt idx="3">
                  <c:v>134.77999999999997</c:v>
                </c:pt>
                <c:pt idx="4">
                  <c:v>84.340000000000032</c:v>
                </c:pt>
                <c:pt idx="5">
                  <c:v>138.16999999999985</c:v>
                </c:pt>
                <c:pt idx="6">
                  <c:v>142.52999999999997</c:v>
                </c:pt>
                <c:pt idx="7">
                  <c:v>99.259999999999991</c:v>
                </c:pt>
                <c:pt idx="8">
                  <c:v>63.550000000000182</c:v>
                </c:pt>
                <c:pt idx="9">
                  <c:v>113.08000000000004</c:v>
                </c:pt>
                <c:pt idx="10">
                  <c:v>36.26</c:v>
                </c:pt>
                <c:pt idx="11">
                  <c:v>151.91999999999996</c:v>
                </c:pt>
                <c:pt idx="12">
                  <c:v>28.04000000000002</c:v>
                </c:pt>
                <c:pt idx="13">
                  <c:v>108.12</c:v>
                </c:pt>
                <c:pt idx="14" formatCode="General">
                  <c:v>101.59000000000003</c:v>
                </c:pt>
                <c:pt idx="15">
                  <c:v>11.8</c:v>
                </c:pt>
                <c:pt idx="16">
                  <c:v>108</c:v>
                </c:pt>
                <c:pt idx="17">
                  <c:v>107.68999999999994</c:v>
                </c:pt>
                <c:pt idx="18">
                  <c:v>123.24999999999999</c:v>
                </c:pt>
                <c:pt idx="19">
                  <c:v>134.77999999999997</c:v>
                </c:pt>
                <c:pt idx="20">
                  <c:v>84.340000000000032</c:v>
                </c:pt>
                <c:pt idx="21">
                  <c:v>138.16999999999985</c:v>
                </c:pt>
                <c:pt idx="22">
                  <c:v>142.52999999999997</c:v>
                </c:pt>
                <c:pt idx="23">
                  <c:v>99.259999999999991</c:v>
                </c:pt>
                <c:pt idx="24">
                  <c:v>63.550000000000182</c:v>
                </c:pt>
                <c:pt idx="25">
                  <c:v>113.08000000000004</c:v>
                </c:pt>
                <c:pt idx="26">
                  <c:v>36.26</c:v>
                </c:pt>
                <c:pt idx="27">
                  <c:v>151.91999999999996</c:v>
                </c:pt>
                <c:pt idx="28">
                  <c:v>28.04000000000002</c:v>
                </c:pt>
                <c:pt idx="29">
                  <c:v>108.12</c:v>
                </c:pt>
                <c:pt idx="30" formatCode="General">
                  <c:v>101.59000000000003</c:v>
                </c:pt>
                <c:pt idx="31">
                  <c:v>11.8</c:v>
                </c:pt>
                <c:pt idx="32">
                  <c:v>108</c:v>
                </c:pt>
                <c:pt idx="33">
                  <c:v>107.68999999999994</c:v>
                </c:pt>
                <c:pt idx="34">
                  <c:v>123.24999999999999</c:v>
                </c:pt>
                <c:pt idx="35">
                  <c:v>134.77999999999997</c:v>
                </c:pt>
                <c:pt idx="36">
                  <c:v>84.340000000000032</c:v>
                </c:pt>
                <c:pt idx="37">
                  <c:v>138.16999999999985</c:v>
                </c:pt>
                <c:pt idx="38">
                  <c:v>142.52999999999997</c:v>
                </c:pt>
                <c:pt idx="39">
                  <c:v>99.259999999999991</c:v>
                </c:pt>
                <c:pt idx="40">
                  <c:v>63.550000000000182</c:v>
                </c:pt>
                <c:pt idx="41">
                  <c:v>113.08000000000004</c:v>
                </c:pt>
                <c:pt idx="42">
                  <c:v>36.26</c:v>
                </c:pt>
                <c:pt idx="43">
                  <c:v>151.91999999999996</c:v>
                </c:pt>
                <c:pt idx="44">
                  <c:v>28.04000000000002</c:v>
                </c:pt>
                <c:pt idx="45">
                  <c:v>108.12</c:v>
                </c:pt>
                <c:pt idx="46" formatCode="General">
                  <c:v>101.59000000000003</c:v>
                </c:pt>
                <c:pt idx="47">
                  <c:v>11.8</c:v>
                </c:pt>
                <c:pt idx="48">
                  <c:v>108</c:v>
                </c:pt>
                <c:pt idx="49">
                  <c:v>107.68999999999994</c:v>
                </c:pt>
                <c:pt idx="50">
                  <c:v>123.24999999999999</c:v>
                </c:pt>
                <c:pt idx="51">
                  <c:v>134.77999999999997</c:v>
                </c:pt>
                <c:pt idx="52">
                  <c:v>84.340000000000032</c:v>
                </c:pt>
                <c:pt idx="53">
                  <c:v>138.16999999999985</c:v>
                </c:pt>
                <c:pt idx="54">
                  <c:v>142.52999999999997</c:v>
                </c:pt>
                <c:pt idx="55">
                  <c:v>99.259999999999991</c:v>
                </c:pt>
                <c:pt idx="56">
                  <c:v>63.550000000000182</c:v>
                </c:pt>
                <c:pt idx="57">
                  <c:v>113.08000000000004</c:v>
                </c:pt>
                <c:pt idx="58">
                  <c:v>36.26</c:v>
                </c:pt>
                <c:pt idx="59">
                  <c:v>151.91999999999996</c:v>
                </c:pt>
                <c:pt idx="60">
                  <c:v>28.04000000000002</c:v>
                </c:pt>
                <c:pt idx="61">
                  <c:v>108.12</c:v>
                </c:pt>
                <c:pt idx="62" formatCode="General">
                  <c:v>101.59000000000003</c:v>
                </c:pt>
                <c:pt idx="63">
                  <c:v>11.8</c:v>
                </c:pt>
              </c:numCache>
            </c:numRef>
          </c:yVal>
          <c:smooth val="0"/>
        </c:ser>
        <c:dLbls>
          <c:showLegendKey val="0"/>
          <c:showVal val="0"/>
          <c:showCatName val="0"/>
          <c:showSerName val="0"/>
          <c:showPercent val="0"/>
          <c:showBubbleSize val="0"/>
        </c:dLbls>
        <c:axId val="154743936"/>
        <c:axId val="154745472"/>
      </c:scatterChart>
      <c:valAx>
        <c:axId val="154743936"/>
        <c:scaling>
          <c:orientation val="minMax"/>
        </c:scaling>
        <c:delete val="0"/>
        <c:axPos val="b"/>
        <c:numFmt formatCode="General" sourceLinked="1"/>
        <c:majorTickMark val="out"/>
        <c:minorTickMark val="none"/>
        <c:tickLblPos val="nextTo"/>
        <c:crossAx val="154745472"/>
        <c:crosses val="autoZero"/>
        <c:crossBetween val="midCat"/>
      </c:valAx>
      <c:valAx>
        <c:axId val="154745472"/>
        <c:scaling>
          <c:orientation val="minMax"/>
        </c:scaling>
        <c:delete val="0"/>
        <c:axPos val="l"/>
        <c:majorGridlines/>
        <c:numFmt formatCode="0" sourceLinked="1"/>
        <c:majorTickMark val="out"/>
        <c:minorTickMark val="none"/>
        <c:tickLblPos val="nextTo"/>
        <c:crossAx val="15474393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sv-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og"/>
            <c:dispRSqr val="1"/>
            <c:dispEq val="1"/>
            <c:trendlineLbl>
              <c:layout>
                <c:manualLayout>
                  <c:x val="-9.9431555002007191E-2"/>
                  <c:y val="-8.0248396292891169E-2"/>
                </c:manualLayout>
              </c:layout>
              <c:numFmt formatCode="General" sourceLinked="0"/>
            </c:trendlineLbl>
          </c:trendline>
          <c:xVal>
            <c:numRef>
              <c:f>'12. Regression Kost, kultur'!$C$6:$C$21</c:f>
              <c:numCache>
                <c:formatCode>General</c:formatCode>
                <c:ptCount val="16"/>
                <c:pt idx="0">
                  <c:v>475</c:v>
                </c:pt>
                <c:pt idx="1">
                  <c:v>947</c:v>
                </c:pt>
                <c:pt idx="2">
                  <c:v>2520</c:v>
                </c:pt>
                <c:pt idx="3">
                  <c:v>572</c:v>
                </c:pt>
                <c:pt idx="4">
                  <c:v>500</c:v>
                </c:pt>
                <c:pt idx="5">
                  <c:v>1540</c:v>
                </c:pt>
                <c:pt idx="6">
                  <c:v>4424</c:v>
                </c:pt>
                <c:pt idx="7">
                  <c:v>330</c:v>
                </c:pt>
                <c:pt idx="8">
                  <c:v>251</c:v>
                </c:pt>
                <c:pt idx="9">
                  <c:v>1926</c:v>
                </c:pt>
                <c:pt idx="10">
                  <c:v>413</c:v>
                </c:pt>
                <c:pt idx="11">
                  <c:v>1813</c:v>
                </c:pt>
                <c:pt idx="12">
                  <c:v>100</c:v>
                </c:pt>
                <c:pt idx="13">
                  <c:v>1029</c:v>
                </c:pt>
                <c:pt idx="14">
                  <c:v>433</c:v>
                </c:pt>
                <c:pt idx="15">
                  <c:v>11393</c:v>
                </c:pt>
              </c:numCache>
            </c:numRef>
          </c:xVal>
          <c:yVal>
            <c:numRef>
              <c:f>'12. Regression Kost, kultur'!$E$6:$E$21</c:f>
              <c:numCache>
                <c:formatCode>0</c:formatCode>
                <c:ptCount val="16"/>
                <c:pt idx="1">
                  <c:v>112.98838437170011</c:v>
                </c:pt>
                <c:pt idx="2">
                  <c:v>296.42857142857144</c:v>
                </c:pt>
                <c:pt idx="4">
                  <c:v>88</c:v>
                </c:pt>
                <c:pt idx="5">
                  <c:v>164.93506493506493</c:v>
                </c:pt>
                <c:pt idx="6">
                  <c:v>148.50813743218808</c:v>
                </c:pt>
                <c:pt idx="7">
                  <c:v>133.33333333333334</c:v>
                </c:pt>
                <c:pt idx="8">
                  <c:v>191.23505976095618</c:v>
                </c:pt>
                <c:pt idx="9">
                  <c:v>176.53167185877467</c:v>
                </c:pt>
                <c:pt idx="10">
                  <c:v>188.86198547215497</c:v>
                </c:pt>
                <c:pt idx="11">
                  <c:v>141.20242691671262</c:v>
                </c:pt>
                <c:pt idx="13">
                  <c:v>165.20894071914481</c:v>
                </c:pt>
                <c:pt idx="15">
                  <c:v>296.14675678047922</c:v>
                </c:pt>
              </c:numCache>
            </c:numRef>
          </c:yVal>
          <c:smooth val="0"/>
        </c:ser>
        <c:dLbls>
          <c:showLegendKey val="0"/>
          <c:showVal val="0"/>
          <c:showCatName val="0"/>
          <c:showSerName val="0"/>
          <c:showPercent val="0"/>
          <c:showBubbleSize val="0"/>
        </c:dLbls>
        <c:axId val="154783744"/>
        <c:axId val="154785280"/>
      </c:scatterChart>
      <c:valAx>
        <c:axId val="154783744"/>
        <c:scaling>
          <c:orientation val="minMax"/>
        </c:scaling>
        <c:delete val="0"/>
        <c:axPos val="b"/>
        <c:numFmt formatCode="General" sourceLinked="1"/>
        <c:majorTickMark val="out"/>
        <c:minorTickMark val="none"/>
        <c:tickLblPos val="nextTo"/>
        <c:crossAx val="154785280"/>
        <c:crosses val="autoZero"/>
        <c:crossBetween val="midCat"/>
      </c:valAx>
      <c:valAx>
        <c:axId val="154785280"/>
        <c:scaling>
          <c:orientation val="minMax"/>
        </c:scaling>
        <c:delete val="0"/>
        <c:axPos val="l"/>
        <c:majorGridlines/>
        <c:numFmt formatCode="0" sourceLinked="1"/>
        <c:majorTickMark val="out"/>
        <c:minorTickMark val="none"/>
        <c:tickLblPos val="nextTo"/>
        <c:crossAx val="15478374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sv-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5.6835834653646264E-2"/>
          <c:y val="3.4103414738132345E-2"/>
          <c:w val="0.76641127222743843"/>
          <c:h val="0.82003357448339265"/>
        </c:manualLayout>
      </c:layout>
      <c:scatterChart>
        <c:scatterStyle val="lineMarker"/>
        <c:varyColors val="0"/>
        <c:ser>
          <c:idx val="0"/>
          <c:order val="0"/>
          <c:tx>
            <c:strRef>
              <c:f>'provräknignar invkm2'!$G$104</c:f>
              <c:strCache>
                <c:ptCount val="1"/>
              </c:strCache>
            </c:strRef>
          </c:tx>
          <c:spPr>
            <a:ln w="28575">
              <a:noFill/>
            </a:ln>
          </c:spPr>
          <c:trendline>
            <c:trendlineType val="log"/>
            <c:dispRSqr val="1"/>
            <c:dispEq val="1"/>
            <c:trendlineLbl>
              <c:layout>
                <c:manualLayout>
                  <c:x val="2.0946212537765883E-2"/>
                  <c:y val="-0.23829782698482488"/>
                </c:manualLayout>
              </c:layout>
              <c:numFmt formatCode="General" sourceLinked="0"/>
            </c:trendlineLbl>
          </c:trendline>
          <c:xVal>
            <c:numRef>
              <c:f>'provräknignar invkm2'!$F$105:$F$119</c:f>
              <c:numCache>
                <c:formatCode>General</c:formatCode>
                <c:ptCount val="15"/>
                <c:pt idx="0">
                  <c:v>12520.376344086022</c:v>
                </c:pt>
                <c:pt idx="1">
                  <c:v>10702.848101265823</c:v>
                </c:pt>
                <c:pt idx="3">
                  <c:v>12729.056603773584</c:v>
                </c:pt>
                <c:pt idx="4">
                  <c:v>10558.469387755102</c:v>
                </c:pt>
                <c:pt idx="5">
                  <c:v>9692.4089403973503</c:v>
                </c:pt>
                <c:pt idx="8">
                  <c:v>12690.152671755724</c:v>
                </c:pt>
                <c:pt idx="9">
                  <c:v>14000</c:v>
                </c:pt>
                <c:pt idx="10">
                  <c:v>10865.431818181818</c:v>
                </c:pt>
                <c:pt idx="12">
                  <c:v>11773.10924369748</c:v>
                </c:pt>
              </c:numCache>
            </c:numRef>
          </c:xVal>
          <c:yVal>
            <c:numRef>
              <c:f>'provräknignar invkm2'!$G$105:$G$119</c:f>
              <c:numCache>
                <c:formatCode>General</c:formatCode>
                <c:ptCount val="15"/>
                <c:pt idx="0">
                  <c:v>8.7937598662828531</c:v>
                </c:pt>
                <c:pt idx="1">
                  <c:v>20.446247464503045</c:v>
                </c:pt>
                <c:pt idx="3">
                  <c:v>5.9283851078966068</c:v>
                </c:pt>
                <c:pt idx="4">
                  <c:v>11.145690091915768</c:v>
                </c:pt>
                <c:pt idx="5">
                  <c:v>31.03907949203677</c:v>
                </c:pt>
                <c:pt idx="8">
                  <c:v>17.03218960028298</c:v>
                </c:pt>
                <c:pt idx="9">
                  <c:v>11.389961389961391</c:v>
                </c:pt>
                <c:pt idx="10">
                  <c:v>11.933912585571356</c:v>
                </c:pt>
                <c:pt idx="12">
                  <c:v>9.5172031076581565</c:v>
                </c:pt>
              </c:numCache>
            </c:numRef>
          </c:yVal>
          <c:smooth val="0"/>
        </c:ser>
        <c:dLbls>
          <c:showLegendKey val="0"/>
          <c:showVal val="0"/>
          <c:showCatName val="0"/>
          <c:showSerName val="0"/>
          <c:showPercent val="0"/>
          <c:showBubbleSize val="0"/>
        </c:dLbls>
        <c:axId val="135758208"/>
        <c:axId val="135759744"/>
      </c:scatterChart>
      <c:valAx>
        <c:axId val="135758208"/>
        <c:scaling>
          <c:orientation val="minMax"/>
        </c:scaling>
        <c:delete val="0"/>
        <c:axPos val="b"/>
        <c:numFmt formatCode="General" sourceLinked="1"/>
        <c:majorTickMark val="out"/>
        <c:minorTickMark val="none"/>
        <c:tickLblPos val="nextTo"/>
        <c:crossAx val="135759744"/>
        <c:crosses val="autoZero"/>
        <c:crossBetween val="midCat"/>
      </c:valAx>
      <c:valAx>
        <c:axId val="135759744"/>
        <c:scaling>
          <c:orientation val="minMax"/>
        </c:scaling>
        <c:delete val="0"/>
        <c:axPos val="l"/>
        <c:majorGridlines/>
        <c:numFmt formatCode="General" sourceLinked="1"/>
        <c:majorTickMark val="out"/>
        <c:minorTickMark val="none"/>
        <c:tickLblPos val="nextTo"/>
        <c:crossAx val="13575820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sv-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sv-FI" sz="2800"/>
              <a:t>Skattekomplettering, exempel 2013</a:t>
            </a:r>
          </a:p>
        </c:rich>
      </c:tx>
      <c:layout>
        <c:manualLayout>
          <c:xMode val="edge"/>
          <c:yMode val="edge"/>
          <c:x val="0.37758485973186395"/>
          <c:y val="3.6387265946790932E-2"/>
        </c:manualLayout>
      </c:layout>
      <c:overlay val="0"/>
    </c:title>
    <c:autoTitleDeleted val="0"/>
    <c:plotArea>
      <c:layout>
        <c:manualLayout>
          <c:layoutTarget val="inner"/>
          <c:xMode val="edge"/>
          <c:yMode val="edge"/>
          <c:x val="8.4319363061707925E-2"/>
          <c:y val="0.12028912073701954"/>
          <c:w val="0.67009417004692595"/>
          <c:h val="0.82482462564731174"/>
        </c:manualLayout>
      </c:layout>
      <c:lineChart>
        <c:grouping val="standard"/>
        <c:varyColors val="0"/>
        <c:ser>
          <c:idx val="2"/>
          <c:order val="0"/>
          <c:tx>
            <c:strRef>
              <c:f>'provräknignar invkm2'!$F$188</c:f>
              <c:strCache>
                <c:ptCount val="1"/>
                <c:pt idx="0">
                  <c:v>Upphöjt medel av kommuner</c:v>
                </c:pt>
              </c:strCache>
            </c:strRef>
          </c:tx>
          <c:marker>
            <c:symbol val="none"/>
          </c:marker>
          <c:val>
            <c:numRef>
              <c:f>'provräknignar invkm2'!$F$189:$F$204</c:f>
              <c:numCache>
                <c:formatCode>General</c:formatCode>
                <c:ptCount val="16"/>
                <c:pt idx="0">
                  <c:v>19561.621013208514</c:v>
                </c:pt>
                <c:pt idx="1">
                  <c:v>19561.621013208514</c:v>
                </c:pt>
                <c:pt idx="2">
                  <c:v>19561.621013208514</c:v>
                </c:pt>
                <c:pt idx="3">
                  <c:v>19561.621013208514</c:v>
                </c:pt>
                <c:pt idx="4">
                  <c:v>19561.621013208514</c:v>
                </c:pt>
                <c:pt idx="5">
                  <c:v>19561.621013208514</c:v>
                </c:pt>
                <c:pt idx="6">
                  <c:v>19561.621013208514</c:v>
                </c:pt>
                <c:pt idx="7">
                  <c:v>19561.621013208514</c:v>
                </c:pt>
                <c:pt idx="8">
                  <c:v>19561.621013208514</c:v>
                </c:pt>
                <c:pt idx="9">
                  <c:v>19561.621013208514</c:v>
                </c:pt>
                <c:pt idx="10">
                  <c:v>19561.621013208514</c:v>
                </c:pt>
                <c:pt idx="11">
                  <c:v>19561.621013208514</c:v>
                </c:pt>
                <c:pt idx="12">
                  <c:v>19561.621013208514</c:v>
                </c:pt>
                <c:pt idx="13">
                  <c:v>19561.621013208514</c:v>
                </c:pt>
                <c:pt idx="14">
                  <c:v>19561.621013208514</c:v>
                </c:pt>
                <c:pt idx="15">
                  <c:v>19561.621013208514</c:v>
                </c:pt>
              </c:numCache>
            </c:numRef>
          </c:val>
          <c:smooth val="0"/>
        </c:ser>
        <c:ser>
          <c:idx val="1"/>
          <c:order val="1"/>
          <c:tx>
            <c:strRef>
              <c:f>'provräknignar invkm2'!$E$188</c:f>
              <c:strCache>
                <c:ptCount val="1"/>
                <c:pt idx="0">
                  <c:v>Medeltal av kommuner</c:v>
                </c:pt>
              </c:strCache>
            </c:strRef>
          </c:tx>
          <c:marker>
            <c:symbol val="none"/>
          </c:marker>
          <c:val>
            <c:numRef>
              <c:f>'provräknignar invkm2'!$E$189:$E$204</c:f>
              <c:numCache>
                <c:formatCode>General</c:formatCode>
                <c:ptCount val="16"/>
                <c:pt idx="0">
                  <c:v>17623.081993881544</c:v>
                </c:pt>
                <c:pt idx="1">
                  <c:v>17623.081993881544</c:v>
                </c:pt>
                <c:pt idx="2">
                  <c:v>17623.081993881544</c:v>
                </c:pt>
                <c:pt idx="3">
                  <c:v>17623.081993881544</c:v>
                </c:pt>
                <c:pt idx="4">
                  <c:v>17623.081993881544</c:v>
                </c:pt>
                <c:pt idx="5">
                  <c:v>17623.081993881544</c:v>
                </c:pt>
                <c:pt idx="6">
                  <c:v>17623.081993881544</c:v>
                </c:pt>
                <c:pt idx="7">
                  <c:v>17623.081993881544</c:v>
                </c:pt>
                <c:pt idx="8">
                  <c:v>17623.081993881544</c:v>
                </c:pt>
                <c:pt idx="9">
                  <c:v>17623.081993881544</c:v>
                </c:pt>
                <c:pt idx="10">
                  <c:v>17623.081993881544</c:v>
                </c:pt>
                <c:pt idx="11">
                  <c:v>17623.081993881544</c:v>
                </c:pt>
                <c:pt idx="12">
                  <c:v>17623.081993881544</c:v>
                </c:pt>
                <c:pt idx="13">
                  <c:v>17623.081993881544</c:v>
                </c:pt>
                <c:pt idx="14">
                  <c:v>17623.081993881544</c:v>
                </c:pt>
                <c:pt idx="15">
                  <c:v>17623.081993881544</c:v>
                </c:pt>
              </c:numCache>
            </c:numRef>
          </c:val>
          <c:smooth val="0"/>
        </c:ser>
        <c:ser>
          <c:idx val="0"/>
          <c:order val="2"/>
          <c:tx>
            <c:strRef>
              <c:f>'provräknignar invkm2'!$D$188</c:f>
              <c:strCache>
                <c:ptCount val="1"/>
                <c:pt idx="0">
                  <c:v>Kommunvis beskattningsbar inkomst och smfskatter per invånare</c:v>
                </c:pt>
              </c:strCache>
            </c:strRef>
          </c:tx>
          <c:marker>
            <c:symbol val="none"/>
          </c:marker>
          <c:val>
            <c:numRef>
              <c:f>'provräknignar invkm2'!$D$189:$D$204</c:f>
              <c:numCache>
                <c:formatCode>General</c:formatCode>
                <c:ptCount val="16"/>
                <c:pt idx="0">
                  <c:v>10451.817952143343</c:v>
                </c:pt>
                <c:pt idx="1">
                  <c:v>12003.988885277331</c:v>
                </c:pt>
                <c:pt idx="2">
                  <c:v>12709.530239296724</c:v>
                </c:pt>
                <c:pt idx="3">
                  <c:v>13358.782289101891</c:v>
                </c:pt>
                <c:pt idx="4">
                  <c:v>13713.700724267455</c:v>
                </c:pt>
                <c:pt idx="5">
                  <c:v>13731.490087444678</c:v>
                </c:pt>
                <c:pt idx="6">
                  <c:v>14616.288699794051</c:v>
                </c:pt>
                <c:pt idx="7">
                  <c:v>14888.134655832506</c:v>
                </c:pt>
                <c:pt idx="8">
                  <c:v>14919.35176451193</c:v>
                </c:pt>
                <c:pt idx="9">
                  <c:v>15218.860826139113</c:v>
                </c:pt>
                <c:pt idx="10">
                  <c:v>15245.44880245821</c:v>
                </c:pt>
                <c:pt idx="11">
                  <c:v>15414.225732572095</c:v>
                </c:pt>
                <c:pt idx="12">
                  <c:v>15459.630370395465</c:v>
                </c:pt>
                <c:pt idx="13">
                  <c:v>15784.794601028836</c:v>
                </c:pt>
                <c:pt idx="14">
                  <c:v>16186.792859181089</c:v>
                </c:pt>
                <c:pt idx="15">
                  <c:v>21895.99222725839</c:v>
                </c:pt>
              </c:numCache>
            </c:numRef>
          </c:val>
          <c:smooth val="0"/>
        </c:ser>
        <c:ser>
          <c:idx val="3"/>
          <c:order val="3"/>
          <c:tx>
            <c:strRef>
              <c:f>'provräknignar invkm2'!$G$188</c:f>
              <c:strCache>
                <c:ptCount val="1"/>
                <c:pt idx="0">
                  <c:v>Utbetalning</c:v>
                </c:pt>
              </c:strCache>
            </c:strRef>
          </c:tx>
          <c:marker>
            <c:symbol val="none"/>
          </c:marker>
          <c:val>
            <c:numRef>
              <c:f>'provräknignar invkm2'!$G$189:$G$204</c:f>
              <c:numCache>
                <c:formatCode>General</c:formatCode>
                <c:ptCount val="16"/>
                <c:pt idx="0">
                  <c:v>1393.7998683429712</c:v>
                </c:pt>
                <c:pt idx="1">
                  <c:v>1156.3177155734711</c:v>
                </c:pt>
                <c:pt idx="2">
                  <c:v>1048.369888408504</c:v>
                </c:pt>
                <c:pt idx="3">
                  <c:v>949.03432478831337</c:v>
                </c:pt>
                <c:pt idx="4">
                  <c:v>894.73180420798212</c:v>
                </c:pt>
                <c:pt idx="5">
                  <c:v>892.01003164186716</c:v>
                </c:pt>
                <c:pt idx="6">
                  <c:v>756.63584395241287</c:v>
                </c:pt>
                <c:pt idx="7">
                  <c:v>715.04341267852942</c:v>
                </c:pt>
                <c:pt idx="8">
                  <c:v>710.26719505057747</c:v>
                </c:pt>
                <c:pt idx="9">
                  <c:v>664.44230862161851</c:v>
                </c:pt>
                <c:pt idx="10">
                  <c:v>660.37434824479669</c:v>
                </c:pt>
                <c:pt idx="11">
                  <c:v>634.55147793737228</c:v>
                </c:pt>
                <c:pt idx="12">
                  <c:v>627.60456835039656</c:v>
                </c:pt>
                <c:pt idx="13">
                  <c:v>577.85444106349087</c:v>
                </c:pt>
                <c:pt idx="14">
                  <c:v>516.34870756619625</c:v>
                </c:pt>
                <c:pt idx="15">
                  <c:v>0</c:v>
                </c:pt>
              </c:numCache>
            </c:numRef>
          </c:val>
          <c:smooth val="0"/>
        </c:ser>
        <c:dLbls>
          <c:showLegendKey val="0"/>
          <c:showVal val="0"/>
          <c:showCatName val="0"/>
          <c:showSerName val="0"/>
          <c:showPercent val="0"/>
          <c:showBubbleSize val="0"/>
        </c:dLbls>
        <c:marker val="1"/>
        <c:smooth val="0"/>
        <c:axId val="136253824"/>
        <c:axId val="136255744"/>
      </c:lineChart>
      <c:catAx>
        <c:axId val="136253824"/>
        <c:scaling>
          <c:orientation val="minMax"/>
        </c:scaling>
        <c:delete val="0"/>
        <c:axPos val="b"/>
        <c:title>
          <c:tx>
            <c:rich>
              <a:bodyPr/>
              <a:lstStyle/>
              <a:p>
                <a:pPr>
                  <a:defRPr sz="1600"/>
                </a:pPr>
                <a:r>
                  <a:rPr lang="en-US" sz="1600"/>
                  <a:t>16</a:t>
                </a:r>
                <a:r>
                  <a:rPr lang="en-US" sz="1600" baseline="0"/>
                  <a:t> </a:t>
                </a:r>
              </a:p>
              <a:p>
                <a:pPr>
                  <a:defRPr sz="1600"/>
                </a:pPr>
                <a:r>
                  <a:rPr lang="en-US" sz="1600"/>
                  <a:t>Kommuner</a:t>
                </a:r>
              </a:p>
            </c:rich>
          </c:tx>
          <c:layout>
            <c:manualLayout>
              <c:xMode val="edge"/>
              <c:yMode val="edge"/>
              <c:x val="0.74974537955177023"/>
              <c:y val="0.91068330128197783"/>
            </c:manualLayout>
          </c:layout>
          <c:overlay val="0"/>
        </c:title>
        <c:majorTickMark val="none"/>
        <c:minorTickMark val="none"/>
        <c:tickLblPos val="nextTo"/>
        <c:crossAx val="136255744"/>
        <c:crosses val="autoZero"/>
        <c:auto val="1"/>
        <c:lblAlgn val="ctr"/>
        <c:lblOffset val="100"/>
        <c:noMultiLvlLbl val="0"/>
      </c:catAx>
      <c:valAx>
        <c:axId val="136255744"/>
        <c:scaling>
          <c:orientation val="minMax"/>
        </c:scaling>
        <c:delete val="0"/>
        <c:axPos val="l"/>
        <c:majorGridlines/>
        <c:title>
          <c:tx>
            <c:rich>
              <a:bodyPr rot="0" vert="horz"/>
              <a:lstStyle/>
              <a:p>
                <a:pPr>
                  <a:defRPr sz="1600"/>
                </a:pPr>
                <a:r>
                  <a:rPr lang="sv-FI" sz="1600"/>
                  <a:t>beskattingsbar inkomst euro/</a:t>
                </a:r>
                <a:r>
                  <a:rPr lang="sv-FI" sz="1600" baseline="0"/>
                  <a:t>inv </a:t>
                </a:r>
                <a:r>
                  <a:rPr lang="sv-FI" sz="1600"/>
                  <a:t> + samfundsskatteören</a:t>
                </a:r>
                <a:r>
                  <a:rPr lang="sv-FI" sz="1600" baseline="0"/>
                  <a:t> </a:t>
                </a:r>
                <a:r>
                  <a:rPr lang="sv-FI" sz="1600"/>
                  <a:t> euro/</a:t>
                </a:r>
                <a:r>
                  <a:rPr lang="sv-FI" sz="1600" baseline="0"/>
                  <a:t>inv</a:t>
                </a:r>
                <a:endParaRPr lang="sv-FI" sz="1600"/>
              </a:p>
            </c:rich>
          </c:tx>
          <c:layout>
            <c:manualLayout>
              <c:xMode val="edge"/>
              <c:yMode val="edge"/>
              <c:x val="8.6871256323112656E-2"/>
              <c:y val="4.8473568519227378E-2"/>
            </c:manualLayout>
          </c:layout>
          <c:overlay val="0"/>
        </c:title>
        <c:numFmt formatCode="#,##0" sourceLinked="0"/>
        <c:majorTickMark val="none"/>
        <c:minorTickMark val="none"/>
        <c:tickLblPos val="nextTo"/>
        <c:txPr>
          <a:bodyPr/>
          <a:lstStyle/>
          <a:p>
            <a:pPr>
              <a:defRPr sz="1400"/>
            </a:pPr>
            <a:endParaRPr lang="sv-FI"/>
          </a:p>
        </c:txPr>
        <c:crossAx val="136253824"/>
        <c:crosses val="autoZero"/>
        <c:crossBetween val="between"/>
      </c:valAx>
    </c:plotArea>
    <c:legend>
      <c:legendPos val="r"/>
      <c:layout>
        <c:manualLayout>
          <c:xMode val="edge"/>
          <c:yMode val="edge"/>
          <c:x val="0.7953459690672442"/>
          <c:y val="0.23861508346723087"/>
          <c:w val="0.20465403093275575"/>
          <c:h val="0.66348025002349409"/>
        </c:manualLayout>
      </c:layout>
      <c:overlay val="0"/>
      <c:txPr>
        <a:bodyPr/>
        <a:lstStyle/>
        <a:p>
          <a:pPr>
            <a:defRPr sz="1600"/>
          </a:pPr>
          <a:endParaRPr lang="sv-FI"/>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sv-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6.085413741886915E-2"/>
          <c:y val="0.14572314824283333"/>
          <c:w val="0.7575345717444234"/>
          <c:h val="0.70722323345945415"/>
        </c:manualLayout>
      </c:layout>
      <c:lineChart>
        <c:grouping val="standard"/>
        <c:varyColors val="0"/>
        <c:ser>
          <c:idx val="0"/>
          <c:order val="0"/>
          <c:tx>
            <c:strRef>
              <c:f>'2. Kostnadsutj. skola (2013)'!$G$27</c:f>
              <c:strCache>
                <c:ptCount val="1"/>
                <c:pt idx="0">
                  <c:v>Ersättningsgrad</c:v>
                </c:pt>
              </c:strCache>
            </c:strRef>
          </c:tx>
          <c:marker>
            <c:symbol val="none"/>
          </c:marker>
          <c:cat>
            <c:strRef>
              <c:f>'2. Kostnadsutj. skola (2013)'!$H$23:$S$23</c:f>
              <c:strCache>
                <c:ptCount val="12"/>
                <c:pt idx="1">
                  <c:v>0-40</c:v>
                </c:pt>
                <c:pt idx="2">
                  <c:v>40-60</c:v>
                </c:pt>
                <c:pt idx="3">
                  <c:v>60-80</c:v>
                </c:pt>
                <c:pt idx="4">
                  <c:v>80-100</c:v>
                </c:pt>
                <c:pt idx="5">
                  <c:v>100-150</c:v>
                </c:pt>
                <c:pt idx="6">
                  <c:v>150-200</c:v>
                </c:pt>
                <c:pt idx="7">
                  <c:v>200-250</c:v>
                </c:pt>
                <c:pt idx="8">
                  <c:v>250-350</c:v>
                </c:pt>
                <c:pt idx="9">
                  <c:v>350-450</c:v>
                </c:pt>
                <c:pt idx="10">
                  <c:v>450-650</c:v>
                </c:pt>
                <c:pt idx="11">
                  <c:v>650-2000</c:v>
                </c:pt>
              </c:strCache>
            </c:strRef>
          </c:cat>
          <c:val>
            <c:numRef>
              <c:f>'2. Kostnadsutj. skola (2013)'!$H$27:$S$27</c:f>
              <c:numCache>
                <c:formatCode>0.00</c:formatCode>
                <c:ptCount val="12"/>
                <c:pt idx="1">
                  <c:v>0.45</c:v>
                </c:pt>
                <c:pt idx="2">
                  <c:v>0.28000000000000003</c:v>
                </c:pt>
                <c:pt idx="3">
                  <c:v>0.2</c:v>
                </c:pt>
                <c:pt idx="4">
                  <c:v>0.08</c:v>
                </c:pt>
                <c:pt idx="5">
                  <c:v>0.04</c:v>
                </c:pt>
                <c:pt idx="6">
                  <c:v>2.5000000000000001E-2</c:v>
                </c:pt>
                <c:pt idx="7">
                  <c:v>2.5000000000000001E-2</c:v>
                </c:pt>
                <c:pt idx="8">
                  <c:v>2.5000000000000001E-2</c:v>
                </c:pt>
                <c:pt idx="9">
                  <c:v>2.5000000000000001E-2</c:v>
                </c:pt>
                <c:pt idx="10">
                  <c:v>2.5000000000000001E-2</c:v>
                </c:pt>
                <c:pt idx="11">
                  <c:v>2.5000000000000001E-2</c:v>
                </c:pt>
              </c:numCache>
            </c:numRef>
          </c:val>
          <c:smooth val="0"/>
        </c:ser>
        <c:dLbls>
          <c:showLegendKey val="0"/>
          <c:showVal val="0"/>
          <c:showCatName val="0"/>
          <c:showSerName val="0"/>
          <c:showPercent val="0"/>
          <c:showBubbleSize val="0"/>
        </c:dLbls>
        <c:marker val="1"/>
        <c:smooth val="0"/>
        <c:axId val="141355648"/>
        <c:axId val="135537408"/>
      </c:lineChart>
      <c:catAx>
        <c:axId val="141355648"/>
        <c:scaling>
          <c:orientation val="minMax"/>
        </c:scaling>
        <c:delete val="0"/>
        <c:axPos val="b"/>
        <c:title>
          <c:tx>
            <c:rich>
              <a:bodyPr/>
              <a:lstStyle/>
              <a:p>
                <a:pPr>
                  <a:defRPr/>
                </a:pPr>
                <a:r>
                  <a:rPr lang="en-US"/>
                  <a:t>Intervall av personer, 6-15</a:t>
                </a:r>
              </a:p>
            </c:rich>
          </c:tx>
          <c:layout>
            <c:manualLayout>
              <c:xMode val="edge"/>
              <c:yMode val="edge"/>
              <c:x val="0.7867928825073337"/>
              <c:y val="0.93489985809925624"/>
            </c:manualLayout>
          </c:layout>
          <c:overlay val="0"/>
        </c:title>
        <c:majorTickMark val="out"/>
        <c:minorTickMark val="none"/>
        <c:tickLblPos val="nextTo"/>
        <c:crossAx val="135537408"/>
        <c:crosses val="autoZero"/>
        <c:auto val="1"/>
        <c:lblAlgn val="ctr"/>
        <c:lblOffset val="100"/>
        <c:noMultiLvlLbl val="0"/>
      </c:catAx>
      <c:valAx>
        <c:axId val="135537408"/>
        <c:scaling>
          <c:orientation val="minMax"/>
        </c:scaling>
        <c:delete val="0"/>
        <c:axPos val="l"/>
        <c:majorGridlines/>
        <c:numFmt formatCode="0%" sourceLinked="0"/>
        <c:majorTickMark val="out"/>
        <c:minorTickMark val="none"/>
        <c:tickLblPos val="nextTo"/>
        <c:crossAx val="141355648"/>
        <c:crosses val="autoZero"/>
        <c:crossBetween val="between"/>
      </c:valAx>
    </c:plotArea>
    <c:legend>
      <c:legendPos val="r"/>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sv-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6.085413741886915E-2"/>
          <c:y val="0.14572314824283333"/>
          <c:w val="0.7575345717444234"/>
          <c:h val="0.70722323345945415"/>
        </c:manualLayout>
      </c:layout>
      <c:lineChart>
        <c:grouping val="standard"/>
        <c:varyColors val="0"/>
        <c:ser>
          <c:idx val="0"/>
          <c:order val="0"/>
          <c:tx>
            <c:strRef>
              <c:f>'B2. Kostnadsutj. skola (2014)'!$G$27</c:f>
              <c:strCache>
                <c:ptCount val="1"/>
                <c:pt idx="0">
                  <c:v>Ersättningsgrad</c:v>
                </c:pt>
              </c:strCache>
            </c:strRef>
          </c:tx>
          <c:marker>
            <c:symbol val="none"/>
          </c:marker>
          <c:cat>
            <c:strRef>
              <c:f>'B2. Kostnadsutj. skola (2014)'!$H$23:$S$23</c:f>
              <c:strCache>
                <c:ptCount val="12"/>
                <c:pt idx="1">
                  <c:v>0-40</c:v>
                </c:pt>
                <c:pt idx="2">
                  <c:v>40-60</c:v>
                </c:pt>
                <c:pt idx="3">
                  <c:v>60-80</c:v>
                </c:pt>
                <c:pt idx="4">
                  <c:v>80-100</c:v>
                </c:pt>
                <c:pt idx="5">
                  <c:v>100-150</c:v>
                </c:pt>
                <c:pt idx="6">
                  <c:v>150-200</c:v>
                </c:pt>
                <c:pt idx="7">
                  <c:v>200-250</c:v>
                </c:pt>
                <c:pt idx="8">
                  <c:v>250-350</c:v>
                </c:pt>
                <c:pt idx="9">
                  <c:v>350-450</c:v>
                </c:pt>
                <c:pt idx="10">
                  <c:v>450-650</c:v>
                </c:pt>
                <c:pt idx="11">
                  <c:v>650-2000</c:v>
                </c:pt>
              </c:strCache>
            </c:strRef>
          </c:cat>
          <c:val>
            <c:numRef>
              <c:f>'B2. Kostnadsutj. skola (2014)'!$H$27:$S$27</c:f>
              <c:numCache>
                <c:formatCode>0.00</c:formatCode>
                <c:ptCount val="12"/>
                <c:pt idx="1">
                  <c:v>0.45</c:v>
                </c:pt>
                <c:pt idx="2">
                  <c:v>0.28000000000000003</c:v>
                </c:pt>
                <c:pt idx="3">
                  <c:v>0.2</c:v>
                </c:pt>
                <c:pt idx="4">
                  <c:v>0.08</c:v>
                </c:pt>
                <c:pt idx="5">
                  <c:v>0.04</c:v>
                </c:pt>
                <c:pt idx="6">
                  <c:v>2.5000000000000001E-2</c:v>
                </c:pt>
                <c:pt idx="7">
                  <c:v>2.5000000000000001E-2</c:v>
                </c:pt>
                <c:pt idx="8">
                  <c:v>2.5000000000000001E-2</c:v>
                </c:pt>
                <c:pt idx="9">
                  <c:v>2.5000000000000001E-2</c:v>
                </c:pt>
                <c:pt idx="10">
                  <c:v>2.5000000000000001E-2</c:v>
                </c:pt>
                <c:pt idx="11">
                  <c:v>2.5000000000000001E-2</c:v>
                </c:pt>
              </c:numCache>
            </c:numRef>
          </c:val>
          <c:smooth val="0"/>
        </c:ser>
        <c:dLbls>
          <c:showLegendKey val="0"/>
          <c:showVal val="0"/>
          <c:showCatName val="0"/>
          <c:showSerName val="0"/>
          <c:showPercent val="0"/>
          <c:showBubbleSize val="0"/>
        </c:dLbls>
        <c:marker val="1"/>
        <c:smooth val="0"/>
        <c:axId val="143114240"/>
        <c:axId val="143116160"/>
      </c:lineChart>
      <c:catAx>
        <c:axId val="143114240"/>
        <c:scaling>
          <c:orientation val="minMax"/>
        </c:scaling>
        <c:delete val="0"/>
        <c:axPos val="b"/>
        <c:title>
          <c:tx>
            <c:rich>
              <a:bodyPr/>
              <a:lstStyle/>
              <a:p>
                <a:pPr>
                  <a:defRPr/>
                </a:pPr>
                <a:r>
                  <a:rPr lang="en-US"/>
                  <a:t>Intervall av personer, 6-15</a:t>
                </a:r>
              </a:p>
            </c:rich>
          </c:tx>
          <c:layout>
            <c:manualLayout>
              <c:xMode val="edge"/>
              <c:yMode val="edge"/>
              <c:x val="0.7867928825073337"/>
              <c:y val="0.93489985809925624"/>
            </c:manualLayout>
          </c:layout>
          <c:overlay val="0"/>
        </c:title>
        <c:majorTickMark val="out"/>
        <c:minorTickMark val="none"/>
        <c:tickLblPos val="nextTo"/>
        <c:crossAx val="143116160"/>
        <c:crosses val="autoZero"/>
        <c:auto val="1"/>
        <c:lblAlgn val="ctr"/>
        <c:lblOffset val="100"/>
        <c:noMultiLvlLbl val="0"/>
      </c:catAx>
      <c:valAx>
        <c:axId val="143116160"/>
        <c:scaling>
          <c:orientation val="minMax"/>
        </c:scaling>
        <c:delete val="0"/>
        <c:axPos val="l"/>
        <c:majorGridlines/>
        <c:numFmt formatCode="0%" sourceLinked="0"/>
        <c:majorTickMark val="out"/>
        <c:minorTickMark val="none"/>
        <c:tickLblPos val="nextTo"/>
        <c:crossAx val="143114240"/>
        <c:crosses val="autoZero"/>
        <c:crossBetween val="between"/>
      </c:valAx>
    </c:plotArea>
    <c:legend>
      <c:legendPos val="r"/>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sv-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6.085413741886915E-2"/>
          <c:y val="0.14572314824283333"/>
          <c:w val="0.7575345717444234"/>
          <c:h val="0.70722323345945415"/>
        </c:manualLayout>
      </c:layout>
      <c:lineChart>
        <c:grouping val="standard"/>
        <c:varyColors val="0"/>
        <c:ser>
          <c:idx val="0"/>
          <c:order val="0"/>
          <c:tx>
            <c:strRef>
              <c:f>'C2. Kostnadsutj. skola (2015)'!$G$27</c:f>
              <c:strCache>
                <c:ptCount val="1"/>
                <c:pt idx="0">
                  <c:v>Ersättningsgrad</c:v>
                </c:pt>
              </c:strCache>
            </c:strRef>
          </c:tx>
          <c:marker>
            <c:symbol val="none"/>
          </c:marker>
          <c:cat>
            <c:strRef>
              <c:f>'C2. Kostnadsutj. skola (2015)'!$H$23:$S$23</c:f>
              <c:strCache>
                <c:ptCount val="12"/>
                <c:pt idx="1">
                  <c:v>0-40</c:v>
                </c:pt>
                <c:pt idx="2">
                  <c:v>40-60</c:v>
                </c:pt>
                <c:pt idx="3">
                  <c:v>60-80</c:v>
                </c:pt>
                <c:pt idx="4">
                  <c:v>80-100</c:v>
                </c:pt>
                <c:pt idx="5">
                  <c:v>100-150</c:v>
                </c:pt>
                <c:pt idx="6">
                  <c:v>150-200</c:v>
                </c:pt>
                <c:pt idx="7">
                  <c:v>200-250</c:v>
                </c:pt>
                <c:pt idx="8">
                  <c:v>250-350</c:v>
                </c:pt>
                <c:pt idx="9">
                  <c:v>350-450</c:v>
                </c:pt>
                <c:pt idx="10">
                  <c:v>450-650</c:v>
                </c:pt>
                <c:pt idx="11">
                  <c:v>650-2000</c:v>
                </c:pt>
              </c:strCache>
            </c:strRef>
          </c:cat>
          <c:val>
            <c:numRef>
              <c:f>'C2. Kostnadsutj. skola (2015)'!$H$27:$S$27</c:f>
              <c:numCache>
                <c:formatCode>0.00</c:formatCode>
                <c:ptCount val="12"/>
                <c:pt idx="1">
                  <c:v>0.45</c:v>
                </c:pt>
                <c:pt idx="2">
                  <c:v>0.28000000000000003</c:v>
                </c:pt>
                <c:pt idx="3">
                  <c:v>0.2</c:v>
                </c:pt>
                <c:pt idx="4">
                  <c:v>0.08</c:v>
                </c:pt>
                <c:pt idx="5">
                  <c:v>0.04</c:v>
                </c:pt>
                <c:pt idx="6">
                  <c:v>2.5000000000000001E-2</c:v>
                </c:pt>
                <c:pt idx="7">
                  <c:v>2.5000000000000001E-2</c:v>
                </c:pt>
                <c:pt idx="8">
                  <c:v>2.5000000000000001E-2</c:v>
                </c:pt>
                <c:pt idx="9">
                  <c:v>2.5000000000000001E-2</c:v>
                </c:pt>
                <c:pt idx="10">
                  <c:v>2.5000000000000001E-2</c:v>
                </c:pt>
                <c:pt idx="11">
                  <c:v>2.5000000000000001E-2</c:v>
                </c:pt>
              </c:numCache>
            </c:numRef>
          </c:val>
          <c:smooth val="0"/>
        </c:ser>
        <c:dLbls>
          <c:showLegendKey val="0"/>
          <c:showVal val="0"/>
          <c:showCatName val="0"/>
          <c:showSerName val="0"/>
          <c:showPercent val="0"/>
          <c:showBubbleSize val="0"/>
        </c:dLbls>
        <c:marker val="1"/>
        <c:smooth val="0"/>
        <c:axId val="143144064"/>
        <c:axId val="143145984"/>
      </c:lineChart>
      <c:catAx>
        <c:axId val="143144064"/>
        <c:scaling>
          <c:orientation val="minMax"/>
        </c:scaling>
        <c:delete val="0"/>
        <c:axPos val="b"/>
        <c:title>
          <c:tx>
            <c:rich>
              <a:bodyPr/>
              <a:lstStyle/>
              <a:p>
                <a:pPr>
                  <a:defRPr/>
                </a:pPr>
                <a:r>
                  <a:rPr lang="en-US"/>
                  <a:t>Intervall av personer, 6-15</a:t>
                </a:r>
              </a:p>
            </c:rich>
          </c:tx>
          <c:layout>
            <c:manualLayout>
              <c:xMode val="edge"/>
              <c:yMode val="edge"/>
              <c:x val="0.7867928825073337"/>
              <c:y val="0.93489985809925624"/>
            </c:manualLayout>
          </c:layout>
          <c:overlay val="0"/>
        </c:title>
        <c:majorTickMark val="out"/>
        <c:minorTickMark val="none"/>
        <c:tickLblPos val="nextTo"/>
        <c:crossAx val="143145984"/>
        <c:crosses val="autoZero"/>
        <c:auto val="1"/>
        <c:lblAlgn val="ctr"/>
        <c:lblOffset val="100"/>
        <c:noMultiLvlLbl val="0"/>
      </c:catAx>
      <c:valAx>
        <c:axId val="143145984"/>
        <c:scaling>
          <c:orientation val="minMax"/>
        </c:scaling>
        <c:delete val="0"/>
        <c:axPos val="l"/>
        <c:majorGridlines/>
        <c:numFmt formatCode="0%" sourceLinked="0"/>
        <c:majorTickMark val="out"/>
        <c:minorTickMark val="none"/>
        <c:tickLblPos val="nextTo"/>
        <c:crossAx val="143144064"/>
        <c:crosses val="autoZero"/>
        <c:crossBetween val="between"/>
      </c:valAx>
    </c:plotArea>
    <c:legend>
      <c:legendPos val="r"/>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sv-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6.085413741886915E-2"/>
          <c:y val="0.14572314824283333"/>
          <c:w val="0.7575345717444234"/>
          <c:h val="0.70722323345945415"/>
        </c:manualLayout>
      </c:layout>
      <c:lineChart>
        <c:grouping val="standard"/>
        <c:varyColors val="0"/>
        <c:ser>
          <c:idx val="0"/>
          <c:order val="0"/>
          <c:tx>
            <c:strRef>
              <c:f>'5. Skärgårdstillägg'!$G$22</c:f>
              <c:strCache>
                <c:ptCount val="1"/>
                <c:pt idx="0">
                  <c:v>Ersättningsgrad</c:v>
                </c:pt>
              </c:strCache>
            </c:strRef>
          </c:tx>
          <c:marker>
            <c:symbol val="none"/>
          </c:marker>
          <c:cat>
            <c:strRef>
              <c:f>'5. Skärgårdstillägg'!$H$18:$S$18</c:f>
              <c:strCache>
                <c:ptCount val="4"/>
                <c:pt idx="1">
                  <c:v>0-40</c:v>
                </c:pt>
                <c:pt idx="2">
                  <c:v>40-60</c:v>
                </c:pt>
                <c:pt idx="3">
                  <c:v>60-80</c:v>
                </c:pt>
              </c:strCache>
            </c:strRef>
          </c:cat>
          <c:val>
            <c:numRef>
              <c:f>'5. Skärgårdstillägg'!$H$22:$S$22</c:f>
              <c:numCache>
                <c:formatCode>0.00</c:formatCode>
                <c:ptCount val="12"/>
                <c:pt idx="1">
                  <c:v>0.14000000000000001</c:v>
                </c:pt>
                <c:pt idx="2">
                  <c:v>0.14000000000000001</c:v>
                </c:pt>
                <c:pt idx="3">
                  <c:v>0</c:v>
                </c:pt>
              </c:numCache>
            </c:numRef>
          </c:val>
          <c:smooth val="0"/>
        </c:ser>
        <c:dLbls>
          <c:showLegendKey val="0"/>
          <c:showVal val="0"/>
          <c:showCatName val="0"/>
          <c:showSerName val="0"/>
          <c:showPercent val="0"/>
          <c:showBubbleSize val="0"/>
        </c:dLbls>
        <c:marker val="1"/>
        <c:smooth val="0"/>
        <c:axId val="144410112"/>
        <c:axId val="144412032"/>
      </c:lineChart>
      <c:catAx>
        <c:axId val="144410112"/>
        <c:scaling>
          <c:orientation val="minMax"/>
        </c:scaling>
        <c:delete val="0"/>
        <c:axPos val="b"/>
        <c:title>
          <c:tx>
            <c:rich>
              <a:bodyPr/>
              <a:lstStyle/>
              <a:p>
                <a:pPr>
                  <a:defRPr/>
                </a:pPr>
                <a:r>
                  <a:rPr lang="en-US"/>
                  <a:t>Intervall av personer, 6-15</a:t>
                </a:r>
              </a:p>
            </c:rich>
          </c:tx>
          <c:layout>
            <c:manualLayout>
              <c:xMode val="edge"/>
              <c:yMode val="edge"/>
              <c:x val="0.7867928825073337"/>
              <c:y val="0.93489985809925624"/>
            </c:manualLayout>
          </c:layout>
          <c:overlay val="0"/>
        </c:title>
        <c:majorTickMark val="out"/>
        <c:minorTickMark val="none"/>
        <c:tickLblPos val="nextTo"/>
        <c:crossAx val="144412032"/>
        <c:crosses val="autoZero"/>
        <c:auto val="1"/>
        <c:lblAlgn val="ctr"/>
        <c:lblOffset val="100"/>
        <c:noMultiLvlLbl val="0"/>
      </c:catAx>
      <c:valAx>
        <c:axId val="144412032"/>
        <c:scaling>
          <c:orientation val="minMax"/>
        </c:scaling>
        <c:delete val="0"/>
        <c:axPos val="l"/>
        <c:majorGridlines/>
        <c:numFmt formatCode="0%" sourceLinked="0"/>
        <c:majorTickMark val="out"/>
        <c:minorTickMark val="none"/>
        <c:tickLblPos val="nextTo"/>
        <c:crossAx val="144410112"/>
        <c:crosses val="autoZero"/>
        <c:crossBetween val="between"/>
      </c:valAx>
    </c:plotArea>
    <c:legend>
      <c:legendPos val="r"/>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sv-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6.085413741886915E-2"/>
          <c:y val="0.14572314824283333"/>
          <c:w val="0.7575345717444234"/>
          <c:h val="0.70722323345945415"/>
        </c:manualLayout>
      </c:layout>
      <c:lineChart>
        <c:grouping val="standard"/>
        <c:varyColors val="0"/>
        <c:ser>
          <c:idx val="0"/>
          <c:order val="0"/>
          <c:tx>
            <c:strRef>
              <c:f>'B5. Skärgårdstillägg (2014)'!$G$22</c:f>
              <c:strCache>
                <c:ptCount val="1"/>
                <c:pt idx="0">
                  <c:v>Ersättningsgrad</c:v>
                </c:pt>
              </c:strCache>
            </c:strRef>
          </c:tx>
          <c:marker>
            <c:symbol val="none"/>
          </c:marker>
          <c:cat>
            <c:strRef>
              <c:f>'B5. Skärgårdstillägg (2014)'!$H$18:$S$18</c:f>
              <c:strCache>
                <c:ptCount val="4"/>
                <c:pt idx="1">
                  <c:v>0-40</c:v>
                </c:pt>
                <c:pt idx="2">
                  <c:v>40-60</c:v>
                </c:pt>
                <c:pt idx="3">
                  <c:v>60-80</c:v>
                </c:pt>
              </c:strCache>
            </c:strRef>
          </c:cat>
          <c:val>
            <c:numRef>
              <c:f>'B5. Skärgårdstillägg (2014)'!$H$22:$S$22</c:f>
              <c:numCache>
                <c:formatCode>0.00</c:formatCode>
                <c:ptCount val="12"/>
                <c:pt idx="1">
                  <c:v>0.14000000000000001</c:v>
                </c:pt>
                <c:pt idx="2">
                  <c:v>0.14000000000000001</c:v>
                </c:pt>
                <c:pt idx="3">
                  <c:v>0</c:v>
                </c:pt>
              </c:numCache>
            </c:numRef>
          </c:val>
          <c:smooth val="0"/>
        </c:ser>
        <c:dLbls>
          <c:showLegendKey val="0"/>
          <c:showVal val="0"/>
          <c:showCatName val="0"/>
          <c:showSerName val="0"/>
          <c:showPercent val="0"/>
          <c:showBubbleSize val="0"/>
        </c:dLbls>
        <c:marker val="1"/>
        <c:smooth val="0"/>
        <c:axId val="146422400"/>
        <c:axId val="146440960"/>
      </c:lineChart>
      <c:catAx>
        <c:axId val="146422400"/>
        <c:scaling>
          <c:orientation val="minMax"/>
        </c:scaling>
        <c:delete val="0"/>
        <c:axPos val="b"/>
        <c:title>
          <c:tx>
            <c:rich>
              <a:bodyPr/>
              <a:lstStyle/>
              <a:p>
                <a:pPr>
                  <a:defRPr/>
                </a:pPr>
                <a:r>
                  <a:rPr lang="en-US"/>
                  <a:t>Intervall av personer, 6-15</a:t>
                </a:r>
              </a:p>
            </c:rich>
          </c:tx>
          <c:layout>
            <c:manualLayout>
              <c:xMode val="edge"/>
              <c:yMode val="edge"/>
              <c:x val="0.7867928825073337"/>
              <c:y val="0.93489985809925624"/>
            </c:manualLayout>
          </c:layout>
          <c:overlay val="0"/>
        </c:title>
        <c:majorTickMark val="out"/>
        <c:minorTickMark val="none"/>
        <c:tickLblPos val="nextTo"/>
        <c:crossAx val="146440960"/>
        <c:crosses val="autoZero"/>
        <c:auto val="1"/>
        <c:lblAlgn val="ctr"/>
        <c:lblOffset val="100"/>
        <c:noMultiLvlLbl val="0"/>
      </c:catAx>
      <c:valAx>
        <c:axId val="146440960"/>
        <c:scaling>
          <c:orientation val="minMax"/>
        </c:scaling>
        <c:delete val="0"/>
        <c:axPos val="l"/>
        <c:majorGridlines/>
        <c:numFmt formatCode="0%" sourceLinked="0"/>
        <c:majorTickMark val="out"/>
        <c:minorTickMark val="none"/>
        <c:tickLblPos val="nextTo"/>
        <c:crossAx val="146422400"/>
        <c:crosses val="autoZero"/>
        <c:crossBetween val="between"/>
      </c:valAx>
    </c:plotArea>
    <c:legend>
      <c:legendPos val="r"/>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chart" Target="../charts/chart13.xml"/></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chart" Target="../charts/chart18.xml"/><Relationship Id="rId4" Type="http://schemas.openxmlformats.org/officeDocument/2006/relationships/chart" Target="../charts/chart17.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image" Target="../media/image3.png"/><Relationship Id="rId4" Type="http://schemas.openxmlformats.org/officeDocument/2006/relationships/chart" Target="../charts/chart25.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481853</xdr:colOff>
      <xdr:row>0</xdr:row>
      <xdr:rowOff>112059</xdr:rowOff>
    </xdr:from>
    <xdr:to>
      <xdr:col>14</xdr:col>
      <xdr:colOff>268941</xdr:colOff>
      <xdr:row>6</xdr:row>
      <xdr:rowOff>100854</xdr:rowOff>
    </xdr:to>
    <xdr:sp macro="" textlink="">
      <xdr:nvSpPr>
        <xdr:cNvPr id="2" name="textruta 1"/>
        <xdr:cNvSpPr txBox="1"/>
      </xdr:nvSpPr>
      <xdr:spPr>
        <a:xfrm>
          <a:off x="710453" y="112059"/>
          <a:ext cx="9483538" cy="12841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FI" sz="1100"/>
            <a:t>Test av olika utfalll vid  nya avdrag, på uppdrag av Magnus Sandberg.  OBS 2013 års siffror , även beskattningsbara inkomster är för 2013. </a:t>
          </a:r>
          <a:br>
            <a:rPr lang="sv-FI" sz="1100"/>
          </a:br>
          <a:r>
            <a:rPr lang="sv-FI" sz="1100"/>
            <a:t>Variant 5: </a:t>
          </a:r>
          <a:r>
            <a:rPr lang="sv-FI" sz="1100" baseline="0"/>
            <a:t> Nya beräkningsmodellen där samfundskatteören är medräknat  ((här 2013 års siffror))</a:t>
          </a:r>
          <a:r>
            <a:rPr lang="sv-FI" sz="1100"/>
            <a:t/>
          </a:r>
          <a:br>
            <a:rPr lang="sv-FI" sz="1100"/>
          </a:br>
          <a:r>
            <a:rPr lang="sv-FI" sz="1100"/>
            <a:t>Variant 4:</a:t>
          </a:r>
          <a:r>
            <a:rPr lang="sv-FI" sz="1100" baseline="0"/>
            <a:t> </a:t>
          </a:r>
          <a:r>
            <a:rPr lang="sv-FI" sz="1100"/>
            <a:t>  Är den </a:t>
          </a:r>
          <a:r>
            <a:rPr lang="sv-FI" sz="1100" baseline="0"/>
            <a:t> gamla vanliga uträkningen,  här baserat på 2013 års uppgifter.  I vanlig ordning beskattnignsbar inkomst,  och inklusive samfundsskatt. </a:t>
          </a:r>
          <a:br>
            <a:rPr lang="sv-FI" sz="1100" baseline="0"/>
          </a:br>
          <a:r>
            <a:rPr lang="sv-FI" sz="1100" baseline="0"/>
            <a:t>Variant 3:  Dubblat resekostnadsavdrag</a:t>
          </a:r>
          <a:br>
            <a:rPr lang="sv-FI" sz="1100" baseline="0"/>
          </a:br>
          <a:r>
            <a:rPr lang="sv-FI" sz="1100" baseline="0"/>
            <a:t>Variant 2: Allmänt avdrag på 5 procent</a:t>
          </a:r>
          <a:br>
            <a:rPr lang="sv-FI" sz="1100" baseline="0"/>
          </a:br>
          <a:r>
            <a:rPr lang="sv-FI" sz="1100" baseline="0"/>
            <a:t>Variant 1: Siffror före avdrag</a:t>
          </a:r>
          <a:endParaRPr lang="sv-FI"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382361</xdr:colOff>
      <xdr:row>78</xdr:row>
      <xdr:rowOff>80282</xdr:rowOff>
    </xdr:from>
    <xdr:to>
      <xdr:col>8</xdr:col>
      <xdr:colOff>329293</xdr:colOff>
      <xdr:row>99</xdr:row>
      <xdr:rowOff>179613</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0.10294</cdr:x>
      <cdr:y>0.51688</cdr:y>
    </cdr:from>
    <cdr:to>
      <cdr:x>0.22917</cdr:x>
      <cdr:y>0.74074</cdr:y>
    </cdr:to>
    <cdr:sp macro="" textlink="">
      <cdr:nvSpPr>
        <cdr:cNvPr id="3" name="Rektangel med rundade hörn 2"/>
        <cdr:cNvSpPr/>
      </cdr:nvSpPr>
      <cdr:spPr>
        <a:xfrm xmlns:a="http://schemas.openxmlformats.org/drawingml/2006/main">
          <a:off x="800101" y="1993943"/>
          <a:ext cx="981074" cy="863558"/>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sv-FI"/>
            <a:t>Skärgårds-kommuner, lumparland, geta</a:t>
          </a:r>
        </a:p>
      </cdr:txBody>
    </cdr:sp>
  </cdr:relSizeAnchor>
  <cdr:relSizeAnchor xmlns:cdr="http://schemas.openxmlformats.org/drawingml/2006/chartDrawing">
    <cdr:from>
      <cdr:x>0.77499</cdr:x>
      <cdr:y>0.64547</cdr:y>
    </cdr:from>
    <cdr:to>
      <cdr:x>0.90806</cdr:x>
      <cdr:y>0.74764</cdr:y>
    </cdr:to>
    <cdr:sp macro="" textlink="">
      <cdr:nvSpPr>
        <cdr:cNvPr id="4" name="Rektangel med rundade hörn 3"/>
        <cdr:cNvSpPr/>
      </cdr:nvSpPr>
      <cdr:spPr>
        <a:xfrm xmlns:a="http://schemas.openxmlformats.org/drawingml/2006/main">
          <a:off x="6023516" y="2489985"/>
          <a:ext cx="1034313" cy="39411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Mariehamn</a:t>
          </a:r>
        </a:p>
      </cdr:txBody>
    </cdr:sp>
  </cdr:relSizeAnchor>
  <cdr:relSizeAnchor xmlns:cdr="http://schemas.openxmlformats.org/drawingml/2006/chartDrawing">
    <cdr:from>
      <cdr:x>0.67246</cdr:x>
      <cdr:y>0.59737</cdr:y>
    </cdr:from>
    <cdr:to>
      <cdr:x>0.76505</cdr:x>
      <cdr:y>0.69953</cdr:y>
    </cdr:to>
    <cdr:sp macro="" textlink="">
      <cdr:nvSpPr>
        <cdr:cNvPr id="5" name="Rektangel med rundade hörn 4"/>
        <cdr:cNvSpPr/>
      </cdr:nvSpPr>
      <cdr:spPr>
        <a:xfrm xmlns:a="http://schemas.openxmlformats.org/drawingml/2006/main">
          <a:off x="5226590" y="2304432"/>
          <a:ext cx="719667" cy="394111"/>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Jomala</a:t>
          </a:r>
        </a:p>
      </cdr:txBody>
    </cdr:sp>
  </cdr:relSizeAnchor>
  <cdr:relSizeAnchor xmlns:cdr="http://schemas.openxmlformats.org/drawingml/2006/chartDrawing">
    <cdr:from>
      <cdr:x>0.55923</cdr:x>
      <cdr:y>0.49684</cdr:y>
    </cdr:from>
    <cdr:to>
      <cdr:x>0.66215</cdr:x>
      <cdr:y>0.59901</cdr:y>
    </cdr:to>
    <cdr:sp macro="" textlink="">
      <cdr:nvSpPr>
        <cdr:cNvPr id="6" name="Rektangel med rundade hörn 5"/>
        <cdr:cNvSpPr/>
      </cdr:nvSpPr>
      <cdr:spPr>
        <a:xfrm xmlns:a="http://schemas.openxmlformats.org/drawingml/2006/main">
          <a:off x="4346526" y="1916628"/>
          <a:ext cx="800001" cy="39411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Finström</a:t>
          </a:r>
        </a:p>
      </cdr:txBody>
    </cdr:sp>
  </cdr:relSizeAnchor>
  <cdr:relSizeAnchor xmlns:cdr="http://schemas.openxmlformats.org/drawingml/2006/chartDrawing">
    <cdr:from>
      <cdr:x>0.44608</cdr:x>
      <cdr:y>0.69218</cdr:y>
    </cdr:from>
    <cdr:to>
      <cdr:x>0.5727</cdr:x>
      <cdr:y>0.79435</cdr:y>
    </cdr:to>
    <cdr:sp macro="" textlink="">
      <cdr:nvSpPr>
        <cdr:cNvPr id="7" name="Rektangel med rundade hörn 6"/>
        <cdr:cNvSpPr/>
      </cdr:nvSpPr>
      <cdr:spPr>
        <a:xfrm xmlns:a="http://schemas.openxmlformats.org/drawingml/2006/main">
          <a:off x="3467100" y="2670175"/>
          <a:ext cx="984151" cy="39411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Saltvk,Leml,</a:t>
          </a:r>
          <a:r>
            <a:rPr lang="sv-FI" baseline="0"/>
            <a:t> Hland</a:t>
          </a:r>
          <a:endParaRPr lang="sv-FI"/>
        </a:p>
      </cdr:txBody>
    </cdr:sp>
  </cdr:relSizeAnchor>
  <cdr:relSizeAnchor xmlns:cdr="http://schemas.openxmlformats.org/drawingml/2006/chartDrawing">
    <cdr:from>
      <cdr:x>0.29085</cdr:x>
      <cdr:y>0.39342</cdr:y>
    </cdr:from>
    <cdr:to>
      <cdr:x>0.45343</cdr:x>
      <cdr:y>0.52346</cdr:y>
    </cdr:to>
    <cdr:sp macro="" textlink="">
      <cdr:nvSpPr>
        <cdr:cNvPr id="8" name="Rektangel med rundade hörn 7"/>
        <cdr:cNvSpPr/>
      </cdr:nvSpPr>
      <cdr:spPr>
        <a:xfrm xmlns:a="http://schemas.openxmlformats.org/drawingml/2006/main">
          <a:off x="2260600" y="1517649"/>
          <a:ext cx="1263650" cy="501651"/>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Eckerö, Sund, </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382361</xdr:colOff>
      <xdr:row>78</xdr:row>
      <xdr:rowOff>80282</xdr:rowOff>
    </xdr:from>
    <xdr:to>
      <xdr:col>8</xdr:col>
      <xdr:colOff>329293</xdr:colOff>
      <xdr:row>99</xdr:row>
      <xdr:rowOff>179613</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0.10294</cdr:x>
      <cdr:y>0.51688</cdr:y>
    </cdr:from>
    <cdr:to>
      <cdr:x>0.22917</cdr:x>
      <cdr:y>0.74074</cdr:y>
    </cdr:to>
    <cdr:sp macro="" textlink="">
      <cdr:nvSpPr>
        <cdr:cNvPr id="3" name="Rektangel med rundade hörn 2"/>
        <cdr:cNvSpPr/>
      </cdr:nvSpPr>
      <cdr:spPr>
        <a:xfrm xmlns:a="http://schemas.openxmlformats.org/drawingml/2006/main">
          <a:off x="800101" y="1993943"/>
          <a:ext cx="981074" cy="863558"/>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sv-FI"/>
            <a:t>Skärgårds-kommuner, lumparland, geta</a:t>
          </a:r>
        </a:p>
      </cdr:txBody>
    </cdr:sp>
  </cdr:relSizeAnchor>
  <cdr:relSizeAnchor xmlns:cdr="http://schemas.openxmlformats.org/drawingml/2006/chartDrawing">
    <cdr:from>
      <cdr:x>0.77499</cdr:x>
      <cdr:y>0.64547</cdr:y>
    </cdr:from>
    <cdr:to>
      <cdr:x>0.90806</cdr:x>
      <cdr:y>0.74764</cdr:y>
    </cdr:to>
    <cdr:sp macro="" textlink="">
      <cdr:nvSpPr>
        <cdr:cNvPr id="4" name="Rektangel med rundade hörn 3"/>
        <cdr:cNvSpPr/>
      </cdr:nvSpPr>
      <cdr:spPr>
        <a:xfrm xmlns:a="http://schemas.openxmlformats.org/drawingml/2006/main">
          <a:off x="6023516" y="2489985"/>
          <a:ext cx="1034313" cy="39411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Mariehamn</a:t>
          </a:r>
        </a:p>
      </cdr:txBody>
    </cdr:sp>
  </cdr:relSizeAnchor>
  <cdr:relSizeAnchor xmlns:cdr="http://schemas.openxmlformats.org/drawingml/2006/chartDrawing">
    <cdr:from>
      <cdr:x>0.67246</cdr:x>
      <cdr:y>0.59737</cdr:y>
    </cdr:from>
    <cdr:to>
      <cdr:x>0.76505</cdr:x>
      <cdr:y>0.69953</cdr:y>
    </cdr:to>
    <cdr:sp macro="" textlink="">
      <cdr:nvSpPr>
        <cdr:cNvPr id="5" name="Rektangel med rundade hörn 4"/>
        <cdr:cNvSpPr/>
      </cdr:nvSpPr>
      <cdr:spPr>
        <a:xfrm xmlns:a="http://schemas.openxmlformats.org/drawingml/2006/main">
          <a:off x="5226590" y="2304432"/>
          <a:ext cx="719667" cy="394111"/>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Jomala</a:t>
          </a:r>
        </a:p>
      </cdr:txBody>
    </cdr:sp>
  </cdr:relSizeAnchor>
  <cdr:relSizeAnchor xmlns:cdr="http://schemas.openxmlformats.org/drawingml/2006/chartDrawing">
    <cdr:from>
      <cdr:x>0.55923</cdr:x>
      <cdr:y>0.49684</cdr:y>
    </cdr:from>
    <cdr:to>
      <cdr:x>0.66215</cdr:x>
      <cdr:y>0.59901</cdr:y>
    </cdr:to>
    <cdr:sp macro="" textlink="">
      <cdr:nvSpPr>
        <cdr:cNvPr id="6" name="Rektangel med rundade hörn 5"/>
        <cdr:cNvSpPr/>
      </cdr:nvSpPr>
      <cdr:spPr>
        <a:xfrm xmlns:a="http://schemas.openxmlformats.org/drawingml/2006/main">
          <a:off x="4346526" y="1916628"/>
          <a:ext cx="800001" cy="39411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Finström</a:t>
          </a:r>
        </a:p>
      </cdr:txBody>
    </cdr:sp>
  </cdr:relSizeAnchor>
  <cdr:relSizeAnchor xmlns:cdr="http://schemas.openxmlformats.org/drawingml/2006/chartDrawing">
    <cdr:from>
      <cdr:x>0.44608</cdr:x>
      <cdr:y>0.69218</cdr:y>
    </cdr:from>
    <cdr:to>
      <cdr:x>0.5727</cdr:x>
      <cdr:y>0.79435</cdr:y>
    </cdr:to>
    <cdr:sp macro="" textlink="">
      <cdr:nvSpPr>
        <cdr:cNvPr id="7" name="Rektangel med rundade hörn 6"/>
        <cdr:cNvSpPr/>
      </cdr:nvSpPr>
      <cdr:spPr>
        <a:xfrm xmlns:a="http://schemas.openxmlformats.org/drawingml/2006/main">
          <a:off x="3467100" y="2670175"/>
          <a:ext cx="984151" cy="39411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Saltvk,Leml,</a:t>
          </a:r>
          <a:r>
            <a:rPr lang="sv-FI" baseline="0"/>
            <a:t> Hland</a:t>
          </a:r>
          <a:endParaRPr lang="sv-FI"/>
        </a:p>
      </cdr:txBody>
    </cdr:sp>
  </cdr:relSizeAnchor>
  <cdr:relSizeAnchor xmlns:cdr="http://schemas.openxmlformats.org/drawingml/2006/chartDrawing">
    <cdr:from>
      <cdr:x>0.29085</cdr:x>
      <cdr:y>0.39342</cdr:y>
    </cdr:from>
    <cdr:to>
      <cdr:x>0.45343</cdr:x>
      <cdr:y>0.52346</cdr:y>
    </cdr:to>
    <cdr:sp macro="" textlink="">
      <cdr:nvSpPr>
        <cdr:cNvPr id="8" name="Rektangel med rundade hörn 7"/>
        <cdr:cNvSpPr/>
      </cdr:nvSpPr>
      <cdr:spPr>
        <a:xfrm xmlns:a="http://schemas.openxmlformats.org/drawingml/2006/main">
          <a:off x="2260600" y="1517649"/>
          <a:ext cx="1263650" cy="501651"/>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Eckerö, Sund, </a:t>
          </a:r>
        </a:p>
      </cdr:txBody>
    </cdr:sp>
  </cdr:relSizeAnchor>
</c:userShapes>
</file>

<file path=xl/drawings/drawing14.xml><?xml version="1.0" encoding="utf-8"?>
<xdr:wsDr xmlns:xdr="http://schemas.openxmlformats.org/drawingml/2006/spreadsheetDrawing" xmlns:a="http://schemas.openxmlformats.org/drawingml/2006/main">
  <xdr:twoCellAnchor>
    <xdr:from>
      <xdr:col>2</xdr:col>
      <xdr:colOff>57150</xdr:colOff>
      <xdr:row>28</xdr:row>
      <xdr:rowOff>38100</xdr:rowOff>
    </xdr:from>
    <xdr:to>
      <xdr:col>5</xdr:col>
      <xdr:colOff>1</xdr:colOff>
      <xdr:row>37</xdr:row>
      <xdr:rowOff>173935</xdr:rowOff>
    </xdr:to>
    <xdr:sp macro="" textlink="">
      <xdr:nvSpPr>
        <xdr:cNvPr id="2" name="textruta 1"/>
        <xdr:cNvSpPr txBox="1"/>
      </xdr:nvSpPr>
      <xdr:spPr>
        <a:xfrm>
          <a:off x="419100" y="695325"/>
          <a:ext cx="3429001" cy="193606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lang="sv-FI" sz="1100" baseline="0"/>
            <a:t/>
          </a:r>
          <a:br>
            <a:rPr lang="sv-FI" sz="1100" baseline="0"/>
          </a:br>
          <a:r>
            <a:rPr lang="sv-FI" sz="1100" baseline="0"/>
            <a:t>Målet är att nå en solidarisk utjämning</a:t>
          </a:r>
        </a:p>
        <a:p>
          <a:r>
            <a:rPr lang="sv-FI" sz="1100" baseline="0"/>
            <a:t/>
          </a:r>
          <a:br>
            <a:rPr lang="sv-FI" sz="1100" baseline="0"/>
          </a:br>
          <a:r>
            <a:rPr lang="sv-FI" sz="1100" baseline="0"/>
            <a:t>Nettodriftskostnader kommer från 2 år tidigare. Från Åsubs beräkningar, INTE bokslut från kommunerna som LR gör nu. Bra att erinra sig om vid jämförelser.</a:t>
          </a:r>
          <a:br>
            <a:rPr lang="sv-FI" sz="1100" baseline="0"/>
          </a:br>
          <a:r>
            <a:rPr lang="sv-FI" sz="1100" baseline="0"/>
            <a:t/>
          </a:r>
          <a:br>
            <a:rPr lang="sv-FI" sz="1100" baseline="0"/>
          </a:br>
          <a:r>
            <a:rPr lang="sv-FI" sz="1100" baseline="0"/>
            <a:t>För STR så är det dock uppgifter från bokslut. </a:t>
          </a:r>
          <a:br>
            <a:rPr lang="sv-FI" sz="1100" baseline="0"/>
          </a:br>
          <a:r>
            <a:rPr lang="sv-FI" sz="1100" baseline="0"/>
            <a:t/>
          </a:r>
          <a:br>
            <a:rPr lang="sv-FI" sz="1100" baseline="0"/>
          </a:br>
          <a:r>
            <a:rPr lang="sv-FI" sz="1100" baseline="0"/>
            <a:t>Befolkningssiffror för 2013 kommer således från 1.1.2012 = 31.12.2011</a:t>
          </a:r>
        </a:p>
        <a:p>
          <a:endParaRPr lang="sv-FI" sz="1100" baseline="0"/>
        </a:p>
      </xdr:txBody>
    </xdr:sp>
    <xdr:clientData/>
  </xdr:twoCellAnchor>
  <xdr:twoCellAnchor>
    <xdr:from>
      <xdr:col>5</xdr:col>
      <xdr:colOff>142875</xdr:colOff>
      <xdr:row>28</xdr:row>
      <xdr:rowOff>76200</xdr:rowOff>
    </xdr:from>
    <xdr:to>
      <xdr:col>7</xdr:col>
      <xdr:colOff>571500</xdr:colOff>
      <xdr:row>37</xdr:row>
      <xdr:rowOff>171450</xdr:rowOff>
    </xdr:to>
    <xdr:sp macro="" textlink="">
      <xdr:nvSpPr>
        <xdr:cNvPr id="3" name="textruta 2"/>
        <xdr:cNvSpPr txBox="1"/>
      </xdr:nvSpPr>
      <xdr:spPr>
        <a:xfrm>
          <a:off x="3990975" y="733425"/>
          <a:ext cx="1952625" cy="1895475"/>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lang="sv-FI" sz="1100" baseline="0">
              <a:solidFill>
                <a:schemeClr val="dk1"/>
              </a:solidFill>
              <a:effectLst/>
              <a:latin typeface="+mn-lt"/>
              <a:ea typeface="+mn-ea"/>
              <a:cs typeface="+mn-cs"/>
            </a:rPr>
            <a:t>Områdena som ingår är: </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*Träningsundervisning</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*Specialomsorg</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*Barnskydd</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*Missbrukarvård</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*ÖVrig socialvård (290)</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*Handikappvård</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Hur påverkas detta KST?</a:t>
          </a:r>
          <a:endParaRPr lang="sv-FI">
            <a:effectLst/>
          </a:endParaRPr>
        </a:p>
        <a:p>
          <a:r>
            <a:rPr lang="sv-FI" sz="1100">
              <a:solidFill>
                <a:schemeClr val="dk1"/>
              </a:solidFill>
              <a:effectLst/>
              <a:latin typeface="+mn-lt"/>
              <a:ea typeface="+mn-ea"/>
              <a:cs typeface="+mn-cs"/>
            </a:rPr>
            <a:t/>
          </a:r>
          <a:br>
            <a:rPr lang="sv-FI" sz="1100">
              <a:solidFill>
                <a:schemeClr val="dk1"/>
              </a:solidFill>
              <a:effectLst/>
              <a:latin typeface="+mn-lt"/>
              <a:ea typeface="+mn-ea"/>
              <a:cs typeface="+mn-cs"/>
            </a:rPr>
          </a:br>
          <a:endParaRPr lang="sv-FI" sz="1100"/>
        </a:p>
      </xdr:txBody>
    </xdr:sp>
    <xdr:clientData/>
  </xdr:twoCellAnchor>
  <xdr:twoCellAnchor editAs="oneCell">
    <xdr:from>
      <xdr:col>7</xdr:col>
      <xdr:colOff>1171575</xdr:colOff>
      <xdr:row>4</xdr:row>
      <xdr:rowOff>218332</xdr:rowOff>
    </xdr:from>
    <xdr:to>
      <xdr:col>14</xdr:col>
      <xdr:colOff>542925</xdr:colOff>
      <xdr:row>37</xdr:row>
      <xdr:rowOff>47625</xdr:rowOff>
    </xdr:to>
    <xdr:pic>
      <xdr:nvPicPr>
        <xdr:cNvPr id="4" name="Bildobjekt 3"/>
        <xdr:cNvPicPr>
          <a:picLocks noChangeAspect="1"/>
        </xdr:cNvPicPr>
      </xdr:nvPicPr>
      <xdr:blipFill>
        <a:blip xmlns:r="http://schemas.openxmlformats.org/officeDocument/2006/relationships" r:embed="rId1" cstate="print"/>
        <a:stretch>
          <a:fillRect/>
        </a:stretch>
      </xdr:blipFill>
      <xdr:spPr>
        <a:xfrm>
          <a:off x="8239125" y="1094632"/>
          <a:ext cx="7029450" cy="2648693"/>
        </a:xfrm>
        <a:prstGeom prst="rect">
          <a:avLst/>
        </a:prstGeom>
      </xdr:spPr>
    </xdr:pic>
    <xdr:clientData/>
  </xdr:twoCellAnchor>
  <xdr:twoCellAnchor>
    <xdr:from>
      <xdr:col>2</xdr:col>
      <xdr:colOff>28575</xdr:colOff>
      <xdr:row>6</xdr:row>
      <xdr:rowOff>9525</xdr:rowOff>
    </xdr:from>
    <xdr:to>
      <xdr:col>5</xdr:col>
      <xdr:colOff>352425</xdr:colOff>
      <xdr:row>22</xdr:row>
      <xdr:rowOff>152400</xdr:rowOff>
    </xdr:to>
    <xdr:sp macro="" textlink="">
      <xdr:nvSpPr>
        <xdr:cNvPr id="5" name="textruta 4"/>
        <xdr:cNvSpPr txBox="1"/>
      </xdr:nvSpPr>
      <xdr:spPr>
        <a:xfrm>
          <a:off x="390525" y="638175"/>
          <a:ext cx="5057775" cy="3448050"/>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sv-FI" sz="1100"/>
        </a:p>
      </xdr:txBody>
    </xdr:sp>
    <xdr:clientData/>
  </xdr:twoCellAnchor>
  <xdr:twoCellAnchor>
    <xdr:from>
      <xdr:col>5</xdr:col>
      <xdr:colOff>485775</xdr:colOff>
      <xdr:row>6</xdr:row>
      <xdr:rowOff>9525</xdr:rowOff>
    </xdr:from>
    <xdr:to>
      <xdr:col>9</xdr:col>
      <xdr:colOff>962025</xdr:colOff>
      <xdr:row>22</xdr:row>
      <xdr:rowOff>152400</xdr:rowOff>
    </xdr:to>
    <xdr:sp macro="" textlink="">
      <xdr:nvSpPr>
        <xdr:cNvPr id="6" name="textruta 5"/>
        <xdr:cNvSpPr txBox="1"/>
      </xdr:nvSpPr>
      <xdr:spPr>
        <a:xfrm>
          <a:off x="5581650" y="638175"/>
          <a:ext cx="5057775" cy="3448050"/>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sv-FI"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57150</xdr:colOff>
      <xdr:row>28</xdr:row>
      <xdr:rowOff>38100</xdr:rowOff>
    </xdr:from>
    <xdr:to>
      <xdr:col>5</xdr:col>
      <xdr:colOff>1</xdr:colOff>
      <xdr:row>37</xdr:row>
      <xdr:rowOff>173935</xdr:rowOff>
    </xdr:to>
    <xdr:sp macro="" textlink="">
      <xdr:nvSpPr>
        <xdr:cNvPr id="2" name="textruta 1"/>
        <xdr:cNvSpPr txBox="1"/>
      </xdr:nvSpPr>
      <xdr:spPr>
        <a:xfrm>
          <a:off x="419100" y="1943100"/>
          <a:ext cx="5029201" cy="1926535"/>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lang="sv-FI" sz="1100" baseline="0"/>
            <a:t/>
          </a:r>
          <a:br>
            <a:rPr lang="sv-FI" sz="1100" baseline="0"/>
          </a:br>
          <a:r>
            <a:rPr lang="sv-FI" sz="1100" baseline="0"/>
            <a:t>Målet är att nå en solidarisk utjämning</a:t>
          </a:r>
        </a:p>
        <a:p>
          <a:r>
            <a:rPr lang="sv-FI" sz="1100" baseline="0"/>
            <a:t/>
          </a:r>
          <a:br>
            <a:rPr lang="sv-FI" sz="1100" baseline="0"/>
          </a:br>
          <a:r>
            <a:rPr lang="sv-FI" sz="1100" baseline="0"/>
            <a:t>Nettodriftskostnader kommer från 2 år tidigare. Från Åsubs beräkningar, INTE bokslut från kommunerna som LR gör nu. Bra att erinra sig om vid jämförelser.</a:t>
          </a:r>
          <a:br>
            <a:rPr lang="sv-FI" sz="1100" baseline="0"/>
          </a:br>
          <a:r>
            <a:rPr lang="sv-FI" sz="1100" baseline="0"/>
            <a:t/>
          </a:r>
          <a:br>
            <a:rPr lang="sv-FI" sz="1100" baseline="0"/>
          </a:br>
          <a:r>
            <a:rPr lang="sv-FI" sz="1100" baseline="0"/>
            <a:t>För STR så är det dock uppgifter från bokslut. </a:t>
          </a:r>
          <a:br>
            <a:rPr lang="sv-FI" sz="1100" baseline="0"/>
          </a:br>
          <a:r>
            <a:rPr lang="sv-FI" sz="1100" baseline="0"/>
            <a:t/>
          </a:r>
          <a:br>
            <a:rPr lang="sv-FI" sz="1100" baseline="0"/>
          </a:br>
          <a:r>
            <a:rPr lang="sv-FI" sz="1100" baseline="0"/>
            <a:t>Befolkningssiffror för 2014 kommer således från 1.1.2013 = 31.12.2012</a:t>
          </a:r>
        </a:p>
        <a:p>
          <a:endParaRPr lang="sv-FI" sz="1100" baseline="0"/>
        </a:p>
      </xdr:txBody>
    </xdr:sp>
    <xdr:clientData/>
  </xdr:twoCellAnchor>
  <xdr:twoCellAnchor>
    <xdr:from>
      <xdr:col>5</xdr:col>
      <xdr:colOff>104775</xdr:colOff>
      <xdr:row>28</xdr:row>
      <xdr:rowOff>38100</xdr:rowOff>
    </xdr:from>
    <xdr:to>
      <xdr:col>7</xdr:col>
      <xdr:colOff>533400</xdr:colOff>
      <xdr:row>37</xdr:row>
      <xdr:rowOff>133350</xdr:rowOff>
    </xdr:to>
    <xdr:sp macro="" textlink="">
      <xdr:nvSpPr>
        <xdr:cNvPr id="3" name="textruta 2"/>
        <xdr:cNvSpPr txBox="1"/>
      </xdr:nvSpPr>
      <xdr:spPr>
        <a:xfrm>
          <a:off x="5553075" y="1943100"/>
          <a:ext cx="2638425" cy="188595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lang="sv-FI" sz="1100" baseline="0">
              <a:solidFill>
                <a:schemeClr val="dk1"/>
              </a:solidFill>
              <a:effectLst/>
              <a:latin typeface="+mn-lt"/>
              <a:ea typeface="+mn-ea"/>
              <a:cs typeface="+mn-cs"/>
            </a:rPr>
            <a:t>Områdena som ingår är: </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*Träningsundervisning</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*Specialomsorg</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*Barnskydd</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*Missbrukarvård</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*ÖVrig socialvård (290)</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*Handikappvård</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Hur påverkas detta KST?</a:t>
          </a:r>
          <a:endParaRPr lang="sv-FI">
            <a:effectLst/>
          </a:endParaRPr>
        </a:p>
        <a:p>
          <a:r>
            <a:rPr lang="sv-FI" sz="1100">
              <a:solidFill>
                <a:schemeClr val="dk1"/>
              </a:solidFill>
              <a:effectLst/>
              <a:latin typeface="+mn-lt"/>
              <a:ea typeface="+mn-ea"/>
              <a:cs typeface="+mn-cs"/>
            </a:rPr>
            <a:t/>
          </a:r>
          <a:br>
            <a:rPr lang="sv-FI" sz="1100">
              <a:solidFill>
                <a:schemeClr val="dk1"/>
              </a:solidFill>
              <a:effectLst/>
              <a:latin typeface="+mn-lt"/>
              <a:ea typeface="+mn-ea"/>
              <a:cs typeface="+mn-cs"/>
            </a:rPr>
          </a:br>
          <a:endParaRPr lang="sv-FI" sz="1100"/>
        </a:p>
      </xdr:txBody>
    </xdr:sp>
    <xdr:clientData/>
  </xdr:twoCellAnchor>
  <xdr:twoCellAnchor editAs="oneCell">
    <xdr:from>
      <xdr:col>7</xdr:col>
      <xdr:colOff>1171575</xdr:colOff>
      <xdr:row>4</xdr:row>
      <xdr:rowOff>218332</xdr:rowOff>
    </xdr:from>
    <xdr:to>
      <xdr:col>14</xdr:col>
      <xdr:colOff>542925</xdr:colOff>
      <xdr:row>37</xdr:row>
      <xdr:rowOff>47625</xdr:rowOff>
    </xdr:to>
    <xdr:pic>
      <xdr:nvPicPr>
        <xdr:cNvPr id="4" name="Bildobjekt 3"/>
        <xdr:cNvPicPr>
          <a:picLocks noChangeAspect="1"/>
        </xdr:cNvPicPr>
      </xdr:nvPicPr>
      <xdr:blipFill>
        <a:blip xmlns:r="http://schemas.openxmlformats.org/officeDocument/2006/relationships" r:embed="rId1" cstate="print"/>
        <a:stretch>
          <a:fillRect/>
        </a:stretch>
      </xdr:blipFill>
      <xdr:spPr>
        <a:xfrm>
          <a:off x="8829675" y="1094632"/>
          <a:ext cx="7029450" cy="2648693"/>
        </a:xfrm>
        <a:prstGeom prst="rect">
          <a:avLst/>
        </a:prstGeom>
      </xdr:spPr>
    </xdr:pic>
    <xdr:clientData/>
  </xdr:twoCellAnchor>
  <xdr:twoCellAnchor>
    <xdr:from>
      <xdr:col>2</xdr:col>
      <xdr:colOff>28575</xdr:colOff>
      <xdr:row>6</xdr:row>
      <xdr:rowOff>9525</xdr:rowOff>
    </xdr:from>
    <xdr:to>
      <xdr:col>5</xdr:col>
      <xdr:colOff>352425</xdr:colOff>
      <xdr:row>22</xdr:row>
      <xdr:rowOff>152400</xdr:rowOff>
    </xdr:to>
    <xdr:sp macro="" textlink="">
      <xdr:nvSpPr>
        <xdr:cNvPr id="5" name="textruta 4"/>
        <xdr:cNvSpPr txBox="1"/>
      </xdr:nvSpPr>
      <xdr:spPr>
        <a:xfrm>
          <a:off x="390525" y="1095375"/>
          <a:ext cx="5410200" cy="0"/>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sv-FI" sz="1100"/>
        </a:p>
      </xdr:txBody>
    </xdr:sp>
    <xdr:clientData/>
  </xdr:twoCellAnchor>
  <xdr:twoCellAnchor>
    <xdr:from>
      <xdr:col>5</xdr:col>
      <xdr:colOff>485775</xdr:colOff>
      <xdr:row>6</xdr:row>
      <xdr:rowOff>9525</xdr:rowOff>
    </xdr:from>
    <xdr:to>
      <xdr:col>9</xdr:col>
      <xdr:colOff>962025</xdr:colOff>
      <xdr:row>22</xdr:row>
      <xdr:rowOff>152400</xdr:rowOff>
    </xdr:to>
    <xdr:sp macro="" textlink="">
      <xdr:nvSpPr>
        <xdr:cNvPr id="6" name="textruta 5"/>
        <xdr:cNvSpPr txBox="1"/>
      </xdr:nvSpPr>
      <xdr:spPr>
        <a:xfrm>
          <a:off x="5934075" y="1095375"/>
          <a:ext cx="5295900" cy="0"/>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sv-FI"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57150</xdr:colOff>
      <xdr:row>28</xdr:row>
      <xdr:rowOff>38100</xdr:rowOff>
    </xdr:from>
    <xdr:to>
      <xdr:col>5</xdr:col>
      <xdr:colOff>1</xdr:colOff>
      <xdr:row>37</xdr:row>
      <xdr:rowOff>173935</xdr:rowOff>
    </xdr:to>
    <xdr:sp macro="" textlink="">
      <xdr:nvSpPr>
        <xdr:cNvPr id="2" name="textruta 1"/>
        <xdr:cNvSpPr txBox="1"/>
      </xdr:nvSpPr>
      <xdr:spPr>
        <a:xfrm>
          <a:off x="419100" y="1943100"/>
          <a:ext cx="5029201" cy="1850335"/>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lang="sv-FI" sz="1100" baseline="0"/>
            <a:t/>
          </a:r>
          <a:br>
            <a:rPr lang="sv-FI" sz="1100" baseline="0"/>
          </a:br>
          <a:r>
            <a:rPr lang="sv-FI" sz="1100" baseline="0"/>
            <a:t>Målet är att nå en solidarisk utjämning</a:t>
          </a:r>
        </a:p>
        <a:p>
          <a:r>
            <a:rPr lang="sv-FI" sz="1100" baseline="0"/>
            <a:t/>
          </a:r>
          <a:br>
            <a:rPr lang="sv-FI" sz="1100" baseline="0"/>
          </a:br>
          <a:r>
            <a:rPr lang="sv-FI" sz="1100" baseline="0"/>
            <a:t>Nettodriftskostnader kommer från 2 år tidigare. Från Åsubs beräkningar, INTE bokslut från kommunerna som LR gör nu. Bra att erinra sig om vid jämförelser.</a:t>
          </a:r>
          <a:br>
            <a:rPr lang="sv-FI" sz="1100" baseline="0"/>
          </a:br>
          <a:r>
            <a:rPr lang="sv-FI" sz="1100" baseline="0"/>
            <a:t/>
          </a:r>
          <a:br>
            <a:rPr lang="sv-FI" sz="1100" baseline="0"/>
          </a:br>
          <a:r>
            <a:rPr lang="sv-FI" sz="1100" baseline="0"/>
            <a:t>För STR så är det dock uppgifter från bokslut. </a:t>
          </a:r>
          <a:br>
            <a:rPr lang="sv-FI" sz="1100" baseline="0"/>
          </a:br>
          <a:r>
            <a:rPr lang="sv-FI" sz="1100" baseline="0"/>
            <a:t/>
          </a:r>
          <a:br>
            <a:rPr lang="sv-FI" sz="1100" baseline="0"/>
          </a:br>
          <a:r>
            <a:rPr lang="sv-FI" sz="1100" baseline="0"/>
            <a:t>Befolkningssiffror för 2014 kommer således från 1.1.2013 = 31.12.2012</a:t>
          </a:r>
        </a:p>
        <a:p>
          <a:endParaRPr lang="sv-FI" sz="1100" baseline="0"/>
        </a:p>
      </xdr:txBody>
    </xdr:sp>
    <xdr:clientData/>
  </xdr:twoCellAnchor>
  <xdr:twoCellAnchor>
    <xdr:from>
      <xdr:col>5</xdr:col>
      <xdr:colOff>104775</xdr:colOff>
      <xdr:row>28</xdr:row>
      <xdr:rowOff>38100</xdr:rowOff>
    </xdr:from>
    <xdr:to>
      <xdr:col>7</xdr:col>
      <xdr:colOff>533400</xdr:colOff>
      <xdr:row>37</xdr:row>
      <xdr:rowOff>133350</xdr:rowOff>
    </xdr:to>
    <xdr:sp macro="" textlink="">
      <xdr:nvSpPr>
        <xdr:cNvPr id="3" name="textruta 2"/>
        <xdr:cNvSpPr txBox="1"/>
      </xdr:nvSpPr>
      <xdr:spPr>
        <a:xfrm>
          <a:off x="5553075" y="1943100"/>
          <a:ext cx="2638425" cy="180975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lang="sv-FI" sz="1100" baseline="0">
              <a:solidFill>
                <a:schemeClr val="dk1"/>
              </a:solidFill>
              <a:effectLst/>
              <a:latin typeface="+mn-lt"/>
              <a:ea typeface="+mn-ea"/>
              <a:cs typeface="+mn-cs"/>
            </a:rPr>
            <a:t>Områdena som ingår är: </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*Träningsundervisning</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*Specialomsorg</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*Barnskydd</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*Missbrukarvård</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*ÖVrig socialvård (290)</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*Handikappvård</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Hur påverkas detta KST?</a:t>
          </a:r>
          <a:endParaRPr lang="sv-FI">
            <a:effectLst/>
          </a:endParaRPr>
        </a:p>
        <a:p>
          <a:r>
            <a:rPr lang="sv-FI" sz="1100">
              <a:solidFill>
                <a:schemeClr val="dk1"/>
              </a:solidFill>
              <a:effectLst/>
              <a:latin typeface="+mn-lt"/>
              <a:ea typeface="+mn-ea"/>
              <a:cs typeface="+mn-cs"/>
            </a:rPr>
            <a:t/>
          </a:r>
          <a:br>
            <a:rPr lang="sv-FI" sz="1100">
              <a:solidFill>
                <a:schemeClr val="dk1"/>
              </a:solidFill>
              <a:effectLst/>
              <a:latin typeface="+mn-lt"/>
              <a:ea typeface="+mn-ea"/>
              <a:cs typeface="+mn-cs"/>
            </a:rPr>
          </a:br>
          <a:endParaRPr lang="sv-FI" sz="1100"/>
        </a:p>
      </xdr:txBody>
    </xdr:sp>
    <xdr:clientData/>
  </xdr:twoCellAnchor>
  <xdr:twoCellAnchor editAs="oneCell">
    <xdr:from>
      <xdr:col>7</xdr:col>
      <xdr:colOff>1171575</xdr:colOff>
      <xdr:row>4</xdr:row>
      <xdr:rowOff>218332</xdr:rowOff>
    </xdr:from>
    <xdr:to>
      <xdr:col>14</xdr:col>
      <xdr:colOff>542925</xdr:colOff>
      <xdr:row>36</xdr:row>
      <xdr:rowOff>148478</xdr:rowOff>
    </xdr:to>
    <xdr:pic>
      <xdr:nvPicPr>
        <xdr:cNvPr id="4" name="Bildobjekt 3"/>
        <xdr:cNvPicPr>
          <a:picLocks noChangeAspect="1"/>
        </xdr:cNvPicPr>
      </xdr:nvPicPr>
      <xdr:blipFill>
        <a:blip xmlns:r="http://schemas.openxmlformats.org/officeDocument/2006/relationships" r:embed="rId1" cstate="print"/>
        <a:stretch>
          <a:fillRect/>
        </a:stretch>
      </xdr:blipFill>
      <xdr:spPr>
        <a:xfrm>
          <a:off x="8829675" y="1094632"/>
          <a:ext cx="7029450" cy="2572493"/>
        </a:xfrm>
        <a:prstGeom prst="rect">
          <a:avLst/>
        </a:prstGeom>
      </xdr:spPr>
    </xdr:pic>
    <xdr:clientData/>
  </xdr:twoCellAnchor>
  <xdr:twoCellAnchor>
    <xdr:from>
      <xdr:col>2</xdr:col>
      <xdr:colOff>28575</xdr:colOff>
      <xdr:row>6</xdr:row>
      <xdr:rowOff>9525</xdr:rowOff>
    </xdr:from>
    <xdr:to>
      <xdr:col>5</xdr:col>
      <xdr:colOff>352425</xdr:colOff>
      <xdr:row>22</xdr:row>
      <xdr:rowOff>152400</xdr:rowOff>
    </xdr:to>
    <xdr:sp macro="" textlink="">
      <xdr:nvSpPr>
        <xdr:cNvPr id="5" name="textruta 4"/>
        <xdr:cNvSpPr txBox="1"/>
      </xdr:nvSpPr>
      <xdr:spPr>
        <a:xfrm>
          <a:off x="390525" y="1095375"/>
          <a:ext cx="5410200" cy="0"/>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sv-FI" sz="1100"/>
        </a:p>
      </xdr:txBody>
    </xdr:sp>
    <xdr:clientData/>
  </xdr:twoCellAnchor>
  <xdr:twoCellAnchor>
    <xdr:from>
      <xdr:col>5</xdr:col>
      <xdr:colOff>485775</xdr:colOff>
      <xdr:row>6</xdr:row>
      <xdr:rowOff>9525</xdr:rowOff>
    </xdr:from>
    <xdr:to>
      <xdr:col>9</xdr:col>
      <xdr:colOff>962025</xdr:colOff>
      <xdr:row>22</xdr:row>
      <xdr:rowOff>152400</xdr:rowOff>
    </xdr:to>
    <xdr:sp macro="" textlink="">
      <xdr:nvSpPr>
        <xdr:cNvPr id="6" name="textruta 5"/>
        <xdr:cNvSpPr txBox="1"/>
      </xdr:nvSpPr>
      <xdr:spPr>
        <a:xfrm>
          <a:off x="5934075" y="1095375"/>
          <a:ext cx="5295900" cy="0"/>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sv-FI"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57150</xdr:colOff>
      <xdr:row>28</xdr:row>
      <xdr:rowOff>38100</xdr:rowOff>
    </xdr:from>
    <xdr:to>
      <xdr:col>5</xdr:col>
      <xdr:colOff>1</xdr:colOff>
      <xdr:row>37</xdr:row>
      <xdr:rowOff>173935</xdr:rowOff>
    </xdr:to>
    <xdr:sp macro="" textlink="">
      <xdr:nvSpPr>
        <xdr:cNvPr id="2" name="textruta 1"/>
        <xdr:cNvSpPr txBox="1"/>
      </xdr:nvSpPr>
      <xdr:spPr>
        <a:xfrm>
          <a:off x="419100" y="1943100"/>
          <a:ext cx="5029201" cy="1926535"/>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lang="sv-FI" sz="1100" baseline="0"/>
            <a:t/>
          </a:r>
          <a:br>
            <a:rPr lang="sv-FI" sz="1100" baseline="0"/>
          </a:br>
          <a:r>
            <a:rPr lang="sv-FI" sz="1100" baseline="0"/>
            <a:t>Målet är att nå en solidarisk utjämning</a:t>
          </a:r>
        </a:p>
        <a:p>
          <a:r>
            <a:rPr lang="sv-FI" sz="1100" baseline="0"/>
            <a:t/>
          </a:r>
          <a:br>
            <a:rPr lang="sv-FI" sz="1100" baseline="0"/>
          </a:br>
          <a:r>
            <a:rPr lang="sv-FI" sz="1100" baseline="0"/>
            <a:t>Nettodriftskostnader kommer från 2 år tidigare. Från Åsubs beräkningar, INTE bokslut från kommunerna som LR gör nu. Bra att erinra sig om vid jämförelser.</a:t>
          </a:r>
          <a:br>
            <a:rPr lang="sv-FI" sz="1100" baseline="0"/>
          </a:br>
          <a:r>
            <a:rPr lang="sv-FI" sz="1100" baseline="0"/>
            <a:t/>
          </a:r>
          <a:br>
            <a:rPr lang="sv-FI" sz="1100" baseline="0"/>
          </a:br>
          <a:r>
            <a:rPr lang="sv-FI" sz="1100" baseline="0"/>
            <a:t>För STR så är det dock uppgifter från bokslut. </a:t>
          </a:r>
          <a:br>
            <a:rPr lang="sv-FI" sz="1100" baseline="0"/>
          </a:br>
          <a:r>
            <a:rPr lang="sv-FI" sz="1100" baseline="0"/>
            <a:t/>
          </a:r>
          <a:br>
            <a:rPr lang="sv-FI" sz="1100" baseline="0"/>
          </a:br>
          <a:r>
            <a:rPr lang="sv-FI" sz="1100" baseline="0"/>
            <a:t>Befolkningssiffror för 2015 kommer således från 1.1.2014 = 31.12.2013</a:t>
          </a:r>
        </a:p>
        <a:p>
          <a:endParaRPr lang="sv-FI" sz="1100" baseline="0"/>
        </a:p>
      </xdr:txBody>
    </xdr:sp>
    <xdr:clientData/>
  </xdr:twoCellAnchor>
  <xdr:twoCellAnchor>
    <xdr:from>
      <xdr:col>5</xdr:col>
      <xdr:colOff>142875</xdr:colOff>
      <xdr:row>28</xdr:row>
      <xdr:rowOff>76200</xdr:rowOff>
    </xdr:from>
    <xdr:to>
      <xdr:col>7</xdr:col>
      <xdr:colOff>571500</xdr:colOff>
      <xdr:row>37</xdr:row>
      <xdr:rowOff>171450</xdr:rowOff>
    </xdr:to>
    <xdr:sp macro="" textlink="">
      <xdr:nvSpPr>
        <xdr:cNvPr id="3" name="textruta 2"/>
        <xdr:cNvSpPr txBox="1"/>
      </xdr:nvSpPr>
      <xdr:spPr>
        <a:xfrm>
          <a:off x="5591175" y="1981200"/>
          <a:ext cx="2638425" cy="188595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lang="sv-FI" sz="1100" baseline="0">
              <a:solidFill>
                <a:schemeClr val="dk1"/>
              </a:solidFill>
              <a:effectLst/>
              <a:latin typeface="+mn-lt"/>
              <a:ea typeface="+mn-ea"/>
              <a:cs typeface="+mn-cs"/>
            </a:rPr>
            <a:t>Områdena som ingår är: </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*Träningsundervisning</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*Specialomsorg</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*Barnskydd</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*Missbrukarvård</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*ÖVrig socialvård (290)</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*Handikappvård</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Hur påverkas detta KST?</a:t>
          </a:r>
          <a:endParaRPr lang="sv-FI">
            <a:effectLst/>
          </a:endParaRPr>
        </a:p>
        <a:p>
          <a:r>
            <a:rPr lang="sv-FI" sz="1100">
              <a:solidFill>
                <a:schemeClr val="dk1"/>
              </a:solidFill>
              <a:effectLst/>
              <a:latin typeface="+mn-lt"/>
              <a:ea typeface="+mn-ea"/>
              <a:cs typeface="+mn-cs"/>
            </a:rPr>
            <a:t/>
          </a:r>
          <a:br>
            <a:rPr lang="sv-FI" sz="1100">
              <a:solidFill>
                <a:schemeClr val="dk1"/>
              </a:solidFill>
              <a:effectLst/>
              <a:latin typeface="+mn-lt"/>
              <a:ea typeface="+mn-ea"/>
              <a:cs typeface="+mn-cs"/>
            </a:rPr>
          </a:br>
          <a:endParaRPr lang="sv-FI" sz="1100"/>
        </a:p>
      </xdr:txBody>
    </xdr:sp>
    <xdr:clientData/>
  </xdr:twoCellAnchor>
  <xdr:twoCellAnchor editAs="oneCell">
    <xdr:from>
      <xdr:col>7</xdr:col>
      <xdr:colOff>1171575</xdr:colOff>
      <xdr:row>4</xdr:row>
      <xdr:rowOff>218332</xdr:rowOff>
    </xdr:from>
    <xdr:to>
      <xdr:col>14</xdr:col>
      <xdr:colOff>542925</xdr:colOff>
      <xdr:row>37</xdr:row>
      <xdr:rowOff>47625</xdr:rowOff>
    </xdr:to>
    <xdr:pic>
      <xdr:nvPicPr>
        <xdr:cNvPr id="4" name="Bildobjekt 3"/>
        <xdr:cNvPicPr>
          <a:picLocks noChangeAspect="1"/>
        </xdr:cNvPicPr>
      </xdr:nvPicPr>
      <xdr:blipFill>
        <a:blip xmlns:r="http://schemas.openxmlformats.org/officeDocument/2006/relationships" r:embed="rId1" cstate="print"/>
        <a:stretch>
          <a:fillRect/>
        </a:stretch>
      </xdr:blipFill>
      <xdr:spPr>
        <a:xfrm>
          <a:off x="8829675" y="1094632"/>
          <a:ext cx="7029450" cy="2648693"/>
        </a:xfrm>
        <a:prstGeom prst="rect">
          <a:avLst/>
        </a:prstGeom>
      </xdr:spPr>
    </xdr:pic>
    <xdr:clientData/>
  </xdr:twoCellAnchor>
  <xdr:twoCellAnchor>
    <xdr:from>
      <xdr:col>2</xdr:col>
      <xdr:colOff>28575</xdr:colOff>
      <xdr:row>6</xdr:row>
      <xdr:rowOff>9525</xdr:rowOff>
    </xdr:from>
    <xdr:to>
      <xdr:col>5</xdr:col>
      <xdr:colOff>352425</xdr:colOff>
      <xdr:row>22</xdr:row>
      <xdr:rowOff>152400</xdr:rowOff>
    </xdr:to>
    <xdr:sp macro="" textlink="">
      <xdr:nvSpPr>
        <xdr:cNvPr id="5" name="textruta 4"/>
        <xdr:cNvSpPr txBox="1"/>
      </xdr:nvSpPr>
      <xdr:spPr>
        <a:xfrm>
          <a:off x="390525" y="1095375"/>
          <a:ext cx="5410200" cy="0"/>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sv-FI" sz="1100"/>
        </a:p>
      </xdr:txBody>
    </xdr:sp>
    <xdr:clientData/>
  </xdr:twoCellAnchor>
  <xdr:twoCellAnchor>
    <xdr:from>
      <xdr:col>5</xdr:col>
      <xdr:colOff>485775</xdr:colOff>
      <xdr:row>6</xdr:row>
      <xdr:rowOff>9525</xdr:rowOff>
    </xdr:from>
    <xdr:to>
      <xdr:col>9</xdr:col>
      <xdr:colOff>962025</xdr:colOff>
      <xdr:row>22</xdr:row>
      <xdr:rowOff>152400</xdr:rowOff>
    </xdr:to>
    <xdr:sp macro="" textlink="">
      <xdr:nvSpPr>
        <xdr:cNvPr id="6" name="textruta 5"/>
        <xdr:cNvSpPr txBox="1"/>
      </xdr:nvSpPr>
      <xdr:spPr>
        <a:xfrm>
          <a:off x="5934075" y="1095375"/>
          <a:ext cx="5295900" cy="0"/>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sv-FI"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28574</xdr:colOff>
      <xdr:row>7</xdr:row>
      <xdr:rowOff>85725</xdr:rowOff>
    </xdr:from>
    <xdr:to>
      <xdr:col>10</xdr:col>
      <xdr:colOff>85725</xdr:colOff>
      <xdr:row>19</xdr:row>
      <xdr:rowOff>33617</xdr:rowOff>
    </xdr:to>
    <xdr:sp macro="" textlink="">
      <xdr:nvSpPr>
        <xdr:cNvPr id="2" name="textruta 1"/>
        <xdr:cNvSpPr txBox="1"/>
      </xdr:nvSpPr>
      <xdr:spPr>
        <a:xfrm>
          <a:off x="409574" y="1533525"/>
          <a:ext cx="8448676" cy="2233892"/>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sv-FI" sz="1400" b="1" i="0" u="sng" strike="noStrike" baseline="0" smtClean="0">
              <a:solidFill>
                <a:schemeClr val="tx2"/>
              </a:solidFill>
              <a:latin typeface="+mn-lt"/>
              <a:ea typeface="+mn-ea"/>
              <a:cs typeface="+mn-cs"/>
            </a:rPr>
            <a:t>Norges tillväxtbidrag</a:t>
          </a:r>
        </a:p>
        <a:p>
          <a:r>
            <a:rPr lang="sv-FI" sz="1400" b="1" i="0" u="none" strike="noStrike" baseline="0" smtClean="0">
              <a:solidFill>
                <a:schemeClr val="tx2"/>
              </a:solidFill>
              <a:latin typeface="+mn-lt"/>
              <a:ea typeface="+mn-ea"/>
              <a:cs typeface="+mn-cs"/>
            </a:rPr>
            <a:t> </a:t>
          </a:r>
        </a:p>
        <a:p>
          <a:r>
            <a:rPr lang="sv-FI" sz="1400" b="1" i="0" u="none" strike="noStrike" baseline="0" smtClean="0">
              <a:solidFill>
                <a:schemeClr val="tx2"/>
              </a:solidFill>
              <a:latin typeface="+mn-lt"/>
              <a:ea typeface="+mn-ea"/>
              <a:cs typeface="+mn-cs"/>
            </a:rPr>
            <a:t>Kommuner med en särskilt hög befolkningstillväxt kan få tillväxtbidraget. Om kommunen under den senaste treårsperioden haft en genomsnittlig årlig tillväxt på mer än 175 procent av den genomsnittliga tillväxten för riket som helhet. </a:t>
          </a:r>
          <a:br>
            <a:rPr lang="sv-FI" sz="1400" b="1" i="0" u="none" strike="noStrike" baseline="0" smtClean="0">
              <a:solidFill>
                <a:schemeClr val="tx2"/>
              </a:solidFill>
              <a:latin typeface="+mn-lt"/>
              <a:ea typeface="+mn-ea"/>
              <a:cs typeface="+mn-cs"/>
            </a:rPr>
          </a:br>
          <a:r>
            <a:rPr lang="sv-FI" sz="1400" b="1" i="0" u="none" strike="noStrike" baseline="0" smtClean="0">
              <a:solidFill>
                <a:schemeClr val="tx2"/>
              </a:solidFill>
              <a:latin typeface="+mn-lt"/>
              <a:ea typeface="+mn-ea"/>
              <a:cs typeface="+mn-cs"/>
            </a:rPr>
            <a:t/>
          </a:r>
          <a:br>
            <a:rPr lang="sv-FI" sz="1400" b="1" i="0" u="none" strike="noStrike" baseline="0" smtClean="0">
              <a:solidFill>
                <a:schemeClr val="tx2"/>
              </a:solidFill>
              <a:latin typeface="+mn-lt"/>
              <a:ea typeface="+mn-ea"/>
              <a:cs typeface="+mn-cs"/>
            </a:rPr>
          </a:br>
          <a:r>
            <a:rPr lang="sv-FI" sz="1400" b="1" i="0" baseline="0">
              <a:solidFill>
                <a:schemeClr val="tx2"/>
              </a:solidFill>
              <a:effectLst/>
              <a:latin typeface="+mn-lt"/>
              <a:ea typeface="+mn-ea"/>
              <a:cs typeface="+mn-cs"/>
            </a:rPr>
            <a:t>Ett övrigt krav är att kommunen har haft en skatteintäkt under 140 procent av genomsnittet i landet. </a:t>
          </a:r>
          <a:endParaRPr lang="sv-FI" sz="1400" b="1">
            <a:solidFill>
              <a:schemeClr val="tx2"/>
            </a:solidFill>
          </a:endParaRPr>
        </a:p>
      </xdr:txBody>
    </xdr:sp>
    <xdr:clientData/>
  </xdr:twoCellAnchor>
  <xdr:twoCellAnchor>
    <xdr:from>
      <xdr:col>10</xdr:col>
      <xdr:colOff>219074</xdr:colOff>
      <xdr:row>7</xdr:row>
      <xdr:rowOff>76200</xdr:rowOff>
    </xdr:from>
    <xdr:to>
      <xdr:col>24</xdr:col>
      <xdr:colOff>336177</xdr:colOff>
      <xdr:row>19</xdr:row>
      <xdr:rowOff>33617</xdr:rowOff>
    </xdr:to>
    <xdr:sp macro="" textlink="">
      <xdr:nvSpPr>
        <xdr:cNvPr id="3" name="textruta 2"/>
        <xdr:cNvSpPr txBox="1"/>
      </xdr:nvSpPr>
      <xdr:spPr>
        <a:xfrm>
          <a:off x="8991599" y="1524000"/>
          <a:ext cx="10785103" cy="2243417"/>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sv-FI" sz="1400" b="1" i="0" u="sng" strike="noStrike" baseline="0" smtClean="0">
              <a:solidFill>
                <a:schemeClr val="tx2"/>
              </a:solidFill>
              <a:latin typeface="+mn-lt"/>
              <a:ea typeface="+mn-ea"/>
              <a:cs typeface="+mn-cs"/>
            </a:rPr>
            <a:t>Ålands tillväxtbidrag</a:t>
          </a:r>
        </a:p>
        <a:p>
          <a:r>
            <a:rPr lang="sv-FI" sz="1400" b="1" i="0" u="none" strike="noStrike" baseline="0" smtClean="0">
              <a:solidFill>
                <a:schemeClr val="tx2"/>
              </a:solidFill>
              <a:latin typeface="+mn-lt"/>
              <a:ea typeface="+mn-ea"/>
              <a:cs typeface="+mn-cs"/>
            </a:rPr>
            <a:t> </a:t>
          </a:r>
        </a:p>
        <a:p>
          <a:r>
            <a:rPr lang="sv-FI" sz="1400" b="1" i="0" u="none" strike="noStrike" baseline="0" smtClean="0">
              <a:solidFill>
                <a:schemeClr val="tx2"/>
              </a:solidFill>
              <a:latin typeface="+mn-lt"/>
              <a:ea typeface="+mn-ea"/>
              <a:cs typeface="+mn-cs"/>
            </a:rPr>
            <a:t>Vill hjälpa tillväxtkommunerna , framförallt Jomala. Ser att även Lemland och Geta har hög tillväxt, där Geta redan erhåller höga andelar.</a:t>
          </a:r>
          <a:br>
            <a:rPr lang="sv-FI" sz="1400" b="1" i="0" u="none" strike="noStrike" baseline="0" smtClean="0">
              <a:solidFill>
                <a:schemeClr val="tx2"/>
              </a:solidFill>
              <a:latin typeface="+mn-lt"/>
              <a:ea typeface="+mn-ea"/>
              <a:cs typeface="+mn-cs"/>
            </a:rPr>
          </a:br>
          <a:r>
            <a:rPr lang="sv-FI" sz="1400" b="1" i="0" u="none" strike="noStrike" baseline="0" smtClean="0">
              <a:solidFill>
                <a:schemeClr val="tx2"/>
              </a:solidFill>
              <a:latin typeface="+mn-lt"/>
              <a:ea typeface="+mn-ea"/>
              <a:cs typeface="+mn-cs"/>
            </a:rPr>
            <a:t/>
          </a:r>
          <a:br>
            <a:rPr lang="sv-FI" sz="1400" b="1" i="0" u="none" strike="noStrike" baseline="0" smtClean="0">
              <a:solidFill>
                <a:schemeClr val="tx2"/>
              </a:solidFill>
              <a:latin typeface="+mn-lt"/>
              <a:ea typeface="+mn-ea"/>
              <a:cs typeface="+mn-cs"/>
            </a:rPr>
          </a:br>
          <a:r>
            <a:rPr lang="sv-FI" sz="1400" b="1" i="0" u="none" strike="noStrike" baseline="0" smtClean="0">
              <a:solidFill>
                <a:schemeClr val="tx2"/>
              </a:solidFill>
              <a:latin typeface="+mn-lt"/>
              <a:ea typeface="+mn-ea"/>
              <a:cs typeface="+mn-cs"/>
            </a:rPr>
            <a:t>Min tanke är att ge kommunerna andelar för varje person som överstiger  den "normala" tillväxten för Åland. Dvs om Jomala växer med  0,01 procentenhet högre än Åland så ska  denna procentenhet räknas  om i antalet  personer det motsvarar och så ska denna siffra sedan multipliceras med så mycket LS-andelar kommunen får  per invånare totalt.Typ om det hade motsvarat 50 personer så skulle det i jomalas fall bli 50 * 900 euro.</a:t>
          </a:r>
          <a:br>
            <a:rPr lang="sv-FI" sz="1400" b="1" i="0" u="none" strike="noStrike" baseline="0" smtClean="0">
              <a:solidFill>
                <a:schemeClr val="tx2"/>
              </a:solidFill>
              <a:latin typeface="+mn-lt"/>
              <a:ea typeface="+mn-ea"/>
              <a:cs typeface="+mn-cs"/>
            </a:rPr>
          </a:br>
          <a:r>
            <a:rPr lang="sv-FI" sz="1400" b="1" i="0" u="none" strike="noStrike" baseline="0" smtClean="0">
              <a:solidFill>
                <a:schemeClr val="tx2"/>
              </a:solidFill>
              <a:latin typeface="+mn-lt"/>
              <a:ea typeface="+mn-ea"/>
              <a:cs typeface="+mn-cs"/>
            </a:rPr>
            <a:t/>
          </a:r>
          <a:br>
            <a:rPr lang="sv-FI" sz="1400" b="1" i="0" u="none" strike="noStrike" baseline="0" smtClean="0">
              <a:solidFill>
                <a:schemeClr val="tx2"/>
              </a:solidFill>
              <a:latin typeface="+mn-lt"/>
              <a:ea typeface="+mn-ea"/>
              <a:cs typeface="+mn-cs"/>
            </a:rPr>
          </a:br>
          <a:r>
            <a:rPr lang="sv-FI" sz="1200" b="1" i="0" u="none" strike="noStrike" baseline="0" smtClean="0">
              <a:solidFill>
                <a:schemeClr val="tx2"/>
              </a:solidFill>
              <a:latin typeface="Calibri (Brödtext)"/>
              <a:ea typeface="+mn-ea"/>
              <a:cs typeface="+mn-cs"/>
            </a:rPr>
            <a:t>Skippar kravet om: " Ett övrigt krav är att kommunen har haft en skatteintäkt under 140 procent av genomsnittet i landet. "</a:t>
          </a:r>
          <a:r>
            <a:rPr lang="sv-FI" sz="1400" b="1" i="0" u="none" strike="noStrike" baseline="0" smtClean="0">
              <a:solidFill>
                <a:schemeClr val="tx2"/>
              </a:solidFill>
              <a:latin typeface="+mn-lt"/>
              <a:ea typeface="+mn-ea"/>
              <a:cs typeface="+mn-cs"/>
            </a:rPr>
            <a:t/>
          </a:r>
          <a:br>
            <a:rPr lang="sv-FI" sz="1400" b="1" i="0" u="none" strike="noStrike" baseline="0" smtClean="0">
              <a:solidFill>
                <a:schemeClr val="tx2"/>
              </a:solidFill>
              <a:latin typeface="+mn-lt"/>
              <a:ea typeface="+mn-ea"/>
              <a:cs typeface="+mn-cs"/>
            </a:rPr>
          </a:br>
          <a:r>
            <a:rPr lang="sv-FI" sz="1400" b="1" i="0" u="none" strike="noStrike" baseline="0" smtClean="0">
              <a:solidFill>
                <a:schemeClr val="tx2"/>
              </a:solidFill>
              <a:latin typeface="+mn-lt"/>
              <a:ea typeface="+mn-ea"/>
              <a:cs typeface="+mn-cs"/>
            </a:rPr>
            <a:t/>
          </a:r>
          <a:br>
            <a:rPr lang="sv-FI" sz="1400" b="1" i="0" u="none" strike="noStrike" baseline="0" smtClean="0">
              <a:solidFill>
                <a:schemeClr val="tx2"/>
              </a:solidFill>
              <a:latin typeface="+mn-lt"/>
              <a:ea typeface="+mn-ea"/>
              <a:cs typeface="+mn-cs"/>
            </a:rPr>
          </a:br>
          <a:endParaRPr lang="sv-FI" sz="1400" b="1">
            <a:solidFill>
              <a:schemeClr val="tx2"/>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38099</xdr:colOff>
      <xdr:row>3</xdr:row>
      <xdr:rowOff>38100</xdr:rowOff>
    </xdr:from>
    <xdr:to>
      <xdr:col>4</xdr:col>
      <xdr:colOff>638175</xdr:colOff>
      <xdr:row>11</xdr:row>
      <xdr:rowOff>19050</xdr:rowOff>
    </xdr:to>
    <xdr:sp macro="" textlink="">
      <xdr:nvSpPr>
        <xdr:cNvPr id="2" name="textruta 1"/>
        <xdr:cNvSpPr txBox="1"/>
      </xdr:nvSpPr>
      <xdr:spPr>
        <a:xfrm>
          <a:off x="228599" y="685800"/>
          <a:ext cx="3495676" cy="1590675"/>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lang="sv-FI" sz="1100"/>
            <a:t>Kommuner</a:t>
          </a:r>
          <a:r>
            <a:rPr lang="sv-FI" sz="1100" baseline="0"/>
            <a:t> får: Basbelopp * invånarantal i den åldersgrupen * ersättningsnivå på (15%)</a:t>
          </a:r>
        </a:p>
        <a:p>
          <a:r>
            <a:rPr lang="sv-FI" sz="1100"/>
            <a:t/>
          </a:r>
          <a:br>
            <a:rPr lang="sv-FI" sz="1100"/>
          </a:br>
          <a:r>
            <a:rPr lang="sv-FI" sz="1100"/>
            <a:t>Invånarantal: 1.1. 2013 </a:t>
          </a:r>
          <a:r>
            <a:rPr lang="sv-FI" sz="1100">
              <a:solidFill>
                <a:schemeClr val="dk1"/>
              </a:solidFill>
              <a:effectLst/>
              <a:latin typeface="+mn-lt"/>
              <a:ea typeface="+mn-ea"/>
              <a:cs typeface="+mn-cs"/>
            </a:rPr>
            <a:t>(1.1.2013 =</a:t>
          </a:r>
          <a:r>
            <a:rPr lang="sv-FI" sz="1100" baseline="0">
              <a:solidFill>
                <a:schemeClr val="dk1"/>
              </a:solidFill>
              <a:effectLst/>
              <a:latin typeface="+mn-lt"/>
              <a:ea typeface="+mn-ea"/>
              <a:cs typeface="+mn-cs"/>
            </a:rPr>
            <a:t> 31.12.2012)</a:t>
          </a:r>
        </a:p>
        <a:p>
          <a:endParaRPr lang="sv-FI" sz="1100"/>
        </a:p>
        <a:p>
          <a:r>
            <a:rPr lang="sv-FI" sz="1100"/>
            <a:t>Basbelopp, ndk för 2013</a:t>
          </a:r>
          <a:r>
            <a:rPr lang="sv-FI" sz="1100" baseline="0"/>
            <a:t> enligt Åsub beräkning. (Dvs inkluderar handikappservice)</a:t>
          </a:r>
          <a:br>
            <a:rPr lang="sv-FI" sz="1100" baseline="0"/>
          </a:br>
          <a:r>
            <a:rPr lang="sv-FI" sz="1100" baseline="0"/>
            <a:t/>
          </a:r>
          <a:br>
            <a:rPr lang="sv-FI" sz="1100" baseline="0"/>
          </a:br>
          <a:endParaRPr lang="sv-FI" sz="1100" baseline="0"/>
        </a:p>
        <a:p>
          <a:r>
            <a:rPr lang="sv-FI" sz="1100"/>
            <a:t/>
          </a:r>
          <a:br>
            <a:rPr lang="sv-FI" sz="1100"/>
          </a:br>
          <a:r>
            <a:rPr lang="sv-FI" sz="1100"/>
            <a:t/>
          </a:r>
          <a:br>
            <a:rPr lang="sv-FI" sz="1100"/>
          </a:br>
          <a:r>
            <a:rPr lang="sv-FI" sz="1100"/>
            <a:t/>
          </a:r>
          <a:br>
            <a:rPr lang="sv-FI" sz="1100"/>
          </a:br>
          <a:endParaRPr lang="sv-FI" sz="1100"/>
        </a:p>
      </xdr:txBody>
    </xdr:sp>
    <xdr:clientData/>
  </xdr:twoCellAnchor>
  <xdr:twoCellAnchor editAs="oneCell">
    <xdr:from>
      <xdr:col>12</xdr:col>
      <xdr:colOff>640958</xdr:colOff>
      <xdr:row>1</xdr:row>
      <xdr:rowOff>159027</xdr:rowOff>
    </xdr:from>
    <xdr:to>
      <xdr:col>22</xdr:col>
      <xdr:colOff>81594</xdr:colOff>
      <xdr:row>11</xdr:row>
      <xdr:rowOff>156904</xdr:rowOff>
    </xdr:to>
    <xdr:pic>
      <xdr:nvPicPr>
        <xdr:cNvPr id="3" name="Bildobjekt 2"/>
        <xdr:cNvPicPr>
          <a:picLocks noChangeAspect="1"/>
        </xdr:cNvPicPr>
      </xdr:nvPicPr>
      <xdr:blipFill>
        <a:blip xmlns:r="http://schemas.openxmlformats.org/officeDocument/2006/relationships" r:embed="rId1" cstate="print"/>
        <a:stretch>
          <a:fillRect/>
        </a:stretch>
      </xdr:blipFill>
      <xdr:spPr>
        <a:xfrm>
          <a:off x="10480283" y="349527"/>
          <a:ext cx="7270186" cy="20648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104775</xdr:colOff>
      <xdr:row>3</xdr:row>
      <xdr:rowOff>161925</xdr:rowOff>
    </xdr:from>
    <xdr:to>
      <xdr:col>18</xdr:col>
      <xdr:colOff>752475</xdr:colOff>
      <xdr:row>31</xdr:row>
      <xdr:rowOff>9525</xdr:rowOff>
    </xdr:to>
    <xdr:sp macro="" textlink="">
      <xdr:nvSpPr>
        <xdr:cNvPr id="2" name="textruta 1"/>
        <xdr:cNvSpPr txBox="1"/>
      </xdr:nvSpPr>
      <xdr:spPr>
        <a:xfrm>
          <a:off x="866775" y="733425"/>
          <a:ext cx="13601700" cy="5181600"/>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FI" sz="1100"/>
            <a:t/>
          </a:r>
          <a:br>
            <a:rPr lang="sv-FI" sz="1100"/>
          </a:br>
          <a:r>
            <a:rPr lang="sv-FI" sz="1400" b="1" i="1" u="sng"/>
            <a:t>Inledande förklaringar till systemet: (senare)</a:t>
          </a:r>
        </a:p>
        <a:p>
          <a:endParaRPr lang="sv-FI" sz="1100" baseline="0"/>
        </a:p>
        <a:p>
          <a:r>
            <a:rPr lang="sv-FI" sz="1100" b="1" baseline="0"/>
            <a:t>Nr1. Skattekomplettering:</a:t>
          </a:r>
          <a:endParaRPr lang="sv-FI" sz="1100" baseline="0"/>
        </a:p>
        <a:p>
          <a:endParaRPr lang="sv-FI" sz="1100" baseline="0"/>
        </a:p>
        <a:p>
          <a:r>
            <a:rPr lang="sv-FI" sz="1100" b="1" baseline="0"/>
            <a:t>Nr2. Kostnadsutjämning skola:</a:t>
          </a:r>
        </a:p>
        <a:p>
          <a:endParaRPr lang="sv-FI" sz="1100" baseline="0"/>
        </a:p>
        <a:p>
          <a:r>
            <a:rPr lang="sv-FI" sz="1100" b="1" baseline="0"/>
            <a:t>Nr3. Socialvårdsbidrag:</a:t>
          </a:r>
        </a:p>
        <a:p>
          <a:endParaRPr lang="sv-FI" sz="1100" baseline="0"/>
        </a:p>
        <a:p>
          <a:r>
            <a:rPr lang="sv-FI" sz="1100" b="1" baseline="0"/>
            <a:t>Nr4. Utjämning för de särskilda områdena:</a:t>
          </a:r>
        </a:p>
        <a:p>
          <a:endParaRPr lang="sv-FI" sz="1100" baseline="0"/>
        </a:p>
        <a:p>
          <a:r>
            <a:rPr lang="sv-FI" sz="1100" b="1" baseline="0"/>
            <a:t>Nr5. Skärgårdstillägg:</a:t>
          </a:r>
        </a:p>
        <a:p>
          <a:r>
            <a:rPr lang="sv-FI" sz="1100" baseline="0"/>
            <a:t/>
          </a:r>
          <a:br>
            <a:rPr lang="sv-FI" sz="1100" baseline="0"/>
          </a:br>
          <a:r>
            <a:rPr lang="sv-FI" sz="1100" b="1" baseline="0"/>
            <a:t>Nr6. Helheten summerad:</a:t>
          </a:r>
          <a:r>
            <a:rPr lang="sv-FI" sz="1100" baseline="0"/>
            <a:t/>
          </a:r>
          <a:br>
            <a:rPr lang="sv-FI" sz="1100" baseline="0"/>
          </a:br>
          <a:r>
            <a:rPr lang="sv-FI" sz="1100" baseline="0"/>
            <a:t/>
          </a:r>
          <a:br>
            <a:rPr lang="sv-FI" sz="1100" baseline="0"/>
          </a:br>
          <a:endParaRPr lang="sv-FI" sz="1100" baseline="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57149</xdr:colOff>
      <xdr:row>3</xdr:row>
      <xdr:rowOff>38100</xdr:rowOff>
    </xdr:from>
    <xdr:to>
      <xdr:col>5</xdr:col>
      <xdr:colOff>66675</xdr:colOff>
      <xdr:row>11</xdr:row>
      <xdr:rowOff>19050</xdr:rowOff>
    </xdr:to>
    <xdr:sp macro="" textlink="">
      <xdr:nvSpPr>
        <xdr:cNvPr id="2" name="textruta 1"/>
        <xdr:cNvSpPr txBox="1"/>
      </xdr:nvSpPr>
      <xdr:spPr>
        <a:xfrm>
          <a:off x="419099" y="685800"/>
          <a:ext cx="3495676" cy="1590675"/>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lang="sv-FI" sz="1100"/>
            <a:t>Kommuner</a:t>
          </a:r>
          <a:r>
            <a:rPr lang="sv-FI" sz="1100" baseline="0"/>
            <a:t> får: Basbelopp * invånarantal i den åldersgrupen * ersättningsnivå på (15%)</a:t>
          </a:r>
        </a:p>
        <a:p>
          <a:r>
            <a:rPr lang="sv-FI" sz="1100"/>
            <a:t/>
          </a:r>
          <a:br>
            <a:rPr lang="sv-FI" sz="1100"/>
          </a:br>
          <a:r>
            <a:rPr lang="sv-FI" sz="1100"/>
            <a:t>Invånarantal: 1.1. 2012 </a:t>
          </a:r>
          <a:r>
            <a:rPr lang="sv-FI" sz="1100">
              <a:solidFill>
                <a:schemeClr val="dk1"/>
              </a:solidFill>
              <a:effectLst/>
              <a:latin typeface="+mn-lt"/>
              <a:ea typeface="+mn-ea"/>
              <a:cs typeface="+mn-cs"/>
            </a:rPr>
            <a:t>(1.1.2012 =</a:t>
          </a:r>
          <a:r>
            <a:rPr lang="sv-FI" sz="1100" baseline="0">
              <a:solidFill>
                <a:schemeClr val="dk1"/>
              </a:solidFill>
              <a:effectLst/>
              <a:latin typeface="+mn-lt"/>
              <a:ea typeface="+mn-ea"/>
              <a:cs typeface="+mn-cs"/>
            </a:rPr>
            <a:t> 31.12.2011)</a:t>
          </a:r>
        </a:p>
        <a:p>
          <a:endParaRPr lang="sv-FI" sz="1100"/>
        </a:p>
        <a:p>
          <a:r>
            <a:rPr lang="sv-FI" sz="1100"/>
            <a:t>Basbelopp, ndk för 2013</a:t>
          </a:r>
          <a:r>
            <a:rPr lang="sv-FI" sz="1100" baseline="0"/>
            <a:t> enligt Åsub beräkning. (Dvs inkluderar handikappservice)</a:t>
          </a:r>
          <a:br>
            <a:rPr lang="sv-FI" sz="1100" baseline="0"/>
          </a:br>
          <a:r>
            <a:rPr lang="sv-FI" sz="1100" baseline="0"/>
            <a:t/>
          </a:r>
          <a:br>
            <a:rPr lang="sv-FI" sz="1100" baseline="0"/>
          </a:br>
          <a:endParaRPr lang="sv-FI" sz="1100" baseline="0"/>
        </a:p>
        <a:p>
          <a:r>
            <a:rPr lang="sv-FI" sz="1100"/>
            <a:t/>
          </a:r>
          <a:br>
            <a:rPr lang="sv-FI" sz="1100"/>
          </a:br>
          <a:r>
            <a:rPr lang="sv-FI" sz="1100"/>
            <a:t/>
          </a:r>
          <a:br>
            <a:rPr lang="sv-FI" sz="1100"/>
          </a:br>
          <a:r>
            <a:rPr lang="sv-FI" sz="1100"/>
            <a:t/>
          </a:r>
          <a:br>
            <a:rPr lang="sv-FI" sz="1100"/>
          </a:br>
          <a:endParaRPr lang="sv-FI" sz="1100"/>
        </a:p>
      </xdr:txBody>
    </xdr:sp>
    <xdr:clientData/>
  </xdr:twoCellAnchor>
  <xdr:twoCellAnchor editAs="oneCell">
    <xdr:from>
      <xdr:col>12</xdr:col>
      <xdr:colOff>640958</xdr:colOff>
      <xdr:row>1</xdr:row>
      <xdr:rowOff>159027</xdr:rowOff>
    </xdr:from>
    <xdr:to>
      <xdr:col>22</xdr:col>
      <xdr:colOff>81594</xdr:colOff>
      <xdr:row>11</xdr:row>
      <xdr:rowOff>156904</xdr:rowOff>
    </xdr:to>
    <xdr:pic>
      <xdr:nvPicPr>
        <xdr:cNvPr id="4" name="Bildobjekt 3"/>
        <xdr:cNvPicPr>
          <a:picLocks noChangeAspect="1"/>
        </xdr:cNvPicPr>
      </xdr:nvPicPr>
      <xdr:blipFill>
        <a:blip xmlns:r="http://schemas.openxmlformats.org/officeDocument/2006/relationships" r:embed="rId1" cstate="print"/>
        <a:stretch>
          <a:fillRect/>
        </a:stretch>
      </xdr:blipFill>
      <xdr:spPr>
        <a:xfrm>
          <a:off x="10298480" y="349527"/>
          <a:ext cx="7267701" cy="205196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28574</xdr:colOff>
      <xdr:row>7</xdr:row>
      <xdr:rowOff>85725</xdr:rowOff>
    </xdr:from>
    <xdr:to>
      <xdr:col>10</xdr:col>
      <xdr:colOff>85725</xdr:colOff>
      <xdr:row>19</xdr:row>
      <xdr:rowOff>33617</xdr:rowOff>
    </xdr:to>
    <xdr:sp macro="" textlink="">
      <xdr:nvSpPr>
        <xdr:cNvPr id="2" name="textruta 1"/>
        <xdr:cNvSpPr txBox="1"/>
      </xdr:nvSpPr>
      <xdr:spPr>
        <a:xfrm>
          <a:off x="409574" y="1533525"/>
          <a:ext cx="8448676" cy="2233892"/>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sv-FI" sz="1400" b="1" i="0" u="sng" strike="noStrike" baseline="0" smtClean="0">
              <a:solidFill>
                <a:schemeClr val="tx2"/>
              </a:solidFill>
              <a:latin typeface="+mn-lt"/>
              <a:ea typeface="+mn-ea"/>
              <a:cs typeface="+mn-cs"/>
            </a:rPr>
            <a:t>Norges tillväxtbidrag</a:t>
          </a:r>
        </a:p>
        <a:p>
          <a:r>
            <a:rPr lang="sv-FI" sz="1400" b="1" i="0" u="none" strike="noStrike" baseline="0" smtClean="0">
              <a:solidFill>
                <a:schemeClr val="tx2"/>
              </a:solidFill>
              <a:latin typeface="+mn-lt"/>
              <a:ea typeface="+mn-ea"/>
              <a:cs typeface="+mn-cs"/>
            </a:rPr>
            <a:t> </a:t>
          </a:r>
        </a:p>
        <a:p>
          <a:r>
            <a:rPr lang="sv-FI" sz="1400" b="1" i="0" u="none" strike="noStrike" baseline="0" smtClean="0">
              <a:solidFill>
                <a:schemeClr val="tx2"/>
              </a:solidFill>
              <a:latin typeface="+mn-lt"/>
              <a:ea typeface="+mn-ea"/>
              <a:cs typeface="+mn-cs"/>
            </a:rPr>
            <a:t>Kommuner med en särskilt hög befolkningstillväxt kan få tillväxtbidraget. Om kommunen under den senaste treårsperioden haft en genomsnittlig årlig tillväxt på mer än 175 procent av den genomsnittliga tillväxten för riket som helhet. </a:t>
          </a:r>
          <a:br>
            <a:rPr lang="sv-FI" sz="1400" b="1" i="0" u="none" strike="noStrike" baseline="0" smtClean="0">
              <a:solidFill>
                <a:schemeClr val="tx2"/>
              </a:solidFill>
              <a:latin typeface="+mn-lt"/>
              <a:ea typeface="+mn-ea"/>
              <a:cs typeface="+mn-cs"/>
            </a:rPr>
          </a:br>
          <a:r>
            <a:rPr lang="sv-FI" sz="1400" b="1" i="0" u="none" strike="noStrike" baseline="0" smtClean="0">
              <a:solidFill>
                <a:schemeClr val="tx2"/>
              </a:solidFill>
              <a:latin typeface="+mn-lt"/>
              <a:ea typeface="+mn-ea"/>
              <a:cs typeface="+mn-cs"/>
            </a:rPr>
            <a:t/>
          </a:r>
          <a:br>
            <a:rPr lang="sv-FI" sz="1400" b="1" i="0" u="none" strike="noStrike" baseline="0" smtClean="0">
              <a:solidFill>
                <a:schemeClr val="tx2"/>
              </a:solidFill>
              <a:latin typeface="+mn-lt"/>
              <a:ea typeface="+mn-ea"/>
              <a:cs typeface="+mn-cs"/>
            </a:rPr>
          </a:br>
          <a:r>
            <a:rPr lang="sv-FI" sz="1400" b="1" i="0" baseline="0">
              <a:solidFill>
                <a:schemeClr val="tx2"/>
              </a:solidFill>
              <a:effectLst/>
              <a:latin typeface="+mn-lt"/>
              <a:ea typeface="+mn-ea"/>
              <a:cs typeface="+mn-cs"/>
            </a:rPr>
            <a:t>Ett övrigt krav är att kommunen har haft en skatteintäkt under 140 procent av genomsnittet i landet. </a:t>
          </a:r>
          <a:endParaRPr lang="sv-FI" sz="1400" b="1">
            <a:solidFill>
              <a:schemeClr val="tx2"/>
            </a:solidFill>
          </a:endParaRPr>
        </a:p>
      </xdr:txBody>
    </xdr:sp>
    <xdr:clientData/>
  </xdr:twoCellAnchor>
  <xdr:twoCellAnchor>
    <xdr:from>
      <xdr:col>10</xdr:col>
      <xdr:colOff>219074</xdr:colOff>
      <xdr:row>7</xdr:row>
      <xdr:rowOff>76200</xdr:rowOff>
    </xdr:from>
    <xdr:to>
      <xdr:col>24</xdr:col>
      <xdr:colOff>336177</xdr:colOff>
      <xdr:row>19</xdr:row>
      <xdr:rowOff>33617</xdr:rowOff>
    </xdr:to>
    <xdr:sp macro="" textlink="">
      <xdr:nvSpPr>
        <xdr:cNvPr id="3" name="textruta 2"/>
        <xdr:cNvSpPr txBox="1"/>
      </xdr:nvSpPr>
      <xdr:spPr>
        <a:xfrm>
          <a:off x="8991599" y="1524000"/>
          <a:ext cx="10785103" cy="2243417"/>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sv-FI" sz="1400" b="1" i="0" u="sng" strike="noStrike" baseline="0" smtClean="0">
              <a:solidFill>
                <a:schemeClr val="tx2"/>
              </a:solidFill>
              <a:latin typeface="+mn-lt"/>
              <a:ea typeface="+mn-ea"/>
              <a:cs typeface="+mn-cs"/>
            </a:rPr>
            <a:t>Ålands tillväxtbidrag</a:t>
          </a:r>
        </a:p>
        <a:p>
          <a:r>
            <a:rPr lang="sv-FI" sz="1400" b="1" i="0" u="none" strike="noStrike" baseline="0" smtClean="0">
              <a:solidFill>
                <a:schemeClr val="tx2"/>
              </a:solidFill>
              <a:latin typeface="+mn-lt"/>
              <a:ea typeface="+mn-ea"/>
              <a:cs typeface="+mn-cs"/>
            </a:rPr>
            <a:t> </a:t>
          </a:r>
        </a:p>
        <a:p>
          <a:r>
            <a:rPr lang="sv-FI" sz="1400" b="1" i="0" u="none" strike="noStrike" baseline="0" smtClean="0">
              <a:solidFill>
                <a:schemeClr val="tx2"/>
              </a:solidFill>
              <a:latin typeface="+mn-lt"/>
              <a:ea typeface="+mn-ea"/>
              <a:cs typeface="+mn-cs"/>
            </a:rPr>
            <a:t>Vill hjälpa tillväxtkommunerna , framförallt Jomala. Ser att även Lemland och Geta har hög tillväxt, där Geta redan erhåller höga andelar.</a:t>
          </a:r>
          <a:br>
            <a:rPr lang="sv-FI" sz="1400" b="1" i="0" u="none" strike="noStrike" baseline="0" smtClean="0">
              <a:solidFill>
                <a:schemeClr val="tx2"/>
              </a:solidFill>
              <a:latin typeface="+mn-lt"/>
              <a:ea typeface="+mn-ea"/>
              <a:cs typeface="+mn-cs"/>
            </a:rPr>
          </a:br>
          <a:r>
            <a:rPr lang="sv-FI" sz="1400" b="1" i="0" u="none" strike="noStrike" baseline="0" smtClean="0">
              <a:solidFill>
                <a:schemeClr val="tx2"/>
              </a:solidFill>
              <a:latin typeface="+mn-lt"/>
              <a:ea typeface="+mn-ea"/>
              <a:cs typeface="+mn-cs"/>
            </a:rPr>
            <a:t/>
          </a:r>
          <a:br>
            <a:rPr lang="sv-FI" sz="1400" b="1" i="0" u="none" strike="noStrike" baseline="0" smtClean="0">
              <a:solidFill>
                <a:schemeClr val="tx2"/>
              </a:solidFill>
              <a:latin typeface="+mn-lt"/>
              <a:ea typeface="+mn-ea"/>
              <a:cs typeface="+mn-cs"/>
            </a:rPr>
          </a:br>
          <a:r>
            <a:rPr lang="sv-FI" sz="1400" b="1" i="0" u="none" strike="noStrike" baseline="0" smtClean="0">
              <a:solidFill>
                <a:schemeClr val="tx2"/>
              </a:solidFill>
              <a:latin typeface="+mn-lt"/>
              <a:ea typeface="+mn-ea"/>
              <a:cs typeface="+mn-cs"/>
            </a:rPr>
            <a:t>Min tanke är att ge kommunerna andelar för varje person som överstiger  den "normala" tillväxten för Åland. Dvs om Jomala växer med  0,01 procentenhet högre än Åland så ska  denna procentenhet räknas  om i antalet  personer det motsvarar och så ska denna siffra sedan multipliceras med så mycket LS-andelar kommunen får  per invånare totalt.Typ om det hade motsvarat 50 personer så skulle det i jomalas fall bli 50 * 900 euro.</a:t>
          </a:r>
          <a:br>
            <a:rPr lang="sv-FI" sz="1400" b="1" i="0" u="none" strike="noStrike" baseline="0" smtClean="0">
              <a:solidFill>
                <a:schemeClr val="tx2"/>
              </a:solidFill>
              <a:latin typeface="+mn-lt"/>
              <a:ea typeface="+mn-ea"/>
              <a:cs typeface="+mn-cs"/>
            </a:rPr>
          </a:br>
          <a:r>
            <a:rPr lang="sv-FI" sz="1400" b="1" i="0" u="none" strike="noStrike" baseline="0" smtClean="0">
              <a:solidFill>
                <a:schemeClr val="tx2"/>
              </a:solidFill>
              <a:latin typeface="+mn-lt"/>
              <a:ea typeface="+mn-ea"/>
              <a:cs typeface="+mn-cs"/>
            </a:rPr>
            <a:t/>
          </a:r>
          <a:br>
            <a:rPr lang="sv-FI" sz="1400" b="1" i="0" u="none" strike="noStrike" baseline="0" smtClean="0">
              <a:solidFill>
                <a:schemeClr val="tx2"/>
              </a:solidFill>
              <a:latin typeface="+mn-lt"/>
              <a:ea typeface="+mn-ea"/>
              <a:cs typeface="+mn-cs"/>
            </a:rPr>
          </a:br>
          <a:r>
            <a:rPr lang="sv-FI" sz="1200" b="1" i="0" u="none" strike="noStrike" baseline="0" smtClean="0">
              <a:solidFill>
                <a:schemeClr val="tx2"/>
              </a:solidFill>
              <a:latin typeface="Calibri (Brödtext)"/>
              <a:ea typeface="+mn-ea"/>
              <a:cs typeface="+mn-cs"/>
            </a:rPr>
            <a:t>Skippar kravet om: " Ett övrigt krav är att kommunen har haft en skatteintäkt under 140 procent av genomsnittet i landet. "</a:t>
          </a:r>
          <a:r>
            <a:rPr lang="sv-FI" sz="1400" b="1" i="0" u="none" strike="noStrike" baseline="0" smtClean="0">
              <a:solidFill>
                <a:schemeClr val="tx2"/>
              </a:solidFill>
              <a:latin typeface="+mn-lt"/>
              <a:ea typeface="+mn-ea"/>
              <a:cs typeface="+mn-cs"/>
            </a:rPr>
            <a:t/>
          </a:r>
          <a:br>
            <a:rPr lang="sv-FI" sz="1400" b="1" i="0" u="none" strike="noStrike" baseline="0" smtClean="0">
              <a:solidFill>
                <a:schemeClr val="tx2"/>
              </a:solidFill>
              <a:latin typeface="+mn-lt"/>
              <a:ea typeface="+mn-ea"/>
              <a:cs typeface="+mn-cs"/>
            </a:rPr>
          </a:br>
          <a:r>
            <a:rPr lang="sv-FI" sz="1400" b="1" i="0" u="none" strike="noStrike" baseline="0" smtClean="0">
              <a:solidFill>
                <a:schemeClr val="tx2"/>
              </a:solidFill>
              <a:latin typeface="+mn-lt"/>
              <a:ea typeface="+mn-ea"/>
              <a:cs typeface="+mn-cs"/>
            </a:rPr>
            <a:t/>
          </a:r>
          <a:br>
            <a:rPr lang="sv-FI" sz="1400" b="1" i="0" u="none" strike="noStrike" baseline="0" smtClean="0">
              <a:solidFill>
                <a:schemeClr val="tx2"/>
              </a:solidFill>
              <a:latin typeface="+mn-lt"/>
              <a:ea typeface="+mn-ea"/>
              <a:cs typeface="+mn-cs"/>
            </a:rPr>
          </a:br>
          <a:endParaRPr lang="sv-FI" sz="1400" b="1">
            <a:solidFill>
              <a:schemeClr val="tx2"/>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28574</xdr:colOff>
      <xdr:row>7</xdr:row>
      <xdr:rowOff>85725</xdr:rowOff>
    </xdr:from>
    <xdr:to>
      <xdr:col>10</xdr:col>
      <xdr:colOff>85725</xdr:colOff>
      <xdr:row>19</xdr:row>
      <xdr:rowOff>33617</xdr:rowOff>
    </xdr:to>
    <xdr:sp macro="" textlink="">
      <xdr:nvSpPr>
        <xdr:cNvPr id="2" name="textruta 1"/>
        <xdr:cNvSpPr txBox="1"/>
      </xdr:nvSpPr>
      <xdr:spPr>
        <a:xfrm>
          <a:off x="790574" y="1542490"/>
          <a:ext cx="6915151" cy="2233892"/>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sv-FI" sz="1400" b="1" i="0" u="sng" strike="noStrike" baseline="0" smtClean="0">
              <a:solidFill>
                <a:schemeClr val="tx2"/>
              </a:solidFill>
              <a:latin typeface="+mn-lt"/>
              <a:ea typeface="+mn-ea"/>
              <a:cs typeface="+mn-cs"/>
            </a:rPr>
            <a:t>Norges tillväxtbidrag</a:t>
          </a:r>
        </a:p>
        <a:p>
          <a:r>
            <a:rPr lang="sv-FI" sz="1400" b="1" i="0" u="none" strike="noStrike" baseline="0" smtClean="0">
              <a:solidFill>
                <a:schemeClr val="tx2"/>
              </a:solidFill>
              <a:latin typeface="+mn-lt"/>
              <a:ea typeface="+mn-ea"/>
              <a:cs typeface="+mn-cs"/>
            </a:rPr>
            <a:t> </a:t>
          </a:r>
        </a:p>
        <a:p>
          <a:r>
            <a:rPr lang="sv-FI" sz="1400" b="1" i="0" u="none" strike="noStrike" baseline="0" smtClean="0">
              <a:solidFill>
                <a:schemeClr val="tx2"/>
              </a:solidFill>
              <a:latin typeface="+mn-lt"/>
              <a:ea typeface="+mn-ea"/>
              <a:cs typeface="+mn-cs"/>
            </a:rPr>
            <a:t>Kommuner med en särskilt hög befolkningstillväxt kan få tillväxtbidraget. Om kommunen under den senaste treårsperioden haft en genomsnittlig årlig tillväxt på mer än 175 procent av den genomsnittliga tillväxten för riket som helhet. </a:t>
          </a:r>
          <a:br>
            <a:rPr lang="sv-FI" sz="1400" b="1" i="0" u="none" strike="noStrike" baseline="0" smtClean="0">
              <a:solidFill>
                <a:schemeClr val="tx2"/>
              </a:solidFill>
              <a:latin typeface="+mn-lt"/>
              <a:ea typeface="+mn-ea"/>
              <a:cs typeface="+mn-cs"/>
            </a:rPr>
          </a:br>
          <a:r>
            <a:rPr lang="sv-FI" sz="1400" b="1" i="0" u="none" strike="noStrike" baseline="0" smtClean="0">
              <a:solidFill>
                <a:schemeClr val="tx2"/>
              </a:solidFill>
              <a:latin typeface="+mn-lt"/>
              <a:ea typeface="+mn-ea"/>
              <a:cs typeface="+mn-cs"/>
            </a:rPr>
            <a:t/>
          </a:r>
          <a:br>
            <a:rPr lang="sv-FI" sz="1400" b="1" i="0" u="none" strike="noStrike" baseline="0" smtClean="0">
              <a:solidFill>
                <a:schemeClr val="tx2"/>
              </a:solidFill>
              <a:latin typeface="+mn-lt"/>
              <a:ea typeface="+mn-ea"/>
              <a:cs typeface="+mn-cs"/>
            </a:rPr>
          </a:br>
          <a:r>
            <a:rPr lang="sv-FI" sz="1400" b="1" i="0" baseline="0">
              <a:solidFill>
                <a:schemeClr val="tx2"/>
              </a:solidFill>
              <a:effectLst/>
              <a:latin typeface="+mn-lt"/>
              <a:ea typeface="+mn-ea"/>
              <a:cs typeface="+mn-cs"/>
            </a:rPr>
            <a:t>Ett övrigt krav är att kommunen har haft en skatteintäkt under 140 procent av genomsnittet i landet. </a:t>
          </a:r>
          <a:endParaRPr lang="sv-FI" sz="1400" b="1">
            <a:solidFill>
              <a:schemeClr val="tx2"/>
            </a:solidFill>
          </a:endParaRPr>
        </a:p>
      </xdr:txBody>
    </xdr:sp>
    <xdr:clientData/>
  </xdr:twoCellAnchor>
  <xdr:twoCellAnchor>
    <xdr:from>
      <xdr:col>10</xdr:col>
      <xdr:colOff>219074</xdr:colOff>
      <xdr:row>7</xdr:row>
      <xdr:rowOff>76200</xdr:rowOff>
    </xdr:from>
    <xdr:to>
      <xdr:col>24</xdr:col>
      <xdr:colOff>336177</xdr:colOff>
      <xdr:row>19</xdr:row>
      <xdr:rowOff>33617</xdr:rowOff>
    </xdr:to>
    <xdr:sp macro="" textlink="">
      <xdr:nvSpPr>
        <xdr:cNvPr id="3" name="textruta 2"/>
        <xdr:cNvSpPr txBox="1"/>
      </xdr:nvSpPr>
      <xdr:spPr>
        <a:xfrm>
          <a:off x="7357221" y="1532965"/>
          <a:ext cx="10785103" cy="2243417"/>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sv-FI" sz="1400" b="1" i="0" u="sng" strike="noStrike" baseline="0" smtClean="0">
              <a:solidFill>
                <a:schemeClr val="tx2"/>
              </a:solidFill>
              <a:latin typeface="+mn-lt"/>
              <a:ea typeface="+mn-ea"/>
              <a:cs typeface="+mn-cs"/>
            </a:rPr>
            <a:t>Ålands tillväxtbidrag</a:t>
          </a:r>
        </a:p>
        <a:p>
          <a:r>
            <a:rPr lang="sv-FI" sz="1400" b="1" i="0" u="none" strike="noStrike" baseline="0" smtClean="0">
              <a:solidFill>
                <a:schemeClr val="tx2"/>
              </a:solidFill>
              <a:latin typeface="+mn-lt"/>
              <a:ea typeface="+mn-ea"/>
              <a:cs typeface="+mn-cs"/>
            </a:rPr>
            <a:t> </a:t>
          </a:r>
        </a:p>
        <a:p>
          <a:r>
            <a:rPr lang="sv-FI" sz="1400" b="1" i="0" u="none" strike="noStrike" baseline="0" smtClean="0">
              <a:solidFill>
                <a:schemeClr val="tx2"/>
              </a:solidFill>
              <a:latin typeface="+mn-lt"/>
              <a:ea typeface="+mn-ea"/>
              <a:cs typeface="+mn-cs"/>
            </a:rPr>
            <a:t>Vill hjälpa tillväxtkommunerna , framförallt Jomala. Ser att även Lemland och Geta har hög tillväxt, där Geta redan erhåller höga andelar.</a:t>
          </a:r>
          <a:br>
            <a:rPr lang="sv-FI" sz="1400" b="1" i="0" u="none" strike="noStrike" baseline="0" smtClean="0">
              <a:solidFill>
                <a:schemeClr val="tx2"/>
              </a:solidFill>
              <a:latin typeface="+mn-lt"/>
              <a:ea typeface="+mn-ea"/>
              <a:cs typeface="+mn-cs"/>
            </a:rPr>
          </a:br>
          <a:r>
            <a:rPr lang="sv-FI" sz="1400" b="1" i="0" u="none" strike="noStrike" baseline="0" smtClean="0">
              <a:solidFill>
                <a:schemeClr val="tx2"/>
              </a:solidFill>
              <a:latin typeface="+mn-lt"/>
              <a:ea typeface="+mn-ea"/>
              <a:cs typeface="+mn-cs"/>
            </a:rPr>
            <a:t/>
          </a:r>
          <a:br>
            <a:rPr lang="sv-FI" sz="1400" b="1" i="0" u="none" strike="noStrike" baseline="0" smtClean="0">
              <a:solidFill>
                <a:schemeClr val="tx2"/>
              </a:solidFill>
              <a:latin typeface="+mn-lt"/>
              <a:ea typeface="+mn-ea"/>
              <a:cs typeface="+mn-cs"/>
            </a:rPr>
          </a:br>
          <a:r>
            <a:rPr lang="sv-FI" sz="1400" b="1" i="0" u="none" strike="noStrike" baseline="0" smtClean="0">
              <a:solidFill>
                <a:schemeClr val="tx2"/>
              </a:solidFill>
              <a:latin typeface="+mn-lt"/>
              <a:ea typeface="+mn-ea"/>
              <a:cs typeface="+mn-cs"/>
            </a:rPr>
            <a:t>Min tanke är att ge kommunerna andelar för varje person som överstiger  den "normala" tillväxten för Åland. Dvs om Jomala växer med  0,01 procentenhet högre än Åland så ska  denna procentenhet räknas  om i antalet  personer det motsvarar och så ska denna siffra sedan multipliceras med så mycket LS-andelar kommunen får  per invånare totalt.Typ om det hade motsvarat 50 personer så skulle det i jomalas fall bli 50 * 900 euro.</a:t>
          </a:r>
          <a:br>
            <a:rPr lang="sv-FI" sz="1400" b="1" i="0" u="none" strike="noStrike" baseline="0" smtClean="0">
              <a:solidFill>
                <a:schemeClr val="tx2"/>
              </a:solidFill>
              <a:latin typeface="+mn-lt"/>
              <a:ea typeface="+mn-ea"/>
              <a:cs typeface="+mn-cs"/>
            </a:rPr>
          </a:br>
          <a:r>
            <a:rPr lang="sv-FI" sz="1400" b="1" i="0" u="none" strike="noStrike" baseline="0" smtClean="0">
              <a:solidFill>
                <a:schemeClr val="tx2"/>
              </a:solidFill>
              <a:latin typeface="+mn-lt"/>
              <a:ea typeface="+mn-ea"/>
              <a:cs typeface="+mn-cs"/>
            </a:rPr>
            <a:t/>
          </a:r>
          <a:br>
            <a:rPr lang="sv-FI" sz="1400" b="1" i="0" u="none" strike="noStrike" baseline="0" smtClean="0">
              <a:solidFill>
                <a:schemeClr val="tx2"/>
              </a:solidFill>
              <a:latin typeface="+mn-lt"/>
              <a:ea typeface="+mn-ea"/>
              <a:cs typeface="+mn-cs"/>
            </a:rPr>
          </a:br>
          <a:r>
            <a:rPr lang="sv-FI" sz="1200" b="1" i="0" u="none" strike="noStrike" baseline="0" smtClean="0">
              <a:solidFill>
                <a:schemeClr val="tx2"/>
              </a:solidFill>
              <a:latin typeface="Calibri (Brödtext)"/>
              <a:ea typeface="+mn-ea"/>
              <a:cs typeface="+mn-cs"/>
            </a:rPr>
            <a:t>Skippar kravet om: " Ett övrigt krav är att kommunen har haft en skatteintäkt under 140 procent av genomsnittet i landet. "</a:t>
          </a:r>
          <a:r>
            <a:rPr lang="sv-FI" sz="1400" b="1" i="0" u="none" strike="noStrike" baseline="0" smtClean="0">
              <a:solidFill>
                <a:schemeClr val="tx2"/>
              </a:solidFill>
              <a:latin typeface="+mn-lt"/>
              <a:ea typeface="+mn-ea"/>
              <a:cs typeface="+mn-cs"/>
            </a:rPr>
            <a:t/>
          </a:r>
          <a:br>
            <a:rPr lang="sv-FI" sz="1400" b="1" i="0" u="none" strike="noStrike" baseline="0" smtClean="0">
              <a:solidFill>
                <a:schemeClr val="tx2"/>
              </a:solidFill>
              <a:latin typeface="+mn-lt"/>
              <a:ea typeface="+mn-ea"/>
              <a:cs typeface="+mn-cs"/>
            </a:rPr>
          </a:br>
          <a:r>
            <a:rPr lang="sv-FI" sz="1400" b="1" i="0" u="none" strike="noStrike" baseline="0" smtClean="0">
              <a:solidFill>
                <a:schemeClr val="tx2"/>
              </a:solidFill>
              <a:latin typeface="+mn-lt"/>
              <a:ea typeface="+mn-ea"/>
              <a:cs typeface="+mn-cs"/>
            </a:rPr>
            <a:t/>
          </a:r>
          <a:br>
            <a:rPr lang="sv-FI" sz="1400" b="1" i="0" u="none" strike="noStrike" baseline="0" smtClean="0">
              <a:solidFill>
                <a:schemeClr val="tx2"/>
              </a:solidFill>
              <a:latin typeface="+mn-lt"/>
              <a:ea typeface="+mn-ea"/>
              <a:cs typeface="+mn-cs"/>
            </a:rPr>
          </a:br>
          <a:endParaRPr lang="sv-FI" sz="1400" b="1">
            <a:solidFill>
              <a:schemeClr val="tx2"/>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15</xdr:col>
      <xdr:colOff>205468</xdr:colOff>
      <xdr:row>45</xdr:row>
      <xdr:rowOff>175533</xdr:rowOff>
    </xdr:from>
    <xdr:to>
      <xdr:col>23</xdr:col>
      <xdr:colOff>176893</xdr:colOff>
      <xdr:row>61</xdr:row>
      <xdr:rowOff>122466</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0.10294</cdr:x>
      <cdr:y>0.51688</cdr:y>
    </cdr:from>
    <cdr:to>
      <cdr:x>0.22917</cdr:x>
      <cdr:y>0.74074</cdr:y>
    </cdr:to>
    <cdr:sp macro="" textlink="">
      <cdr:nvSpPr>
        <cdr:cNvPr id="3" name="Rektangel med rundade hörn 2"/>
        <cdr:cNvSpPr/>
      </cdr:nvSpPr>
      <cdr:spPr>
        <a:xfrm xmlns:a="http://schemas.openxmlformats.org/drawingml/2006/main">
          <a:off x="800101" y="1993943"/>
          <a:ext cx="981074" cy="863558"/>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sv-FI"/>
            <a:t>Skärgårds-kommuner, lumparland, geta</a:t>
          </a:r>
        </a:p>
      </cdr:txBody>
    </cdr:sp>
  </cdr:relSizeAnchor>
  <cdr:relSizeAnchor xmlns:cdr="http://schemas.openxmlformats.org/drawingml/2006/chartDrawing">
    <cdr:from>
      <cdr:x>0.77499</cdr:x>
      <cdr:y>0.64547</cdr:y>
    </cdr:from>
    <cdr:to>
      <cdr:x>0.90806</cdr:x>
      <cdr:y>0.74764</cdr:y>
    </cdr:to>
    <cdr:sp macro="" textlink="">
      <cdr:nvSpPr>
        <cdr:cNvPr id="4" name="Rektangel med rundade hörn 3"/>
        <cdr:cNvSpPr/>
      </cdr:nvSpPr>
      <cdr:spPr>
        <a:xfrm xmlns:a="http://schemas.openxmlformats.org/drawingml/2006/main">
          <a:off x="6023516" y="2489985"/>
          <a:ext cx="1034313" cy="39411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Mariehamn</a:t>
          </a:r>
        </a:p>
      </cdr:txBody>
    </cdr:sp>
  </cdr:relSizeAnchor>
  <cdr:relSizeAnchor xmlns:cdr="http://schemas.openxmlformats.org/drawingml/2006/chartDrawing">
    <cdr:from>
      <cdr:x>0.67246</cdr:x>
      <cdr:y>0.59737</cdr:y>
    </cdr:from>
    <cdr:to>
      <cdr:x>0.76505</cdr:x>
      <cdr:y>0.69953</cdr:y>
    </cdr:to>
    <cdr:sp macro="" textlink="">
      <cdr:nvSpPr>
        <cdr:cNvPr id="5" name="Rektangel med rundade hörn 4"/>
        <cdr:cNvSpPr/>
      </cdr:nvSpPr>
      <cdr:spPr>
        <a:xfrm xmlns:a="http://schemas.openxmlformats.org/drawingml/2006/main">
          <a:off x="5226590" y="2304432"/>
          <a:ext cx="719667" cy="394111"/>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Jomala</a:t>
          </a:r>
        </a:p>
      </cdr:txBody>
    </cdr:sp>
  </cdr:relSizeAnchor>
  <cdr:relSizeAnchor xmlns:cdr="http://schemas.openxmlformats.org/drawingml/2006/chartDrawing">
    <cdr:from>
      <cdr:x>0.55923</cdr:x>
      <cdr:y>0.49684</cdr:y>
    </cdr:from>
    <cdr:to>
      <cdr:x>0.66215</cdr:x>
      <cdr:y>0.59901</cdr:y>
    </cdr:to>
    <cdr:sp macro="" textlink="">
      <cdr:nvSpPr>
        <cdr:cNvPr id="6" name="Rektangel med rundade hörn 5"/>
        <cdr:cNvSpPr/>
      </cdr:nvSpPr>
      <cdr:spPr>
        <a:xfrm xmlns:a="http://schemas.openxmlformats.org/drawingml/2006/main">
          <a:off x="4346526" y="1916628"/>
          <a:ext cx="800001" cy="39411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Finström</a:t>
          </a:r>
        </a:p>
      </cdr:txBody>
    </cdr:sp>
  </cdr:relSizeAnchor>
  <cdr:relSizeAnchor xmlns:cdr="http://schemas.openxmlformats.org/drawingml/2006/chartDrawing">
    <cdr:from>
      <cdr:x>0.44608</cdr:x>
      <cdr:y>0.69218</cdr:y>
    </cdr:from>
    <cdr:to>
      <cdr:x>0.5727</cdr:x>
      <cdr:y>0.79435</cdr:y>
    </cdr:to>
    <cdr:sp macro="" textlink="">
      <cdr:nvSpPr>
        <cdr:cNvPr id="7" name="Rektangel med rundade hörn 6"/>
        <cdr:cNvSpPr/>
      </cdr:nvSpPr>
      <cdr:spPr>
        <a:xfrm xmlns:a="http://schemas.openxmlformats.org/drawingml/2006/main">
          <a:off x="3467100" y="2670175"/>
          <a:ext cx="984151" cy="39411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Saltvk,Leml,</a:t>
          </a:r>
          <a:r>
            <a:rPr lang="sv-FI" baseline="0"/>
            <a:t> Hland</a:t>
          </a:r>
          <a:endParaRPr lang="sv-FI"/>
        </a:p>
      </cdr:txBody>
    </cdr:sp>
  </cdr:relSizeAnchor>
  <cdr:relSizeAnchor xmlns:cdr="http://schemas.openxmlformats.org/drawingml/2006/chartDrawing">
    <cdr:from>
      <cdr:x>0.29085</cdr:x>
      <cdr:y>0.39342</cdr:y>
    </cdr:from>
    <cdr:to>
      <cdr:x>0.45343</cdr:x>
      <cdr:y>0.52346</cdr:y>
    </cdr:to>
    <cdr:sp macro="" textlink="">
      <cdr:nvSpPr>
        <cdr:cNvPr id="8" name="Rektangel med rundade hörn 7"/>
        <cdr:cNvSpPr/>
      </cdr:nvSpPr>
      <cdr:spPr>
        <a:xfrm xmlns:a="http://schemas.openxmlformats.org/drawingml/2006/main">
          <a:off x="2260600" y="1517649"/>
          <a:ext cx="1263650" cy="501651"/>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Eckerö, Sund, </a:t>
          </a:r>
        </a:p>
      </cdr:txBody>
    </cdr:sp>
  </cdr:relSizeAnchor>
</c:userShapes>
</file>

<file path=xl/drawings/drawing25.xml><?xml version="1.0" encoding="utf-8"?>
<xdr:wsDr xmlns:xdr="http://schemas.openxmlformats.org/drawingml/2006/spreadsheetDrawing" xmlns:a="http://schemas.openxmlformats.org/drawingml/2006/main">
  <xdr:twoCellAnchor>
    <xdr:from>
      <xdr:col>15</xdr:col>
      <xdr:colOff>205468</xdr:colOff>
      <xdr:row>45</xdr:row>
      <xdr:rowOff>175533</xdr:rowOff>
    </xdr:from>
    <xdr:to>
      <xdr:col>23</xdr:col>
      <xdr:colOff>176893</xdr:colOff>
      <xdr:row>61</xdr:row>
      <xdr:rowOff>122466</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0.10294</cdr:x>
      <cdr:y>0.51688</cdr:y>
    </cdr:from>
    <cdr:to>
      <cdr:x>0.22917</cdr:x>
      <cdr:y>0.74074</cdr:y>
    </cdr:to>
    <cdr:sp macro="" textlink="">
      <cdr:nvSpPr>
        <cdr:cNvPr id="3" name="Rektangel med rundade hörn 2"/>
        <cdr:cNvSpPr/>
      </cdr:nvSpPr>
      <cdr:spPr>
        <a:xfrm xmlns:a="http://schemas.openxmlformats.org/drawingml/2006/main">
          <a:off x="800101" y="1993943"/>
          <a:ext cx="981074" cy="863558"/>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sv-FI"/>
            <a:t>Skärgårds-kommuner, lumparland, geta</a:t>
          </a:r>
        </a:p>
      </cdr:txBody>
    </cdr:sp>
  </cdr:relSizeAnchor>
  <cdr:relSizeAnchor xmlns:cdr="http://schemas.openxmlformats.org/drawingml/2006/chartDrawing">
    <cdr:from>
      <cdr:x>0.77499</cdr:x>
      <cdr:y>0.64547</cdr:y>
    </cdr:from>
    <cdr:to>
      <cdr:x>0.90806</cdr:x>
      <cdr:y>0.74764</cdr:y>
    </cdr:to>
    <cdr:sp macro="" textlink="">
      <cdr:nvSpPr>
        <cdr:cNvPr id="4" name="Rektangel med rundade hörn 3"/>
        <cdr:cNvSpPr/>
      </cdr:nvSpPr>
      <cdr:spPr>
        <a:xfrm xmlns:a="http://schemas.openxmlformats.org/drawingml/2006/main">
          <a:off x="6023516" y="2489985"/>
          <a:ext cx="1034313" cy="39411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Mariehamn</a:t>
          </a:r>
        </a:p>
      </cdr:txBody>
    </cdr:sp>
  </cdr:relSizeAnchor>
  <cdr:relSizeAnchor xmlns:cdr="http://schemas.openxmlformats.org/drawingml/2006/chartDrawing">
    <cdr:from>
      <cdr:x>0.67246</cdr:x>
      <cdr:y>0.59737</cdr:y>
    </cdr:from>
    <cdr:to>
      <cdr:x>0.76505</cdr:x>
      <cdr:y>0.69953</cdr:y>
    </cdr:to>
    <cdr:sp macro="" textlink="">
      <cdr:nvSpPr>
        <cdr:cNvPr id="5" name="Rektangel med rundade hörn 4"/>
        <cdr:cNvSpPr/>
      </cdr:nvSpPr>
      <cdr:spPr>
        <a:xfrm xmlns:a="http://schemas.openxmlformats.org/drawingml/2006/main">
          <a:off x="5226590" y="2304432"/>
          <a:ext cx="719667" cy="394111"/>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Jomala</a:t>
          </a:r>
        </a:p>
      </cdr:txBody>
    </cdr:sp>
  </cdr:relSizeAnchor>
  <cdr:relSizeAnchor xmlns:cdr="http://schemas.openxmlformats.org/drawingml/2006/chartDrawing">
    <cdr:from>
      <cdr:x>0.55923</cdr:x>
      <cdr:y>0.49684</cdr:y>
    </cdr:from>
    <cdr:to>
      <cdr:x>0.66215</cdr:x>
      <cdr:y>0.59901</cdr:y>
    </cdr:to>
    <cdr:sp macro="" textlink="">
      <cdr:nvSpPr>
        <cdr:cNvPr id="6" name="Rektangel med rundade hörn 5"/>
        <cdr:cNvSpPr/>
      </cdr:nvSpPr>
      <cdr:spPr>
        <a:xfrm xmlns:a="http://schemas.openxmlformats.org/drawingml/2006/main">
          <a:off x="4346526" y="1916628"/>
          <a:ext cx="800001" cy="39411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Finström</a:t>
          </a:r>
        </a:p>
      </cdr:txBody>
    </cdr:sp>
  </cdr:relSizeAnchor>
  <cdr:relSizeAnchor xmlns:cdr="http://schemas.openxmlformats.org/drawingml/2006/chartDrawing">
    <cdr:from>
      <cdr:x>0.44608</cdr:x>
      <cdr:y>0.69218</cdr:y>
    </cdr:from>
    <cdr:to>
      <cdr:x>0.5727</cdr:x>
      <cdr:y>0.79435</cdr:y>
    </cdr:to>
    <cdr:sp macro="" textlink="">
      <cdr:nvSpPr>
        <cdr:cNvPr id="7" name="Rektangel med rundade hörn 6"/>
        <cdr:cNvSpPr/>
      </cdr:nvSpPr>
      <cdr:spPr>
        <a:xfrm xmlns:a="http://schemas.openxmlformats.org/drawingml/2006/main">
          <a:off x="3467100" y="2670175"/>
          <a:ext cx="984151" cy="39411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Saltvk,Leml,</a:t>
          </a:r>
          <a:r>
            <a:rPr lang="sv-FI" baseline="0"/>
            <a:t> Hland</a:t>
          </a:r>
          <a:endParaRPr lang="sv-FI"/>
        </a:p>
      </cdr:txBody>
    </cdr:sp>
  </cdr:relSizeAnchor>
  <cdr:relSizeAnchor xmlns:cdr="http://schemas.openxmlformats.org/drawingml/2006/chartDrawing">
    <cdr:from>
      <cdr:x>0.29085</cdr:x>
      <cdr:y>0.39342</cdr:y>
    </cdr:from>
    <cdr:to>
      <cdr:x>0.45343</cdr:x>
      <cdr:y>0.52346</cdr:y>
    </cdr:to>
    <cdr:sp macro="" textlink="">
      <cdr:nvSpPr>
        <cdr:cNvPr id="8" name="Rektangel med rundade hörn 7"/>
        <cdr:cNvSpPr/>
      </cdr:nvSpPr>
      <cdr:spPr>
        <a:xfrm xmlns:a="http://schemas.openxmlformats.org/drawingml/2006/main">
          <a:off x="2260600" y="1517649"/>
          <a:ext cx="1263650" cy="501651"/>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Eckerö, Sund, </a:t>
          </a:r>
        </a:p>
      </cdr:txBody>
    </cdr:sp>
  </cdr:relSizeAnchor>
</c:userShapes>
</file>

<file path=xl/drawings/drawing27.xml><?xml version="1.0" encoding="utf-8"?>
<xdr:wsDr xmlns:xdr="http://schemas.openxmlformats.org/drawingml/2006/spreadsheetDrawing" xmlns:a="http://schemas.openxmlformats.org/drawingml/2006/main">
  <xdr:twoCellAnchor>
    <xdr:from>
      <xdr:col>15</xdr:col>
      <xdr:colOff>205468</xdr:colOff>
      <xdr:row>45</xdr:row>
      <xdr:rowOff>175533</xdr:rowOff>
    </xdr:from>
    <xdr:to>
      <xdr:col>23</xdr:col>
      <xdr:colOff>176893</xdr:colOff>
      <xdr:row>61</xdr:row>
      <xdr:rowOff>122466</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0.10294</cdr:x>
      <cdr:y>0.51688</cdr:y>
    </cdr:from>
    <cdr:to>
      <cdr:x>0.22917</cdr:x>
      <cdr:y>0.74074</cdr:y>
    </cdr:to>
    <cdr:sp macro="" textlink="">
      <cdr:nvSpPr>
        <cdr:cNvPr id="3" name="Rektangel med rundade hörn 2"/>
        <cdr:cNvSpPr/>
      </cdr:nvSpPr>
      <cdr:spPr>
        <a:xfrm xmlns:a="http://schemas.openxmlformats.org/drawingml/2006/main">
          <a:off x="800101" y="1993943"/>
          <a:ext cx="981074" cy="863558"/>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sv-FI"/>
            <a:t>Skärgårds-kommuner, lumparland, geta</a:t>
          </a:r>
        </a:p>
      </cdr:txBody>
    </cdr:sp>
  </cdr:relSizeAnchor>
  <cdr:relSizeAnchor xmlns:cdr="http://schemas.openxmlformats.org/drawingml/2006/chartDrawing">
    <cdr:from>
      <cdr:x>0.77499</cdr:x>
      <cdr:y>0.64547</cdr:y>
    </cdr:from>
    <cdr:to>
      <cdr:x>0.90806</cdr:x>
      <cdr:y>0.74764</cdr:y>
    </cdr:to>
    <cdr:sp macro="" textlink="">
      <cdr:nvSpPr>
        <cdr:cNvPr id="4" name="Rektangel med rundade hörn 3"/>
        <cdr:cNvSpPr/>
      </cdr:nvSpPr>
      <cdr:spPr>
        <a:xfrm xmlns:a="http://schemas.openxmlformats.org/drawingml/2006/main">
          <a:off x="6023516" y="2489985"/>
          <a:ext cx="1034313" cy="39411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Mariehamn</a:t>
          </a:r>
        </a:p>
      </cdr:txBody>
    </cdr:sp>
  </cdr:relSizeAnchor>
  <cdr:relSizeAnchor xmlns:cdr="http://schemas.openxmlformats.org/drawingml/2006/chartDrawing">
    <cdr:from>
      <cdr:x>0.67246</cdr:x>
      <cdr:y>0.59737</cdr:y>
    </cdr:from>
    <cdr:to>
      <cdr:x>0.76505</cdr:x>
      <cdr:y>0.69953</cdr:y>
    </cdr:to>
    <cdr:sp macro="" textlink="">
      <cdr:nvSpPr>
        <cdr:cNvPr id="5" name="Rektangel med rundade hörn 4"/>
        <cdr:cNvSpPr/>
      </cdr:nvSpPr>
      <cdr:spPr>
        <a:xfrm xmlns:a="http://schemas.openxmlformats.org/drawingml/2006/main">
          <a:off x="5226590" y="2304432"/>
          <a:ext cx="719667" cy="394111"/>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Jomala</a:t>
          </a:r>
        </a:p>
      </cdr:txBody>
    </cdr:sp>
  </cdr:relSizeAnchor>
  <cdr:relSizeAnchor xmlns:cdr="http://schemas.openxmlformats.org/drawingml/2006/chartDrawing">
    <cdr:from>
      <cdr:x>0.55923</cdr:x>
      <cdr:y>0.49684</cdr:y>
    </cdr:from>
    <cdr:to>
      <cdr:x>0.66215</cdr:x>
      <cdr:y>0.59901</cdr:y>
    </cdr:to>
    <cdr:sp macro="" textlink="">
      <cdr:nvSpPr>
        <cdr:cNvPr id="6" name="Rektangel med rundade hörn 5"/>
        <cdr:cNvSpPr/>
      </cdr:nvSpPr>
      <cdr:spPr>
        <a:xfrm xmlns:a="http://schemas.openxmlformats.org/drawingml/2006/main">
          <a:off x="4346526" y="1916628"/>
          <a:ext cx="800001" cy="39411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Finström</a:t>
          </a:r>
        </a:p>
      </cdr:txBody>
    </cdr:sp>
  </cdr:relSizeAnchor>
  <cdr:relSizeAnchor xmlns:cdr="http://schemas.openxmlformats.org/drawingml/2006/chartDrawing">
    <cdr:from>
      <cdr:x>0.44608</cdr:x>
      <cdr:y>0.69218</cdr:y>
    </cdr:from>
    <cdr:to>
      <cdr:x>0.5727</cdr:x>
      <cdr:y>0.79435</cdr:y>
    </cdr:to>
    <cdr:sp macro="" textlink="">
      <cdr:nvSpPr>
        <cdr:cNvPr id="7" name="Rektangel med rundade hörn 6"/>
        <cdr:cNvSpPr/>
      </cdr:nvSpPr>
      <cdr:spPr>
        <a:xfrm xmlns:a="http://schemas.openxmlformats.org/drawingml/2006/main">
          <a:off x="3467100" y="2670175"/>
          <a:ext cx="984151" cy="39411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Saltvk,Leml,</a:t>
          </a:r>
          <a:r>
            <a:rPr lang="sv-FI" baseline="0"/>
            <a:t> Hland</a:t>
          </a:r>
          <a:endParaRPr lang="sv-FI"/>
        </a:p>
      </cdr:txBody>
    </cdr:sp>
  </cdr:relSizeAnchor>
  <cdr:relSizeAnchor xmlns:cdr="http://schemas.openxmlformats.org/drawingml/2006/chartDrawing">
    <cdr:from>
      <cdr:x>0.29085</cdr:x>
      <cdr:y>0.39342</cdr:y>
    </cdr:from>
    <cdr:to>
      <cdr:x>0.45343</cdr:x>
      <cdr:y>0.52346</cdr:y>
    </cdr:to>
    <cdr:sp macro="" textlink="">
      <cdr:nvSpPr>
        <cdr:cNvPr id="8" name="Rektangel med rundade hörn 7"/>
        <cdr:cNvSpPr/>
      </cdr:nvSpPr>
      <cdr:spPr>
        <a:xfrm xmlns:a="http://schemas.openxmlformats.org/drawingml/2006/main">
          <a:off x="2260600" y="1517649"/>
          <a:ext cx="1263650" cy="501651"/>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Eckerö, Sund, </a:t>
          </a:r>
        </a:p>
      </cdr:txBody>
    </cdr:sp>
  </cdr:relSizeAnchor>
</c:userShapes>
</file>

<file path=xl/drawings/drawing29.xml><?xml version="1.0" encoding="utf-8"?>
<xdr:wsDr xmlns:xdr="http://schemas.openxmlformats.org/drawingml/2006/spreadsheetDrawing" xmlns:a="http://schemas.openxmlformats.org/drawingml/2006/main">
  <xdr:twoCellAnchor>
    <xdr:from>
      <xdr:col>0</xdr:col>
      <xdr:colOff>382361</xdr:colOff>
      <xdr:row>66</xdr:row>
      <xdr:rowOff>80282</xdr:rowOff>
    </xdr:from>
    <xdr:to>
      <xdr:col>8</xdr:col>
      <xdr:colOff>329293</xdr:colOff>
      <xdr:row>87</xdr:row>
      <xdr:rowOff>179613</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593912</xdr:colOff>
      <xdr:row>6</xdr:row>
      <xdr:rowOff>134470</xdr:rowOff>
    </xdr:from>
    <xdr:to>
      <xdr:col>14</xdr:col>
      <xdr:colOff>638735</xdr:colOff>
      <xdr:row>9</xdr:row>
      <xdr:rowOff>145676</xdr:rowOff>
    </xdr:to>
    <xdr:sp macro="" textlink="">
      <xdr:nvSpPr>
        <xdr:cNvPr id="2" name="textruta 1"/>
        <xdr:cNvSpPr txBox="1"/>
      </xdr:nvSpPr>
      <xdr:spPr>
        <a:xfrm>
          <a:off x="941294" y="1277470"/>
          <a:ext cx="8594912" cy="582706"/>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FI" sz="1100"/>
            <a:t>KONFIDENTIELLT WORK IN PROGRESS MATERIAL</a:t>
          </a:r>
          <a:r>
            <a:rPr lang="sv-FI" sz="1100" baseline="0"/>
            <a:t> ENBART TILL STYRGRUPP FÖR REVIDERINGEN AV LS-ANDELAR.</a:t>
          </a:r>
          <a:br>
            <a:rPr lang="sv-FI" sz="1100" baseline="0"/>
          </a:br>
          <a:r>
            <a:rPr lang="sv-FI" sz="1100" baseline="0"/>
            <a:t>//15.01.2016. ENBART TILL ANVÄNDNING INOM STYRGRUPP, EJ OFFICIELLA UPPGIFTER.</a:t>
          </a:r>
          <a:br>
            <a:rPr lang="sv-FI" sz="1100" baseline="0"/>
          </a:br>
          <a:endParaRPr lang="sv-FI" sz="1100"/>
        </a:p>
      </xdr:txBody>
    </xdr:sp>
    <xdr:clientData/>
  </xdr:twoCellAnchor>
</xdr:wsDr>
</file>

<file path=xl/drawings/drawing30.xml><?xml version="1.0" encoding="utf-8"?>
<c:userShapes xmlns:c="http://schemas.openxmlformats.org/drawingml/2006/chart">
  <cdr:relSizeAnchor xmlns:cdr="http://schemas.openxmlformats.org/drawingml/2006/chartDrawing">
    <cdr:from>
      <cdr:x>0.10294</cdr:x>
      <cdr:y>0.51688</cdr:y>
    </cdr:from>
    <cdr:to>
      <cdr:x>0.22917</cdr:x>
      <cdr:y>0.74074</cdr:y>
    </cdr:to>
    <cdr:sp macro="" textlink="">
      <cdr:nvSpPr>
        <cdr:cNvPr id="3" name="Rektangel med rundade hörn 2"/>
        <cdr:cNvSpPr/>
      </cdr:nvSpPr>
      <cdr:spPr>
        <a:xfrm xmlns:a="http://schemas.openxmlformats.org/drawingml/2006/main">
          <a:off x="800101" y="1993943"/>
          <a:ext cx="981074" cy="863558"/>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sv-FI"/>
            <a:t>Skärgårds-kommuner, lumparland, geta</a:t>
          </a:r>
        </a:p>
      </cdr:txBody>
    </cdr:sp>
  </cdr:relSizeAnchor>
  <cdr:relSizeAnchor xmlns:cdr="http://schemas.openxmlformats.org/drawingml/2006/chartDrawing">
    <cdr:from>
      <cdr:x>0.77499</cdr:x>
      <cdr:y>0.64547</cdr:y>
    </cdr:from>
    <cdr:to>
      <cdr:x>0.90806</cdr:x>
      <cdr:y>0.74764</cdr:y>
    </cdr:to>
    <cdr:sp macro="" textlink="">
      <cdr:nvSpPr>
        <cdr:cNvPr id="4" name="Rektangel med rundade hörn 3"/>
        <cdr:cNvSpPr/>
      </cdr:nvSpPr>
      <cdr:spPr>
        <a:xfrm xmlns:a="http://schemas.openxmlformats.org/drawingml/2006/main">
          <a:off x="6023516" y="2489985"/>
          <a:ext cx="1034313" cy="39411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Mariehamn</a:t>
          </a:r>
        </a:p>
      </cdr:txBody>
    </cdr:sp>
  </cdr:relSizeAnchor>
  <cdr:relSizeAnchor xmlns:cdr="http://schemas.openxmlformats.org/drawingml/2006/chartDrawing">
    <cdr:from>
      <cdr:x>0.67246</cdr:x>
      <cdr:y>0.59737</cdr:y>
    </cdr:from>
    <cdr:to>
      <cdr:x>0.76505</cdr:x>
      <cdr:y>0.69953</cdr:y>
    </cdr:to>
    <cdr:sp macro="" textlink="">
      <cdr:nvSpPr>
        <cdr:cNvPr id="5" name="Rektangel med rundade hörn 4"/>
        <cdr:cNvSpPr/>
      </cdr:nvSpPr>
      <cdr:spPr>
        <a:xfrm xmlns:a="http://schemas.openxmlformats.org/drawingml/2006/main">
          <a:off x="5226590" y="2304432"/>
          <a:ext cx="719667" cy="394111"/>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Jomala</a:t>
          </a:r>
        </a:p>
      </cdr:txBody>
    </cdr:sp>
  </cdr:relSizeAnchor>
  <cdr:relSizeAnchor xmlns:cdr="http://schemas.openxmlformats.org/drawingml/2006/chartDrawing">
    <cdr:from>
      <cdr:x>0.55923</cdr:x>
      <cdr:y>0.49684</cdr:y>
    </cdr:from>
    <cdr:to>
      <cdr:x>0.66215</cdr:x>
      <cdr:y>0.59901</cdr:y>
    </cdr:to>
    <cdr:sp macro="" textlink="">
      <cdr:nvSpPr>
        <cdr:cNvPr id="6" name="Rektangel med rundade hörn 5"/>
        <cdr:cNvSpPr/>
      </cdr:nvSpPr>
      <cdr:spPr>
        <a:xfrm xmlns:a="http://schemas.openxmlformats.org/drawingml/2006/main">
          <a:off x="4346526" y="1916628"/>
          <a:ext cx="800001" cy="39411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Finström</a:t>
          </a:r>
        </a:p>
      </cdr:txBody>
    </cdr:sp>
  </cdr:relSizeAnchor>
  <cdr:relSizeAnchor xmlns:cdr="http://schemas.openxmlformats.org/drawingml/2006/chartDrawing">
    <cdr:from>
      <cdr:x>0.44608</cdr:x>
      <cdr:y>0.69218</cdr:y>
    </cdr:from>
    <cdr:to>
      <cdr:x>0.5727</cdr:x>
      <cdr:y>0.79435</cdr:y>
    </cdr:to>
    <cdr:sp macro="" textlink="">
      <cdr:nvSpPr>
        <cdr:cNvPr id="7" name="Rektangel med rundade hörn 6"/>
        <cdr:cNvSpPr/>
      </cdr:nvSpPr>
      <cdr:spPr>
        <a:xfrm xmlns:a="http://schemas.openxmlformats.org/drawingml/2006/main">
          <a:off x="3467100" y="2670175"/>
          <a:ext cx="984151" cy="39411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Saltvk,Leml,</a:t>
          </a:r>
          <a:r>
            <a:rPr lang="sv-FI" baseline="0"/>
            <a:t> Hland</a:t>
          </a:r>
          <a:endParaRPr lang="sv-FI"/>
        </a:p>
      </cdr:txBody>
    </cdr:sp>
  </cdr:relSizeAnchor>
  <cdr:relSizeAnchor xmlns:cdr="http://schemas.openxmlformats.org/drawingml/2006/chartDrawing">
    <cdr:from>
      <cdr:x>0.29085</cdr:x>
      <cdr:y>0.39342</cdr:y>
    </cdr:from>
    <cdr:to>
      <cdr:x>0.45343</cdr:x>
      <cdr:y>0.52346</cdr:y>
    </cdr:to>
    <cdr:sp macro="" textlink="">
      <cdr:nvSpPr>
        <cdr:cNvPr id="8" name="Rektangel med rundade hörn 7"/>
        <cdr:cNvSpPr/>
      </cdr:nvSpPr>
      <cdr:spPr>
        <a:xfrm xmlns:a="http://schemas.openxmlformats.org/drawingml/2006/main">
          <a:off x="2260600" y="1517649"/>
          <a:ext cx="1263650" cy="501651"/>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Eckerö, Sund, </a:t>
          </a:r>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382361</xdr:colOff>
      <xdr:row>66</xdr:row>
      <xdr:rowOff>80282</xdr:rowOff>
    </xdr:from>
    <xdr:to>
      <xdr:col>8</xdr:col>
      <xdr:colOff>329293</xdr:colOff>
      <xdr:row>87</xdr:row>
      <xdr:rowOff>179613</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0.10294</cdr:x>
      <cdr:y>0.51688</cdr:y>
    </cdr:from>
    <cdr:to>
      <cdr:x>0.22917</cdr:x>
      <cdr:y>0.74074</cdr:y>
    </cdr:to>
    <cdr:sp macro="" textlink="">
      <cdr:nvSpPr>
        <cdr:cNvPr id="3" name="Rektangel med rundade hörn 2"/>
        <cdr:cNvSpPr/>
      </cdr:nvSpPr>
      <cdr:spPr>
        <a:xfrm xmlns:a="http://schemas.openxmlformats.org/drawingml/2006/main">
          <a:off x="800101" y="1993943"/>
          <a:ext cx="981074" cy="863558"/>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sv-FI"/>
            <a:t>Skärgårds-kommuner, lumparland, geta</a:t>
          </a:r>
        </a:p>
      </cdr:txBody>
    </cdr:sp>
  </cdr:relSizeAnchor>
  <cdr:relSizeAnchor xmlns:cdr="http://schemas.openxmlformats.org/drawingml/2006/chartDrawing">
    <cdr:from>
      <cdr:x>0.77499</cdr:x>
      <cdr:y>0.64547</cdr:y>
    </cdr:from>
    <cdr:to>
      <cdr:x>0.90806</cdr:x>
      <cdr:y>0.74764</cdr:y>
    </cdr:to>
    <cdr:sp macro="" textlink="">
      <cdr:nvSpPr>
        <cdr:cNvPr id="4" name="Rektangel med rundade hörn 3"/>
        <cdr:cNvSpPr/>
      </cdr:nvSpPr>
      <cdr:spPr>
        <a:xfrm xmlns:a="http://schemas.openxmlformats.org/drawingml/2006/main">
          <a:off x="6023516" y="2489985"/>
          <a:ext cx="1034313" cy="39411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Mariehamn</a:t>
          </a:r>
        </a:p>
      </cdr:txBody>
    </cdr:sp>
  </cdr:relSizeAnchor>
  <cdr:relSizeAnchor xmlns:cdr="http://schemas.openxmlformats.org/drawingml/2006/chartDrawing">
    <cdr:from>
      <cdr:x>0.67246</cdr:x>
      <cdr:y>0.59737</cdr:y>
    </cdr:from>
    <cdr:to>
      <cdr:x>0.76505</cdr:x>
      <cdr:y>0.69953</cdr:y>
    </cdr:to>
    <cdr:sp macro="" textlink="">
      <cdr:nvSpPr>
        <cdr:cNvPr id="5" name="Rektangel med rundade hörn 4"/>
        <cdr:cNvSpPr/>
      </cdr:nvSpPr>
      <cdr:spPr>
        <a:xfrm xmlns:a="http://schemas.openxmlformats.org/drawingml/2006/main">
          <a:off x="5226590" y="2304432"/>
          <a:ext cx="719667" cy="394111"/>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Jomala</a:t>
          </a:r>
        </a:p>
      </cdr:txBody>
    </cdr:sp>
  </cdr:relSizeAnchor>
  <cdr:relSizeAnchor xmlns:cdr="http://schemas.openxmlformats.org/drawingml/2006/chartDrawing">
    <cdr:from>
      <cdr:x>0.55923</cdr:x>
      <cdr:y>0.49684</cdr:y>
    </cdr:from>
    <cdr:to>
      <cdr:x>0.66215</cdr:x>
      <cdr:y>0.59901</cdr:y>
    </cdr:to>
    <cdr:sp macro="" textlink="">
      <cdr:nvSpPr>
        <cdr:cNvPr id="6" name="Rektangel med rundade hörn 5"/>
        <cdr:cNvSpPr/>
      </cdr:nvSpPr>
      <cdr:spPr>
        <a:xfrm xmlns:a="http://schemas.openxmlformats.org/drawingml/2006/main">
          <a:off x="4346526" y="1916628"/>
          <a:ext cx="800001" cy="39411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Finström</a:t>
          </a:r>
        </a:p>
      </cdr:txBody>
    </cdr:sp>
  </cdr:relSizeAnchor>
  <cdr:relSizeAnchor xmlns:cdr="http://schemas.openxmlformats.org/drawingml/2006/chartDrawing">
    <cdr:from>
      <cdr:x>0.44608</cdr:x>
      <cdr:y>0.69218</cdr:y>
    </cdr:from>
    <cdr:to>
      <cdr:x>0.5727</cdr:x>
      <cdr:y>0.79435</cdr:y>
    </cdr:to>
    <cdr:sp macro="" textlink="">
      <cdr:nvSpPr>
        <cdr:cNvPr id="7" name="Rektangel med rundade hörn 6"/>
        <cdr:cNvSpPr/>
      </cdr:nvSpPr>
      <cdr:spPr>
        <a:xfrm xmlns:a="http://schemas.openxmlformats.org/drawingml/2006/main">
          <a:off x="3467100" y="2670175"/>
          <a:ext cx="984151" cy="39411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Saltvk,Leml,</a:t>
          </a:r>
          <a:r>
            <a:rPr lang="sv-FI" baseline="0"/>
            <a:t> Hland</a:t>
          </a:r>
          <a:endParaRPr lang="sv-FI"/>
        </a:p>
      </cdr:txBody>
    </cdr:sp>
  </cdr:relSizeAnchor>
  <cdr:relSizeAnchor xmlns:cdr="http://schemas.openxmlformats.org/drawingml/2006/chartDrawing">
    <cdr:from>
      <cdr:x>0.29085</cdr:x>
      <cdr:y>0.39342</cdr:y>
    </cdr:from>
    <cdr:to>
      <cdr:x>0.45343</cdr:x>
      <cdr:y>0.52346</cdr:y>
    </cdr:to>
    <cdr:sp macro="" textlink="">
      <cdr:nvSpPr>
        <cdr:cNvPr id="8" name="Rektangel med rundade hörn 7"/>
        <cdr:cNvSpPr/>
      </cdr:nvSpPr>
      <cdr:spPr>
        <a:xfrm xmlns:a="http://schemas.openxmlformats.org/drawingml/2006/main">
          <a:off x="2260600" y="1517649"/>
          <a:ext cx="1263650" cy="501651"/>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Eckerö, Sund, </a:t>
          </a:r>
        </a:p>
      </cdr:txBody>
    </cdr:sp>
  </cdr:relSizeAnchor>
</c:userShapes>
</file>

<file path=xl/drawings/drawing33.xml><?xml version="1.0" encoding="utf-8"?>
<xdr:wsDr xmlns:xdr="http://schemas.openxmlformats.org/drawingml/2006/spreadsheetDrawing" xmlns:a="http://schemas.openxmlformats.org/drawingml/2006/main">
  <xdr:twoCellAnchor>
    <xdr:from>
      <xdr:col>2</xdr:col>
      <xdr:colOff>57150</xdr:colOff>
      <xdr:row>28</xdr:row>
      <xdr:rowOff>38100</xdr:rowOff>
    </xdr:from>
    <xdr:to>
      <xdr:col>5</xdr:col>
      <xdr:colOff>1</xdr:colOff>
      <xdr:row>37</xdr:row>
      <xdr:rowOff>173935</xdr:rowOff>
    </xdr:to>
    <xdr:sp macro="" textlink="">
      <xdr:nvSpPr>
        <xdr:cNvPr id="2" name="textruta 1"/>
        <xdr:cNvSpPr txBox="1"/>
      </xdr:nvSpPr>
      <xdr:spPr>
        <a:xfrm>
          <a:off x="419100" y="1943100"/>
          <a:ext cx="5400676" cy="1850335"/>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lang="sv-FI" sz="1100" baseline="0"/>
            <a:t/>
          </a:r>
          <a:br>
            <a:rPr lang="sv-FI" sz="1100" baseline="0"/>
          </a:br>
          <a:r>
            <a:rPr lang="sv-FI" sz="1100" baseline="0"/>
            <a:t>Målet är att nå en solidarisk utjämning</a:t>
          </a:r>
        </a:p>
        <a:p>
          <a:r>
            <a:rPr lang="sv-FI" sz="1100" baseline="0"/>
            <a:t/>
          </a:r>
          <a:br>
            <a:rPr lang="sv-FI" sz="1100" baseline="0"/>
          </a:br>
          <a:r>
            <a:rPr lang="sv-FI" sz="1100" baseline="0"/>
            <a:t>Nettodriftskostnader kommer från 2 år tidigare. Från Åsubs beräkningar, INTE bokslut från kommunerna som LR gör nu. Bra att erinra sig om vid jämförelser.</a:t>
          </a:r>
          <a:br>
            <a:rPr lang="sv-FI" sz="1100" baseline="0"/>
          </a:br>
          <a:r>
            <a:rPr lang="sv-FI" sz="1100" baseline="0"/>
            <a:t/>
          </a:r>
          <a:br>
            <a:rPr lang="sv-FI" sz="1100" baseline="0"/>
          </a:br>
          <a:r>
            <a:rPr lang="sv-FI" sz="1100" baseline="0"/>
            <a:t>För STR så är det dock uppgifter från bokslut. </a:t>
          </a:r>
          <a:br>
            <a:rPr lang="sv-FI" sz="1100" baseline="0"/>
          </a:br>
          <a:r>
            <a:rPr lang="sv-FI" sz="1100" baseline="0"/>
            <a:t/>
          </a:r>
          <a:br>
            <a:rPr lang="sv-FI" sz="1100" baseline="0"/>
          </a:br>
          <a:r>
            <a:rPr lang="sv-FI" sz="1100" baseline="0"/>
            <a:t>Befolkningssiffror för 2013 kommer således från 1.1.2012 = 31.12.2011</a:t>
          </a:r>
        </a:p>
        <a:p>
          <a:endParaRPr lang="sv-FI" sz="1100" baseline="0"/>
        </a:p>
      </xdr:txBody>
    </xdr:sp>
    <xdr:clientData/>
  </xdr:twoCellAnchor>
  <xdr:twoCellAnchor>
    <xdr:from>
      <xdr:col>5</xdr:col>
      <xdr:colOff>142875</xdr:colOff>
      <xdr:row>28</xdr:row>
      <xdr:rowOff>76200</xdr:rowOff>
    </xdr:from>
    <xdr:to>
      <xdr:col>7</xdr:col>
      <xdr:colOff>571500</xdr:colOff>
      <xdr:row>37</xdr:row>
      <xdr:rowOff>171450</xdr:rowOff>
    </xdr:to>
    <xdr:sp macro="" textlink="">
      <xdr:nvSpPr>
        <xdr:cNvPr id="3" name="textruta 2"/>
        <xdr:cNvSpPr txBox="1"/>
      </xdr:nvSpPr>
      <xdr:spPr>
        <a:xfrm>
          <a:off x="5962650" y="1981200"/>
          <a:ext cx="2638425" cy="180975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lang="sv-FI" sz="1100" baseline="0">
              <a:solidFill>
                <a:schemeClr val="dk1"/>
              </a:solidFill>
              <a:effectLst/>
              <a:latin typeface="+mn-lt"/>
              <a:ea typeface="+mn-ea"/>
              <a:cs typeface="+mn-cs"/>
            </a:rPr>
            <a:t>Områdena som ingår är: </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*Träningsundervisning</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*Specialomsorg</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*Barnskydd</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*Missbrukarvård</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*ÖVrig socialvård (290)</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*Handikappvård</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Hur påverkas detta KST?</a:t>
          </a:r>
          <a:endParaRPr lang="sv-FI">
            <a:effectLst/>
          </a:endParaRPr>
        </a:p>
        <a:p>
          <a:r>
            <a:rPr lang="sv-FI" sz="1100">
              <a:solidFill>
                <a:schemeClr val="dk1"/>
              </a:solidFill>
              <a:effectLst/>
              <a:latin typeface="+mn-lt"/>
              <a:ea typeface="+mn-ea"/>
              <a:cs typeface="+mn-cs"/>
            </a:rPr>
            <a:t/>
          </a:r>
          <a:br>
            <a:rPr lang="sv-FI" sz="1100">
              <a:solidFill>
                <a:schemeClr val="dk1"/>
              </a:solidFill>
              <a:effectLst/>
              <a:latin typeface="+mn-lt"/>
              <a:ea typeface="+mn-ea"/>
              <a:cs typeface="+mn-cs"/>
            </a:rPr>
          </a:br>
          <a:endParaRPr lang="sv-FI" sz="1100"/>
        </a:p>
      </xdr:txBody>
    </xdr:sp>
    <xdr:clientData/>
  </xdr:twoCellAnchor>
  <xdr:twoCellAnchor editAs="oneCell">
    <xdr:from>
      <xdr:col>7</xdr:col>
      <xdr:colOff>1171575</xdr:colOff>
      <xdr:row>4</xdr:row>
      <xdr:rowOff>218332</xdr:rowOff>
    </xdr:from>
    <xdr:to>
      <xdr:col>14</xdr:col>
      <xdr:colOff>542925</xdr:colOff>
      <xdr:row>36</xdr:row>
      <xdr:rowOff>148478</xdr:rowOff>
    </xdr:to>
    <xdr:pic>
      <xdr:nvPicPr>
        <xdr:cNvPr id="4" name="Bildobjekt 3"/>
        <xdr:cNvPicPr>
          <a:picLocks noChangeAspect="1"/>
        </xdr:cNvPicPr>
      </xdr:nvPicPr>
      <xdr:blipFill>
        <a:blip xmlns:r="http://schemas.openxmlformats.org/officeDocument/2006/relationships" r:embed="rId1" cstate="print"/>
        <a:stretch>
          <a:fillRect/>
        </a:stretch>
      </xdr:blipFill>
      <xdr:spPr>
        <a:xfrm>
          <a:off x="9201150" y="1094632"/>
          <a:ext cx="7029450" cy="2572493"/>
        </a:xfrm>
        <a:prstGeom prst="rect">
          <a:avLst/>
        </a:prstGeom>
      </xdr:spPr>
    </xdr:pic>
    <xdr:clientData/>
  </xdr:twoCellAnchor>
  <xdr:twoCellAnchor>
    <xdr:from>
      <xdr:col>2</xdr:col>
      <xdr:colOff>28575</xdr:colOff>
      <xdr:row>6</xdr:row>
      <xdr:rowOff>9525</xdr:rowOff>
    </xdr:from>
    <xdr:to>
      <xdr:col>5</xdr:col>
      <xdr:colOff>352425</xdr:colOff>
      <xdr:row>22</xdr:row>
      <xdr:rowOff>152400</xdr:rowOff>
    </xdr:to>
    <xdr:sp macro="" textlink="">
      <xdr:nvSpPr>
        <xdr:cNvPr id="5" name="textruta 4"/>
        <xdr:cNvSpPr txBox="1"/>
      </xdr:nvSpPr>
      <xdr:spPr>
        <a:xfrm>
          <a:off x="390525" y="1095375"/>
          <a:ext cx="5781675" cy="0"/>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sv-FI" sz="1100"/>
        </a:p>
      </xdr:txBody>
    </xdr:sp>
    <xdr:clientData/>
  </xdr:twoCellAnchor>
  <xdr:twoCellAnchor>
    <xdr:from>
      <xdr:col>5</xdr:col>
      <xdr:colOff>485775</xdr:colOff>
      <xdr:row>6</xdr:row>
      <xdr:rowOff>9525</xdr:rowOff>
    </xdr:from>
    <xdr:to>
      <xdr:col>9</xdr:col>
      <xdr:colOff>962025</xdr:colOff>
      <xdr:row>22</xdr:row>
      <xdr:rowOff>152400</xdr:rowOff>
    </xdr:to>
    <xdr:sp macro="" textlink="">
      <xdr:nvSpPr>
        <xdr:cNvPr id="6" name="textruta 5"/>
        <xdr:cNvSpPr txBox="1"/>
      </xdr:nvSpPr>
      <xdr:spPr>
        <a:xfrm>
          <a:off x="6305550" y="1095375"/>
          <a:ext cx="5295900" cy="0"/>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sv-FI"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57150</xdr:colOff>
      <xdr:row>28</xdr:row>
      <xdr:rowOff>38100</xdr:rowOff>
    </xdr:from>
    <xdr:to>
      <xdr:col>5</xdr:col>
      <xdr:colOff>1</xdr:colOff>
      <xdr:row>37</xdr:row>
      <xdr:rowOff>173935</xdr:rowOff>
    </xdr:to>
    <xdr:sp macro="" textlink="">
      <xdr:nvSpPr>
        <xdr:cNvPr id="2" name="textruta 1"/>
        <xdr:cNvSpPr txBox="1"/>
      </xdr:nvSpPr>
      <xdr:spPr>
        <a:xfrm>
          <a:off x="419100" y="1943100"/>
          <a:ext cx="5029201" cy="1850335"/>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lang="sv-FI" sz="1100" baseline="0"/>
            <a:t/>
          </a:r>
          <a:br>
            <a:rPr lang="sv-FI" sz="1100" baseline="0"/>
          </a:br>
          <a:r>
            <a:rPr lang="sv-FI" sz="1100" baseline="0"/>
            <a:t>Målet är att nå en solidarisk utjämning</a:t>
          </a:r>
        </a:p>
        <a:p>
          <a:r>
            <a:rPr lang="sv-FI" sz="1100" baseline="0"/>
            <a:t/>
          </a:r>
          <a:br>
            <a:rPr lang="sv-FI" sz="1100" baseline="0"/>
          </a:br>
          <a:r>
            <a:rPr lang="sv-FI" sz="1100" baseline="0"/>
            <a:t>Nettodriftskostnader kommer från 2 år tidigare. Från Åsubs beräkningar, INTE bokslut från kommunerna som LR gör nu. Bra att erinra sig om vid jämförelser.</a:t>
          </a:r>
          <a:br>
            <a:rPr lang="sv-FI" sz="1100" baseline="0"/>
          </a:br>
          <a:r>
            <a:rPr lang="sv-FI" sz="1100" baseline="0"/>
            <a:t/>
          </a:r>
          <a:br>
            <a:rPr lang="sv-FI" sz="1100" baseline="0"/>
          </a:br>
          <a:r>
            <a:rPr lang="sv-FI" sz="1100" baseline="0"/>
            <a:t>För STR så är det dock uppgifter från bokslut. </a:t>
          </a:r>
          <a:br>
            <a:rPr lang="sv-FI" sz="1100" baseline="0"/>
          </a:br>
          <a:r>
            <a:rPr lang="sv-FI" sz="1100" baseline="0"/>
            <a:t/>
          </a:r>
          <a:br>
            <a:rPr lang="sv-FI" sz="1100" baseline="0"/>
          </a:br>
          <a:r>
            <a:rPr lang="sv-FI" sz="1100" baseline="0"/>
            <a:t>Befolkningssiffror för 2015 kommer således från 1.1.2014 = 31.12.2013</a:t>
          </a:r>
        </a:p>
        <a:p>
          <a:endParaRPr lang="sv-FI" sz="1100" baseline="0"/>
        </a:p>
      </xdr:txBody>
    </xdr:sp>
    <xdr:clientData/>
  </xdr:twoCellAnchor>
  <xdr:twoCellAnchor>
    <xdr:from>
      <xdr:col>5</xdr:col>
      <xdr:colOff>142875</xdr:colOff>
      <xdr:row>28</xdr:row>
      <xdr:rowOff>76200</xdr:rowOff>
    </xdr:from>
    <xdr:to>
      <xdr:col>7</xdr:col>
      <xdr:colOff>571500</xdr:colOff>
      <xdr:row>37</xdr:row>
      <xdr:rowOff>171450</xdr:rowOff>
    </xdr:to>
    <xdr:sp macro="" textlink="">
      <xdr:nvSpPr>
        <xdr:cNvPr id="3" name="textruta 2"/>
        <xdr:cNvSpPr txBox="1"/>
      </xdr:nvSpPr>
      <xdr:spPr>
        <a:xfrm>
          <a:off x="5591175" y="1981200"/>
          <a:ext cx="2638425" cy="180975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lang="sv-FI" sz="1100" baseline="0">
              <a:solidFill>
                <a:schemeClr val="dk1"/>
              </a:solidFill>
              <a:effectLst/>
              <a:latin typeface="+mn-lt"/>
              <a:ea typeface="+mn-ea"/>
              <a:cs typeface="+mn-cs"/>
            </a:rPr>
            <a:t>Områdena som ingår är: </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*Träningsundervisning</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*Specialomsorg</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*Barnskydd</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*Missbrukarvård</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*ÖVrig socialvård (290)</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*Handikappvård</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
          </a:r>
          <a:br>
            <a:rPr lang="sv-FI" sz="1100" baseline="0">
              <a:solidFill>
                <a:schemeClr val="dk1"/>
              </a:solidFill>
              <a:effectLst/>
              <a:latin typeface="+mn-lt"/>
              <a:ea typeface="+mn-ea"/>
              <a:cs typeface="+mn-cs"/>
            </a:rPr>
          </a:br>
          <a:r>
            <a:rPr lang="sv-FI" sz="1100" baseline="0">
              <a:solidFill>
                <a:schemeClr val="dk1"/>
              </a:solidFill>
              <a:effectLst/>
              <a:latin typeface="+mn-lt"/>
              <a:ea typeface="+mn-ea"/>
              <a:cs typeface="+mn-cs"/>
            </a:rPr>
            <a:t>Hur påverkas detta KST?</a:t>
          </a:r>
          <a:endParaRPr lang="sv-FI">
            <a:effectLst/>
          </a:endParaRPr>
        </a:p>
        <a:p>
          <a:r>
            <a:rPr lang="sv-FI" sz="1100">
              <a:solidFill>
                <a:schemeClr val="dk1"/>
              </a:solidFill>
              <a:effectLst/>
              <a:latin typeface="+mn-lt"/>
              <a:ea typeface="+mn-ea"/>
              <a:cs typeface="+mn-cs"/>
            </a:rPr>
            <a:t/>
          </a:r>
          <a:br>
            <a:rPr lang="sv-FI" sz="1100">
              <a:solidFill>
                <a:schemeClr val="dk1"/>
              </a:solidFill>
              <a:effectLst/>
              <a:latin typeface="+mn-lt"/>
              <a:ea typeface="+mn-ea"/>
              <a:cs typeface="+mn-cs"/>
            </a:rPr>
          </a:br>
          <a:endParaRPr lang="sv-FI" sz="1100"/>
        </a:p>
      </xdr:txBody>
    </xdr:sp>
    <xdr:clientData/>
  </xdr:twoCellAnchor>
  <xdr:twoCellAnchor editAs="oneCell">
    <xdr:from>
      <xdr:col>7</xdr:col>
      <xdr:colOff>1171575</xdr:colOff>
      <xdr:row>4</xdr:row>
      <xdr:rowOff>218332</xdr:rowOff>
    </xdr:from>
    <xdr:to>
      <xdr:col>14</xdr:col>
      <xdr:colOff>542925</xdr:colOff>
      <xdr:row>36</xdr:row>
      <xdr:rowOff>148478</xdr:rowOff>
    </xdr:to>
    <xdr:pic>
      <xdr:nvPicPr>
        <xdr:cNvPr id="4" name="Bildobjekt 3"/>
        <xdr:cNvPicPr>
          <a:picLocks noChangeAspect="1"/>
        </xdr:cNvPicPr>
      </xdr:nvPicPr>
      <xdr:blipFill>
        <a:blip xmlns:r="http://schemas.openxmlformats.org/officeDocument/2006/relationships" r:embed="rId1" cstate="print"/>
        <a:stretch>
          <a:fillRect/>
        </a:stretch>
      </xdr:blipFill>
      <xdr:spPr>
        <a:xfrm>
          <a:off x="8829675" y="1094632"/>
          <a:ext cx="7029450" cy="2572493"/>
        </a:xfrm>
        <a:prstGeom prst="rect">
          <a:avLst/>
        </a:prstGeom>
      </xdr:spPr>
    </xdr:pic>
    <xdr:clientData/>
  </xdr:twoCellAnchor>
  <xdr:twoCellAnchor>
    <xdr:from>
      <xdr:col>2</xdr:col>
      <xdr:colOff>28575</xdr:colOff>
      <xdr:row>6</xdr:row>
      <xdr:rowOff>9525</xdr:rowOff>
    </xdr:from>
    <xdr:to>
      <xdr:col>5</xdr:col>
      <xdr:colOff>352425</xdr:colOff>
      <xdr:row>22</xdr:row>
      <xdr:rowOff>152400</xdr:rowOff>
    </xdr:to>
    <xdr:sp macro="" textlink="">
      <xdr:nvSpPr>
        <xdr:cNvPr id="5" name="textruta 4"/>
        <xdr:cNvSpPr txBox="1"/>
      </xdr:nvSpPr>
      <xdr:spPr>
        <a:xfrm>
          <a:off x="390525" y="1095375"/>
          <a:ext cx="5410200" cy="0"/>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sv-FI" sz="1100"/>
        </a:p>
      </xdr:txBody>
    </xdr:sp>
    <xdr:clientData/>
  </xdr:twoCellAnchor>
  <xdr:twoCellAnchor>
    <xdr:from>
      <xdr:col>5</xdr:col>
      <xdr:colOff>485775</xdr:colOff>
      <xdr:row>6</xdr:row>
      <xdr:rowOff>9525</xdr:rowOff>
    </xdr:from>
    <xdr:to>
      <xdr:col>9</xdr:col>
      <xdr:colOff>962025</xdr:colOff>
      <xdr:row>22</xdr:row>
      <xdr:rowOff>152400</xdr:rowOff>
    </xdr:to>
    <xdr:sp macro="" textlink="">
      <xdr:nvSpPr>
        <xdr:cNvPr id="6" name="textruta 5"/>
        <xdr:cNvSpPr txBox="1"/>
      </xdr:nvSpPr>
      <xdr:spPr>
        <a:xfrm>
          <a:off x="5934075" y="1095375"/>
          <a:ext cx="5295900" cy="0"/>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sv-FI"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2</xdr:col>
      <xdr:colOff>95248</xdr:colOff>
      <xdr:row>36</xdr:row>
      <xdr:rowOff>95251</xdr:rowOff>
    </xdr:from>
    <xdr:to>
      <xdr:col>32</xdr:col>
      <xdr:colOff>544285</xdr:colOff>
      <xdr:row>87</xdr:row>
      <xdr:rowOff>108858</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180975</xdr:colOff>
      <xdr:row>16</xdr:row>
      <xdr:rowOff>95250</xdr:rowOff>
    </xdr:from>
    <xdr:to>
      <xdr:col>17</xdr:col>
      <xdr:colOff>382305</xdr:colOff>
      <xdr:row>34</xdr:row>
      <xdr:rowOff>152887</xdr:rowOff>
    </xdr:to>
    <xdr:pic>
      <xdr:nvPicPr>
        <xdr:cNvPr id="3" name="Bildobjekt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90975" y="3143250"/>
          <a:ext cx="9345330" cy="3486637"/>
        </a:xfrm>
        <a:prstGeom prst="rect">
          <a:avLst/>
        </a:prstGeom>
      </xdr:spPr>
    </xdr:pic>
    <xdr:clientData/>
  </xdr:twoCellAnchor>
  <xdr:twoCellAnchor>
    <xdr:from>
      <xdr:col>39</xdr:col>
      <xdr:colOff>258536</xdr:colOff>
      <xdr:row>40</xdr:row>
      <xdr:rowOff>148612</xdr:rowOff>
    </xdr:from>
    <xdr:to>
      <xdr:col>65</xdr:col>
      <xdr:colOff>217714</xdr:colOff>
      <xdr:row>96</xdr:row>
      <xdr:rowOff>105003</xdr:rowOff>
    </xdr:to>
    <xdr:grpSp>
      <xdr:nvGrpSpPr>
        <xdr:cNvPr id="4" name="Grupp 3"/>
        <xdr:cNvGrpSpPr/>
      </xdr:nvGrpSpPr>
      <xdr:grpSpPr>
        <a:xfrm>
          <a:off x="29976536" y="7768612"/>
          <a:ext cx="19771178" cy="10624391"/>
          <a:chOff x="29718000" y="7197113"/>
          <a:chExt cx="19771178" cy="10624391"/>
        </a:xfrm>
      </xdr:grpSpPr>
      <xdr:pic>
        <xdr:nvPicPr>
          <xdr:cNvPr id="5" name="Bildobjekt 4"/>
          <xdr:cNvPicPr>
            <a:picLocks noChangeAspect="1"/>
          </xdr:cNvPicPr>
        </xdr:nvPicPr>
        <xdr:blipFill>
          <a:blip xmlns:r="http://schemas.openxmlformats.org/officeDocument/2006/relationships" r:embed="rId3" cstate="print"/>
          <a:stretch>
            <a:fillRect/>
          </a:stretch>
        </xdr:blipFill>
        <xdr:spPr>
          <a:xfrm>
            <a:off x="29718000" y="7197113"/>
            <a:ext cx="19771178" cy="10624391"/>
          </a:xfrm>
          <a:prstGeom prst="rect">
            <a:avLst/>
          </a:prstGeom>
        </xdr:spPr>
      </xdr:pic>
      <xdr:sp macro="" textlink="">
        <xdr:nvSpPr>
          <xdr:cNvPr id="6" name="textruta 5"/>
          <xdr:cNvSpPr txBox="1"/>
        </xdr:nvSpPr>
        <xdr:spPr>
          <a:xfrm>
            <a:off x="35392179" y="7620000"/>
            <a:ext cx="3238500" cy="7075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FI" sz="1600"/>
              <a:t>Regression utan STR</a:t>
            </a:r>
          </a:p>
          <a:p>
            <a:endParaRPr lang="sv-FI" sz="1100"/>
          </a:p>
          <a:p>
            <a:endParaRPr lang="sv-FI" sz="1100"/>
          </a:p>
        </xdr:txBody>
      </xdr:sp>
    </xdr:grp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247650</xdr:colOff>
      <xdr:row>1</xdr:row>
      <xdr:rowOff>104775</xdr:rowOff>
    </xdr:from>
    <xdr:to>
      <xdr:col>11</xdr:col>
      <xdr:colOff>730808</xdr:colOff>
      <xdr:row>19</xdr:row>
      <xdr:rowOff>162412</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0100" y="295275"/>
          <a:ext cx="9345330" cy="348663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7</xdr:col>
      <xdr:colOff>1853</xdr:colOff>
      <xdr:row>45</xdr:row>
      <xdr:rowOff>36983</xdr:rowOff>
    </xdr:from>
    <xdr:to>
      <xdr:col>36</xdr:col>
      <xdr:colOff>68034</xdr:colOff>
      <xdr:row>84</xdr:row>
      <xdr:rowOff>176893</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43</xdr:col>
      <xdr:colOff>621925</xdr:colOff>
      <xdr:row>42</xdr:row>
      <xdr:rowOff>22412</xdr:rowOff>
    </xdr:from>
    <xdr:to>
      <xdr:col>62</xdr:col>
      <xdr:colOff>291353</xdr:colOff>
      <xdr:row>79</xdr:row>
      <xdr:rowOff>22412</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653143</xdr:colOff>
      <xdr:row>93</xdr:row>
      <xdr:rowOff>118380</xdr:rowOff>
    </xdr:from>
    <xdr:to>
      <xdr:col>28</xdr:col>
      <xdr:colOff>122464</xdr:colOff>
      <xdr:row>145</xdr:row>
      <xdr:rowOff>68035</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43</xdr:col>
      <xdr:colOff>476248</xdr:colOff>
      <xdr:row>112</xdr:row>
      <xdr:rowOff>131988</xdr:rowOff>
    </xdr:from>
    <xdr:to>
      <xdr:col>62</xdr:col>
      <xdr:colOff>258535</xdr:colOff>
      <xdr:row>156</xdr:row>
      <xdr:rowOff>27214</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646339</xdr:colOff>
      <xdr:row>157</xdr:row>
      <xdr:rowOff>16328</xdr:rowOff>
    </xdr:from>
    <xdr:to>
      <xdr:col>22</xdr:col>
      <xdr:colOff>258536</xdr:colOff>
      <xdr:row>190</xdr:row>
      <xdr:rowOff>68035</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385761</xdr:colOff>
      <xdr:row>60</xdr:row>
      <xdr:rowOff>100853</xdr:rowOff>
    </xdr:from>
    <xdr:to>
      <xdr:col>18</xdr:col>
      <xdr:colOff>582706</xdr:colOff>
      <xdr:row>79</xdr:row>
      <xdr:rowOff>100853</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369794</xdr:colOff>
      <xdr:row>83</xdr:row>
      <xdr:rowOff>116260</xdr:rowOff>
    </xdr:from>
    <xdr:to>
      <xdr:col>19</xdr:col>
      <xdr:colOff>459442</xdr:colOff>
      <xdr:row>110</xdr:row>
      <xdr:rowOff>67235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694765</xdr:colOff>
      <xdr:row>59</xdr:row>
      <xdr:rowOff>235323</xdr:rowOff>
    </xdr:from>
    <xdr:to>
      <xdr:col>20</xdr:col>
      <xdr:colOff>33617</xdr:colOff>
      <xdr:row>79</xdr:row>
      <xdr:rowOff>56030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201706</xdr:colOff>
      <xdr:row>83</xdr:row>
      <xdr:rowOff>56030</xdr:rowOff>
    </xdr:from>
    <xdr:to>
      <xdr:col>19</xdr:col>
      <xdr:colOff>425824</xdr:colOff>
      <xdr:row>109</xdr:row>
      <xdr:rowOff>33618</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xdr:col>
      <xdr:colOff>327932</xdr:colOff>
      <xdr:row>77</xdr:row>
      <xdr:rowOff>80282</xdr:rowOff>
    </xdr:from>
    <xdr:to>
      <xdr:col>22</xdr:col>
      <xdr:colOff>492579</xdr:colOff>
      <xdr:row>98</xdr:row>
      <xdr:rowOff>179613</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598714</xdr:colOff>
      <xdr:row>78</xdr:row>
      <xdr:rowOff>27215</xdr:rowOff>
    </xdr:from>
    <xdr:to>
      <xdr:col>9</xdr:col>
      <xdr:colOff>13606</xdr:colOff>
      <xdr:row>97</xdr:row>
      <xdr:rowOff>160564</xdr:rowOff>
    </xdr:to>
    <xdr:graphicFrame macro="">
      <xdr:nvGraphicFramePr>
        <xdr:cNvPr id="4" name="Diagra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176892</xdr:colOff>
      <xdr:row>101</xdr:row>
      <xdr:rowOff>152400</xdr:rowOff>
    </xdr:from>
    <xdr:to>
      <xdr:col>13</xdr:col>
      <xdr:colOff>326570</xdr:colOff>
      <xdr:row>121</xdr:row>
      <xdr:rowOff>95250</xdr:rowOff>
    </xdr:to>
    <xdr:graphicFrame macro="">
      <xdr:nvGraphicFramePr>
        <xdr:cNvPr id="5" name="Diagram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762000</xdr:colOff>
      <xdr:row>176</xdr:row>
      <xdr:rowOff>0</xdr:rowOff>
    </xdr:from>
    <xdr:to>
      <xdr:col>22</xdr:col>
      <xdr:colOff>598715</xdr:colOff>
      <xdr:row>212</xdr:row>
      <xdr:rowOff>122464</xdr:rowOff>
    </xdr:to>
    <xdr:graphicFrame macro="">
      <xdr:nvGraphicFramePr>
        <xdr:cNvPr id="6" name="Diagram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514349</xdr:colOff>
      <xdr:row>1</xdr:row>
      <xdr:rowOff>9525</xdr:rowOff>
    </xdr:from>
    <xdr:to>
      <xdr:col>10</xdr:col>
      <xdr:colOff>283378</xdr:colOff>
      <xdr:row>17</xdr:row>
      <xdr:rowOff>123825</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699" y="200025"/>
          <a:ext cx="8474879" cy="3162300"/>
        </a:xfrm>
        <a:prstGeom prst="rect">
          <a:avLst/>
        </a:prstGeom>
      </xdr:spPr>
    </xdr:pic>
    <xdr:clientData/>
  </xdr:twoCellAnchor>
  <xdr:twoCellAnchor>
    <xdr:from>
      <xdr:col>8</xdr:col>
      <xdr:colOff>435429</xdr:colOff>
      <xdr:row>76</xdr:row>
      <xdr:rowOff>36657</xdr:rowOff>
    </xdr:from>
    <xdr:to>
      <xdr:col>21</xdr:col>
      <xdr:colOff>353785</xdr:colOff>
      <xdr:row>109</xdr:row>
      <xdr:rowOff>163285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66114</xdr:colOff>
      <xdr:row>157</xdr:row>
      <xdr:rowOff>8403</xdr:rowOff>
    </xdr:from>
    <xdr:to>
      <xdr:col>21</xdr:col>
      <xdr:colOff>816428</xdr:colOff>
      <xdr:row>190</xdr:row>
      <xdr:rowOff>68034</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128866</xdr:colOff>
      <xdr:row>204</xdr:row>
      <xdr:rowOff>6724</xdr:rowOff>
    </xdr:from>
    <xdr:to>
      <xdr:col>17</xdr:col>
      <xdr:colOff>750793</xdr:colOff>
      <xdr:row>228</xdr:row>
      <xdr:rowOff>44824</xdr:rowOff>
    </xdr:to>
    <xdr:graphicFrame macro="">
      <xdr:nvGraphicFramePr>
        <xdr:cNvPr id="7" name="Diagram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3</xdr:col>
      <xdr:colOff>420220</xdr:colOff>
      <xdr:row>22</xdr:row>
      <xdr:rowOff>135590</xdr:rowOff>
    </xdr:from>
    <xdr:to>
      <xdr:col>8</xdr:col>
      <xdr:colOff>683558</xdr:colOff>
      <xdr:row>39</xdr:row>
      <xdr:rowOff>156881</xdr:rowOff>
    </xdr:to>
    <xdr:graphicFrame macro="">
      <xdr:nvGraphicFramePr>
        <xdr:cNvPr id="4" name="Diagra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0.10294</cdr:x>
      <cdr:y>0.51688</cdr:y>
    </cdr:from>
    <cdr:to>
      <cdr:x>0.22917</cdr:x>
      <cdr:y>0.74074</cdr:y>
    </cdr:to>
    <cdr:sp macro="" textlink="">
      <cdr:nvSpPr>
        <cdr:cNvPr id="3" name="Rektangel med rundade hörn 2"/>
        <cdr:cNvSpPr/>
      </cdr:nvSpPr>
      <cdr:spPr>
        <a:xfrm xmlns:a="http://schemas.openxmlformats.org/drawingml/2006/main">
          <a:off x="800101" y="1993943"/>
          <a:ext cx="981074" cy="863558"/>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sv-FI"/>
            <a:t>Skärgårds-kommuner, lumparland, geta</a:t>
          </a:r>
        </a:p>
      </cdr:txBody>
    </cdr:sp>
  </cdr:relSizeAnchor>
  <cdr:relSizeAnchor xmlns:cdr="http://schemas.openxmlformats.org/drawingml/2006/chartDrawing">
    <cdr:from>
      <cdr:x>0.77499</cdr:x>
      <cdr:y>0.64547</cdr:y>
    </cdr:from>
    <cdr:to>
      <cdr:x>0.90806</cdr:x>
      <cdr:y>0.74764</cdr:y>
    </cdr:to>
    <cdr:sp macro="" textlink="">
      <cdr:nvSpPr>
        <cdr:cNvPr id="4" name="Rektangel med rundade hörn 3"/>
        <cdr:cNvSpPr/>
      </cdr:nvSpPr>
      <cdr:spPr>
        <a:xfrm xmlns:a="http://schemas.openxmlformats.org/drawingml/2006/main">
          <a:off x="6023516" y="2489985"/>
          <a:ext cx="1034313" cy="39411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Mariehamn</a:t>
          </a:r>
        </a:p>
      </cdr:txBody>
    </cdr:sp>
  </cdr:relSizeAnchor>
  <cdr:relSizeAnchor xmlns:cdr="http://schemas.openxmlformats.org/drawingml/2006/chartDrawing">
    <cdr:from>
      <cdr:x>0.67246</cdr:x>
      <cdr:y>0.59737</cdr:y>
    </cdr:from>
    <cdr:to>
      <cdr:x>0.76505</cdr:x>
      <cdr:y>0.69953</cdr:y>
    </cdr:to>
    <cdr:sp macro="" textlink="">
      <cdr:nvSpPr>
        <cdr:cNvPr id="5" name="Rektangel med rundade hörn 4"/>
        <cdr:cNvSpPr/>
      </cdr:nvSpPr>
      <cdr:spPr>
        <a:xfrm xmlns:a="http://schemas.openxmlformats.org/drawingml/2006/main">
          <a:off x="5226590" y="2304432"/>
          <a:ext cx="719667" cy="394111"/>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Jomala</a:t>
          </a:r>
        </a:p>
      </cdr:txBody>
    </cdr:sp>
  </cdr:relSizeAnchor>
  <cdr:relSizeAnchor xmlns:cdr="http://schemas.openxmlformats.org/drawingml/2006/chartDrawing">
    <cdr:from>
      <cdr:x>0.55923</cdr:x>
      <cdr:y>0.49684</cdr:y>
    </cdr:from>
    <cdr:to>
      <cdr:x>0.66215</cdr:x>
      <cdr:y>0.59901</cdr:y>
    </cdr:to>
    <cdr:sp macro="" textlink="">
      <cdr:nvSpPr>
        <cdr:cNvPr id="6" name="Rektangel med rundade hörn 5"/>
        <cdr:cNvSpPr/>
      </cdr:nvSpPr>
      <cdr:spPr>
        <a:xfrm xmlns:a="http://schemas.openxmlformats.org/drawingml/2006/main">
          <a:off x="4346526" y="1916628"/>
          <a:ext cx="800001" cy="39411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Finström</a:t>
          </a:r>
        </a:p>
      </cdr:txBody>
    </cdr:sp>
  </cdr:relSizeAnchor>
  <cdr:relSizeAnchor xmlns:cdr="http://schemas.openxmlformats.org/drawingml/2006/chartDrawing">
    <cdr:from>
      <cdr:x>0.44608</cdr:x>
      <cdr:y>0.69218</cdr:y>
    </cdr:from>
    <cdr:to>
      <cdr:x>0.5727</cdr:x>
      <cdr:y>0.79435</cdr:y>
    </cdr:to>
    <cdr:sp macro="" textlink="">
      <cdr:nvSpPr>
        <cdr:cNvPr id="7" name="Rektangel med rundade hörn 6"/>
        <cdr:cNvSpPr/>
      </cdr:nvSpPr>
      <cdr:spPr>
        <a:xfrm xmlns:a="http://schemas.openxmlformats.org/drawingml/2006/main">
          <a:off x="3467100" y="2670175"/>
          <a:ext cx="984151" cy="39411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Saltvk,Leml,</a:t>
          </a:r>
          <a:r>
            <a:rPr lang="sv-FI" baseline="0"/>
            <a:t> Hland</a:t>
          </a:r>
          <a:endParaRPr lang="sv-FI"/>
        </a:p>
      </cdr:txBody>
    </cdr:sp>
  </cdr:relSizeAnchor>
  <cdr:relSizeAnchor xmlns:cdr="http://schemas.openxmlformats.org/drawingml/2006/chartDrawing">
    <cdr:from>
      <cdr:x>0.29085</cdr:x>
      <cdr:y>0.39342</cdr:y>
    </cdr:from>
    <cdr:to>
      <cdr:x>0.45343</cdr:x>
      <cdr:y>0.52346</cdr:y>
    </cdr:to>
    <cdr:sp macro="" textlink="">
      <cdr:nvSpPr>
        <cdr:cNvPr id="8" name="Rektangel med rundade hörn 7"/>
        <cdr:cNvSpPr/>
      </cdr:nvSpPr>
      <cdr:spPr>
        <a:xfrm xmlns:a="http://schemas.openxmlformats.org/drawingml/2006/main">
          <a:off x="2260600" y="1517649"/>
          <a:ext cx="1263650" cy="501651"/>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Eckerö, Sund, </a:t>
          </a: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57148</xdr:colOff>
      <xdr:row>3</xdr:row>
      <xdr:rowOff>60511</xdr:rowOff>
    </xdr:from>
    <xdr:to>
      <xdr:col>4</xdr:col>
      <xdr:colOff>660586</xdr:colOff>
      <xdr:row>11</xdr:row>
      <xdr:rowOff>41461</xdr:rowOff>
    </xdr:to>
    <xdr:sp macro="" textlink="">
      <xdr:nvSpPr>
        <xdr:cNvPr id="2" name="textruta 1"/>
        <xdr:cNvSpPr txBox="1"/>
      </xdr:nvSpPr>
      <xdr:spPr>
        <a:xfrm>
          <a:off x="247648" y="710452"/>
          <a:ext cx="3494556" cy="1605803"/>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lang="sv-FI" sz="1100"/>
            <a:t>Kommuner</a:t>
          </a:r>
          <a:r>
            <a:rPr lang="sv-FI" sz="1100" baseline="0"/>
            <a:t> får: Basbelopp * invånarantal i den åldersgrupen * ersättningsnivå på (17% eller den procent som sätts i kontrollpanelen)</a:t>
          </a:r>
        </a:p>
        <a:p>
          <a:r>
            <a:rPr lang="sv-FI" sz="1100"/>
            <a:t/>
          </a:r>
          <a:br>
            <a:rPr lang="sv-FI" sz="1100"/>
          </a:br>
          <a:r>
            <a:rPr lang="sv-FI" sz="1100"/>
            <a:t>Invånarantal: 1.1. 2014 </a:t>
          </a:r>
          <a:r>
            <a:rPr lang="sv-FI" sz="1100">
              <a:solidFill>
                <a:schemeClr val="dk1"/>
              </a:solidFill>
              <a:effectLst/>
              <a:latin typeface="+mn-lt"/>
              <a:ea typeface="+mn-ea"/>
              <a:cs typeface="+mn-cs"/>
            </a:rPr>
            <a:t>(1.1.2014 =</a:t>
          </a:r>
          <a:r>
            <a:rPr lang="sv-FI" sz="1100" baseline="0">
              <a:solidFill>
                <a:schemeClr val="dk1"/>
              </a:solidFill>
              <a:effectLst/>
              <a:latin typeface="+mn-lt"/>
              <a:ea typeface="+mn-ea"/>
              <a:cs typeface="+mn-cs"/>
            </a:rPr>
            <a:t> 31.12.2013)</a:t>
          </a:r>
        </a:p>
        <a:p>
          <a:endParaRPr lang="sv-FI" sz="1100"/>
        </a:p>
        <a:p>
          <a:r>
            <a:rPr lang="sv-FI" sz="1100"/>
            <a:t>Basbelopp, ndk för 2013</a:t>
          </a:r>
          <a:r>
            <a:rPr lang="sv-FI" sz="1100" baseline="0"/>
            <a:t> enligt Åsub beräkning. (Dvs inkluderar handikappservice)</a:t>
          </a:r>
          <a:br>
            <a:rPr lang="sv-FI" sz="1100" baseline="0"/>
          </a:br>
          <a:r>
            <a:rPr lang="sv-FI" sz="1100" baseline="0"/>
            <a:t/>
          </a:r>
          <a:br>
            <a:rPr lang="sv-FI" sz="1100" baseline="0"/>
          </a:br>
          <a:endParaRPr lang="sv-FI" sz="1100" baseline="0"/>
        </a:p>
        <a:p>
          <a:r>
            <a:rPr lang="sv-FI" sz="1100"/>
            <a:t/>
          </a:r>
          <a:br>
            <a:rPr lang="sv-FI" sz="1100"/>
          </a:br>
          <a:r>
            <a:rPr lang="sv-FI" sz="1100"/>
            <a:t/>
          </a:r>
          <a:br>
            <a:rPr lang="sv-FI" sz="1100"/>
          </a:br>
          <a:r>
            <a:rPr lang="sv-FI" sz="1100"/>
            <a:t/>
          </a:r>
          <a:br>
            <a:rPr lang="sv-FI" sz="1100"/>
          </a:br>
          <a:endParaRPr lang="sv-FI" sz="1100"/>
        </a:p>
      </xdr:txBody>
    </xdr:sp>
    <xdr:clientData/>
  </xdr:twoCellAnchor>
  <xdr:twoCellAnchor editAs="oneCell">
    <xdr:from>
      <xdr:col>12</xdr:col>
      <xdr:colOff>640958</xdr:colOff>
      <xdr:row>1</xdr:row>
      <xdr:rowOff>159027</xdr:rowOff>
    </xdr:from>
    <xdr:to>
      <xdr:col>22</xdr:col>
      <xdr:colOff>81593</xdr:colOff>
      <xdr:row>11</xdr:row>
      <xdr:rowOff>156904</xdr:rowOff>
    </xdr:to>
    <xdr:pic>
      <xdr:nvPicPr>
        <xdr:cNvPr id="3" name="Bildobjekt 2"/>
        <xdr:cNvPicPr>
          <a:picLocks noChangeAspect="1"/>
        </xdr:cNvPicPr>
      </xdr:nvPicPr>
      <xdr:blipFill>
        <a:blip xmlns:r="http://schemas.openxmlformats.org/officeDocument/2006/relationships" r:embed="rId1" cstate="print"/>
        <a:stretch>
          <a:fillRect/>
        </a:stretch>
      </xdr:blipFill>
      <xdr:spPr>
        <a:xfrm>
          <a:off x="10480283" y="349527"/>
          <a:ext cx="7270186" cy="206480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1311088</xdr:colOff>
      <xdr:row>1</xdr:row>
      <xdr:rowOff>22412</xdr:rowOff>
    </xdr:from>
    <xdr:to>
      <xdr:col>16</xdr:col>
      <xdr:colOff>560295</xdr:colOff>
      <xdr:row>3</xdr:row>
      <xdr:rowOff>78442</xdr:rowOff>
    </xdr:to>
    <xdr:sp macro="" textlink="">
      <xdr:nvSpPr>
        <xdr:cNvPr id="2" name="textruta 1"/>
        <xdr:cNvSpPr txBox="1"/>
      </xdr:nvSpPr>
      <xdr:spPr>
        <a:xfrm>
          <a:off x="9827559" y="212912"/>
          <a:ext cx="8594912" cy="582706"/>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FI" sz="1100"/>
            <a:t>KONFIDENTIELLT WORK IN PROGRESS MATERIAL</a:t>
          </a:r>
          <a:r>
            <a:rPr lang="sv-FI" sz="1100" baseline="0"/>
            <a:t> ENBART TILL STYRGRUPP FÖR REVIDERINGEN AV LS-ANDELAR.</a:t>
          </a:r>
          <a:br>
            <a:rPr lang="sv-FI" sz="1100" baseline="0"/>
          </a:br>
          <a:r>
            <a:rPr lang="sv-FI" sz="1100" baseline="0"/>
            <a:t>//15.01.2016. ENBART TILL ANVÄNDNING INOM STYRGRUPP, EJ OFFICIELLA UPPGIFTER.</a:t>
          </a:r>
          <a:br>
            <a:rPr lang="sv-FI" sz="1100" baseline="0"/>
          </a:br>
          <a:endParaRPr lang="sv-FI"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382361</xdr:colOff>
      <xdr:row>78</xdr:row>
      <xdr:rowOff>80282</xdr:rowOff>
    </xdr:from>
    <xdr:to>
      <xdr:col>8</xdr:col>
      <xdr:colOff>329293</xdr:colOff>
      <xdr:row>99</xdr:row>
      <xdr:rowOff>179613</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0.10294</cdr:x>
      <cdr:y>0.51688</cdr:y>
    </cdr:from>
    <cdr:to>
      <cdr:x>0.22917</cdr:x>
      <cdr:y>0.74074</cdr:y>
    </cdr:to>
    <cdr:sp macro="" textlink="">
      <cdr:nvSpPr>
        <cdr:cNvPr id="3" name="Rektangel med rundade hörn 2"/>
        <cdr:cNvSpPr/>
      </cdr:nvSpPr>
      <cdr:spPr>
        <a:xfrm xmlns:a="http://schemas.openxmlformats.org/drawingml/2006/main">
          <a:off x="800101" y="1993943"/>
          <a:ext cx="981074" cy="863558"/>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sv-FI"/>
            <a:t>Skärgårds-kommuner, lumparland, geta</a:t>
          </a:r>
        </a:p>
      </cdr:txBody>
    </cdr:sp>
  </cdr:relSizeAnchor>
  <cdr:relSizeAnchor xmlns:cdr="http://schemas.openxmlformats.org/drawingml/2006/chartDrawing">
    <cdr:from>
      <cdr:x>0.77499</cdr:x>
      <cdr:y>0.64547</cdr:y>
    </cdr:from>
    <cdr:to>
      <cdr:x>0.90806</cdr:x>
      <cdr:y>0.74764</cdr:y>
    </cdr:to>
    <cdr:sp macro="" textlink="">
      <cdr:nvSpPr>
        <cdr:cNvPr id="4" name="Rektangel med rundade hörn 3"/>
        <cdr:cNvSpPr/>
      </cdr:nvSpPr>
      <cdr:spPr>
        <a:xfrm xmlns:a="http://schemas.openxmlformats.org/drawingml/2006/main">
          <a:off x="6023516" y="2489985"/>
          <a:ext cx="1034313" cy="39411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Mariehamn</a:t>
          </a:r>
        </a:p>
      </cdr:txBody>
    </cdr:sp>
  </cdr:relSizeAnchor>
  <cdr:relSizeAnchor xmlns:cdr="http://schemas.openxmlformats.org/drawingml/2006/chartDrawing">
    <cdr:from>
      <cdr:x>0.67246</cdr:x>
      <cdr:y>0.59737</cdr:y>
    </cdr:from>
    <cdr:to>
      <cdr:x>0.76505</cdr:x>
      <cdr:y>0.69953</cdr:y>
    </cdr:to>
    <cdr:sp macro="" textlink="">
      <cdr:nvSpPr>
        <cdr:cNvPr id="5" name="Rektangel med rundade hörn 4"/>
        <cdr:cNvSpPr/>
      </cdr:nvSpPr>
      <cdr:spPr>
        <a:xfrm xmlns:a="http://schemas.openxmlformats.org/drawingml/2006/main">
          <a:off x="5226590" y="2304432"/>
          <a:ext cx="719667" cy="394111"/>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Jomala</a:t>
          </a:r>
        </a:p>
      </cdr:txBody>
    </cdr:sp>
  </cdr:relSizeAnchor>
  <cdr:relSizeAnchor xmlns:cdr="http://schemas.openxmlformats.org/drawingml/2006/chartDrawing">
    <cdr:from>
      <cdr:x>0.55923</cdr:x>
      <cdr:y>0.49684</cdr:y>
    </cdr:from>
    <cdr:to>
      <cdr:x>0.66215</cdr:x>
      <cdr:y>0.59901</cdr:y>
    </cdr:to>
    <cdr:sp macro="" textlink="">
      <cdr:nvSpPr>
        <cdr:cNvPr id="6" name="Rektangel med rundade hörn 5"/>
        <cdr:cNvSpPr/>
      </cdr:nvSpPr>
      <cdr:spPr>
        <a:xfrm xmlns:a="http://schemas.openxmlformats.org/drawingml/2006/main">
          <a:off x="4346526" y="1916628"/>
          <a:ext cx="800001" cy="39411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Finström</a:t>
          </a:r>
        </a:p>
      </cdr:txBody>
    </cdr:sp>
  </cdr:relSizeAnchor>
  <cdr:relSizeAnchor xmlns:cdr="http://schemas.openxmlformats.org/drawingml/2006/chartDrawing">
    <cdr:from>
      <cdr:x>0.44608</cdr:x>
      <cdr:y>0.69218</cdr:y>
    </cdr:from>
    <cdr:to>
      <cdr:x>0.5727</cdr:x>
      <cdr:y>0.79435</cdr:y>
    </cdr:to>
    <cdr:sp macro="" textlink="">
      <cdr:nvSpPr>
        <cdr:cNvPr id="7" name="Rektangel med rundade hörn 6"/>
        <cdr:cNvSpPr/>
      </cdr:nvSpPr>
      <cdr:spPr>
        <a:xfrm xmlns:a="http://schemas.openxmlformats.org/drawingml/2006/main">
          <a:off x="3467100" y="2670175"/>
          <a:ext cx="984151" cy="39411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Saltvk,Leml,</a:t>
          </a:r>
          <a:r>
            <a:rPr lang="sv-FI" baseline="0"/>
            <a:t> Hland</a:t>
          </a:r>
          <a:endParaRPr lang="sv-FI"/>
        </a:p>
      </cdr:txBody>
    </cdr:sp>
  </cdr:relSizeAnchor>
  <cdr:relSizeAnchor xmlns:cdr="http://schemas.openxmlformats.org/drawingml/2006/chartDrawing">
    <cdr:from>
      <cdr:x>0.29085</cdr:x>
      <cdr:y>0.39342</cdr:y>
    </cdr:from>
    <cdr:to>
      <cdr:x>0.45343</cdr:x>
      <cdr:y>0.52346</cdr:y>
    </cdr:to>
    <cdr:sp macro="" textlink="">
      <cdr:nvSpPr>
        <cdr:cNvPr id="8" name="Rektangel med rundade hörn 7"/>
        <cdr:cNvSpPr/>
      </cdr:nvSpPr>
      <cdr:spPr>
        <a:xfrm xmlns:a="http://schemas.openxmlformats.org/drawingml/2006/main">
          <a:off x="2260600" y="1517649"/>
          <a:ext cx="1263650" cy="501651"/>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sv-FI"/>
            <a:t>Eckerö, Sund, </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HERES~1\AppData\Local\Temp\XPgrpwise\Kopia%20av%20LS__system_V_KST_BER_10_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97;SUB\AppData\Local\Microsoft\Windows\Temporary%20Internet%20Files\Content.IE5\YPNEFP20\modell_revidering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Test olika avdrag"/>
      <sheetName val="Inledande förklaringar"/>
      <sheetName val="Data, inkomst- skkompl"/>
      <sheetName val="Kontrollpanel"/>
      <sheetName val="C2. Kostnadsutj. skola (2015)"/>
      <sheetName val="C3. Förslag, socialvård (2015)"/>
      <sheetName val="4. Förslag, utjämning (2013)"/>
      <sheetName val="B4. Förslag, utjämning (2014)"/>
      <sheetName val="C4. Förslag, utjämning (2015)"/>
      <sheetName val="C6. Övriga delar (2015)"/>
      <sheetName val="1. Skattekomplettering (2013)"/>
      <sheetName val="B3. Förslag, socialvård (2014)"/>
      <sheetName val="3. Förslag, socialvård (2013)"/>
      <sheetName val="B1. Skattekomplettering (2014)"/>
      <sheetName val="C7. HELHET (2015)"/>
      <sheetName val="C1. Skattekomplettering (2015)"/>
      <sheetName val="B2. Kostnadsutj. skola (2014)"/>
      <sheetName val="B6. Övriga delar (2014)"/>
      <sheetName val="6. Övriga delar"/>
      <sheetName val="C5. Skärgårdstillägg (2015)"/>
      <sheetName val="B5. Skärgårdstillägg (2014)"/>
      <sheetName val="B7. HELHET (2014)"/>
      <sheetName val="äldre version, skattko(2013)"/>
      <sheetName val="2. Kostnadsutj. skola (2013)"/>
      <sheetName val="Kostnadsutj. skola (2012)"/>
      <sheetName val="Kostnadsutj. skola (2011)"/>
      <sheetName val="Regression, skola"/>
      <sheetName val="Basbelopp, Skola"/>
      <sheetName val="5. Skärgårdstillägg"/>
      <sheetName val="A7. HELHET (2013)"/>
      <sheetName val="Inv. antal o prognos"/>
      <sheetName val="BASbelopp Social"/>
      <sheetName val="8. Regression, tot. soc.vård"/>
      <sheetName val="9. Regression. Soc, äldre, barn"/>
      <sheetName val="10 Regr. SKOLA utan trän.und"/>
      <sheetName val="12. Regression Kost, kultur"/>
    </sheetNames>
    <sheetDataSet>
      <sheetData sheetId="0"/>
      <sheetData sheetId="1"/>
      <sheetData sheetId="2"/>
      <sheetData sheetId="3">
        <row r="37">
          <cell r="D37">
            <v>52962</v>
          </cell>
          <cell r="E37">
            <v>53968.3</v>
          </cell>
          <cell r="F37">
            <v>54076.2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13"/>
      <sheetName val="Samling"/>
      <sheetName val="Input"/>
      <sheetName val="Ink. Kalkyl (swe 2013)"/>
      <sheetName val="Ink Kalkyl (Finland 2013)"/>
      <sheetName val="Kostnadsutj. skola2013(1)"/>
      <sheetName val="Kostnadsutj, förslag soc"/>
      <sheetName val="Kostnadsutj. skola (2)"/>
      <sheetName val="Kostnadsutj. skola (3)"/>
      <sheetName val="Kostnutj, förslag socvård2013"/>
      <sheetName val="Resultat2013"/>
      <sheetName val="2014 OBS"/>
      <sheetName val="Ink Kalkyl (Finland 2014)"/>
      <sheetName val="Kostnadsutj. skola (2014)"/>
      <sheetName val="Kostnutj, förslag socialvård 20"/>
      <sheetName val="Resultat2014"/>
      <sheetName val="effektiva skattegrader1"/>
    </sheetNames>
    <sheetDataSet>
      <sheetData sheetId="0"/>
      <sheetData sheetId="1"/>
      <sheetData sheetId="2">
        <row r="8">
          <cell r="I8">
            <v>495</v>
          </cell>
          <cell r="J8">
            <v>476</v>
          </cell>
          <cell r="K8">
            <v>578</v>
          </cell>
          <cell r="L8">
            <v>422</v>
          </cell>
          <cell r="M8">
            <v>338</v>
          </cell>
          <cell r="N8">
            <v>101</v>
          </cell>
          <cell r="O8">
            <v>245</v>
          </cell>
          <cell r="P8">
            <v>960</v>
          </cell>
          <cell r="Q8">
            <v>1035</v>
          </cell>
          <cell r="R8">
            <v>392</v>
          </cell>
          <cell r="S8">
            <v>1522</v>
          </cell>
          <cell r="T8">
            <v>1883</v>
          </cell>
          <cell r="U8">
            <v>1823</v>
          </cell>
          <cell r="V8">
            <v>2531</v>
          </cell>
          <cell r="W8">
            <v>4355</v>
          </cell>
          <cell r="X8">
            <v>11346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R255"/>
  <sheetViews>
    <sheetView topLeftCell="A4" zoomScale="85" zoomScaleNormal="85" workbookViewId="0">
      <selection activeCell="O29" sqref="O29"/>
    </sheetView>
  </sheetViews>
  <sheetFormatPr defaultColWidth="8.88671875" defaultRowHeight="15" x14ac:dyDescent="0.2"/>
  <cols>
    <col min="1" max="1" width="2.6640625" style="1" customWidth="1"/>
    <col min="2" max="2" width="7" style="1" customWidth="1"/>
    <col min="3" max="3" width="12.21875" style="1" customWidth="1"/>
    <col min="4" max="4" width="11.6640625" style="1" customWidth="1"/>
    <col min="5" max="5" width="12" style="1" customWidth="1"/>
    <col min="6" max="6" width="4.88671875" style="1" customWidth="1"/>
    <col min="7" max="7" width="10.5546875" style="1" customWidth="1"/>
    <col min="8" max="8" width="12.44140625" style="1" customWidth="1"/>
    <col min="9" max="9" width="4.5546875" style="1" customWidth="1"/>
    <col min="10" max="10" width="7.77734375" style="1" customWidth="1"/>
    <col min="11" max="11" width="4.44140625" style="1" customWidth="1"/>
    <col min="12" max="12" width="11.109375" style="1" customWidth="1"/>
    <col min="13" max="13" width="12.33203125" style="1" customWidth="1"/>
    <col min="14" max="14" width="11" style="1" customWidth="1"/>
    <col min="15" max="16" width="7.33203125" style="1" customWidth="1"/>
    <col min="17" max="17" width="5.77734375" style="1" customWidth="1"/>
    <col min="18" max="18" width="5.44140625" style="1" customWidth="1"/>
    <col min="19" max="19" width="4.88671875" style="1" customWidth="1"/>
    <col min="20" max="20" width="8.21875" style="1" customWidth="1"/>
    <col min="21" max="21" width="9.6640625" style="1" customWidth="1"/>
    <col min="22" max="22" width="7.88671875" style="1" customWidth="1"/>
    <col min="23" max="23" width="4.5546875" style="1" customWidth="1"/>
    <col min="24" max="24" width="12.88671875" style="1" customWidth="1"/>
    <col min="25" max="25" width="4.21875" style="1" customWidth="1"/>
    <col min="26" max="26" width="10.77734375" style="1" customWidth="1"/>
    <col min="27" max="27" width="14.21875" style="1" customWidth="1"/>
    <col min="28" max="28" width="2.21875" style="1" customWidth="1"/>
    <col min="29" max="29" width="11" style="1" customWidth="1"/>
    <col min="30" max="30" width="11.6640625" style="1" bestFit="1" customWidth="1"/>
    <col min="31" max="32" width="8.88671875" style="1"/>
    <col min="33" max="33" width="14.21875" style="1" customWidth="1"/>
    <col min="34" max="34" width="15.88671875" style="1" customWidth="1"/>
    <col min="35" max="35" width="12.88671875" style="1" customWidth="1"/>
    <col min="36" max="36" width="15" style="1" customWidth="1"/>
    <col min="37" max="37" width="14.109375" style="1" customWidth="1"/>
    <col min="38" max="38" width="17.6640625" style="1" customWidth="1"/>
    <col min="39" max="39" width="11.6640625" style="1" bestFit="1" customWidth="1"/>
    <col min="40" max="40" width="9.88671875" style="1" customWidth="1"/>
    <col min="41" max="16384" width="8.88671875" style="1"/>
  </cols>
  <sheetData>
    <row r="3" spans="2:40" ht="27" customHeight="1" x14ac:dyDescent="0.2"/>
    <row r="6" spans="2:40" ht="15.75" thickBot="1" x14ac:dyDescent="0.25"/>
    <row r="7" spans="2:40" ht="45.75" customHeight="1" thickBot="1" x14ac:dyDescent="0.25">
      <c r="AH7" s="1382" t="s">
        <v>421</v>
      </c>
      <c r="AI7" s="1382" t="s">
        <v>422</v>
      </c>
      <c r="AJ7" s="1382" t="s">
        <v>423</v>
      </c>
      <c r="AL7" s="1376" t="s">
        <v>424</v>
      </c>
      <c r="AM7" s="1377"/>
    </row>
    <row r="8" spans="2:40" ht="15.75" thickBot="1" x14ac:dyDescent="0.25">
      <c r="D8" s="553" t="s">
        <v>353</v>
      </c>
      <c r="E8" s="554"/>
      <c r="F8" s="554"/>
      <c r="G8" s="554"/>
      <c r="H8" s="554"/>
      <c r="I8" s="554"/>
      <c r="J8" s="554"/>
      <c r="K8" s="554"/>
      <c r="L8" s="554"/>
      <c r="M8" s="555"/>
      <c r="R8" s="553" t="s">
        <v>354</v>
      </c>
      <c r="S8" s="554"/>
      <c r="T8" s="554"/>
      <c r="U8" s="554"/>
      <c r="V8" s="554"/>
      <c r="W8" s="554"/>
      <c r="X8" s="554"/>
      <c r="Y8" s="554"/>
      <c r="Z8" s="554"/>
      <c r="AA8" s="555"/>
      <c r="AH8" s="1383"/>
      <c r="AI8" s="1383"/>
      <c r="AJ8" s="1383"/>
      <c r="AL8" s="1378"/>
      <c r="AM8" s="1379"/>
    </row>
    <row r="9" spans="2:40" ht="15" customHeight="1" x14ac:dyDescent="0.2">
      <c r="B9" s="1371" t="s">
        <v>257</v>
      </c>
      <c r="C9" s="1372"/>
      <c r="D9" s="544"/>
      <c r="E9" s="499"/>
      <c r="F9" s="3"/>
      <c r="G9" s="3"/>
      <c r="H9" s="2"/>
      <c r="I9" s="3"/>
      <c r="J9" s="3"/>
      <c r="K9" s="544"/>
      <c r="L9" s="499"/>
      <c r="M9" s="2"/>
      <c r="P9" s="1371" t="s">
        <v>257</v>
      </c>
      <c r="Q9" s="1372"/>
      <c r="R9" s="544"/>
      <c r="S9" s="499"/>
      <c r="T9" s="3"/>
      <c r="U9" s="3"/>
      <c r="V9" s="2"/>
      <c r="W9" s="3"/>
      <c r="X9" s="3"/>
      <c r="Y9" s="544"/>
      <c r="Z9" s="499"/>
      <c r="AA9" s="2"/>
      <c r="AH9" s="1383"/>
      <c r="AI9" s="1383"/>
      <c r="AJ9" s="1383"/>
      <c r="AL9" s="1378"/>
      <c r="AM9" s="1379"/>
    </row>
    <row r="10" spans="2:40" ht="15" customHeight="1" x14ac:dyDescent="0.2">
      <c r="B10" s="1366"/>
      <c r="C10" s="1367"/>
      <c r="D10" s="1366" t="s">
        <v>262</v>
      </c>
      <c r="E10" s="1367"/>
      <c r="F10" s="1364" t="s">
        <v>263</v>
      </c>
      <c r="G10" s="1364"/>
      <c r="H10" s="1368" t="s">
        <v>264</v>
      </c>
      <c r="I10" s="1365" t="s">
        <v>265</v>
      </c>
      <c r="J10" s="1365"/>
      <c r="K10" s="418"/>
      <c r="L10" s="1369" t="s">
        <v>266</v>
      </c>
      <c r="M10" s="1368" t="s">
        <v>267</v>
      </c>
      <c r="P10" s="1366"/>
      <c r="Q10" s="1367"/>
      <c r="R10" s="1366" t="s">
        <v>262</v>
      </c>
      <c r="S10" s="1367"/>
      <c r="T10" s="1364" t="s">
        <v>263</v>
      </c>
      <c r="U10" s="1364"/>
      <c r="V10" s="1368" t="s">
        <v>264</v>
      </c>
      <c r="W10" s="1365" t="s">
        <v>265</v>
      </c>
      <c r="X10" s="1365"/>
      <c r="Y10" s="418"/>
      <c r="Z10" s="1369" t="s">
        <v>266</v>
      </c>
      <c r="AA10" s="1368" t="s">
        <v>267</v>
      </c>
      <c r="AH10" s="1383"/>
      <c r="AI10" s="1383"/>
      <c r="AJ10" s="1383"/>
      <c r="AL10" s="1378"/>
      <c r="AM10" s="1379"/>
    </row>
    <row r="11" spans="2:40" ht="15" customHeight="1" x14ac:dyDescent="0.2">
      <c r="B11" s="1366"/>
      <c r="C11" s="1367"/>
      <c r="D11" s="1366"/>
      <c r="E11" s="1367"/>
      <c r="F11" s="1364"/>
      <c r="G11" s="1364"/>
      <c r="H11" s="1368"/>
      <c r="I11" s="1365"/>
      <c r="J11" s="1365"/>
      <c r="K11" s="418"/>
      <c r="L11" s="1369"/>
      <c r="M11" s="1368"/>
      <c r="P11" s="1366"/>
      <c r="Q11" s="1367"/>
      <c r="R11" s="1366"/>
      <c r="S11" s="1367"/>
      <c r="T11" s="1364"/>
      <c r="U11" s="1364"/>
      <c r="V11" s="1368"/>
      <c r="W11" s="1365"/>
      <c r="X11" s="1365"/>
      <c r="Y11" s="418"/>
      <c r="Z11" s="1369"/>
      <c r="AA11" s="1368"/>
      <c r="AH11" s="1383"/>
      <c r="AI11" s="1383"/>
      <c r="AJ11" s="1383"/>
      <c r="AL11" s="1378"/>
      <c r="AM11" s="1379"/>
    </row>
    <row r="12" spans="2:40" ht="15.75" x14ac:dyDescent="0.25">
      <c r="B12" s="1366"/>
      <c r="C12" s="1367"/>
      <c r="D12" s="1366"/>
      <c r="E12" s="1367"/>
      <c r="F12" s="1364"/>
      <c r="G12" s="1364"/>
      <c r="H12" s="1368"/>
      <c r="I12" s="709"/>
      <c r="J12" s="709"/>
      <c r="K12" s="418"/>
      <c r="L12" s="1369"/>
      <c r="M12" s="1368"/>
      <c r="P12" s="1366"/>
      <c r="Q12" s="1367"/>
      <c r="R12" s="1366"/>
      <c r="S12" s="1367"/>
      <c r="T12" s="1364"/>
      <c r="U12" s="1364"/>
      <c r="V12" s="1368"/>
      <c r="W12" s="709"/>
      <c r="X12" s="709"/>
      <c r="Y12" s="418"/>
      <c r="Z12" s="1369"/>
      <c r="AA12" s="1368"/>
      <c r="AH12" s="1383"/>
      <c r="AI12" s="1383"/>
      <c r="AJ12" s="1383"/>
      <c r="AL12" s="1378"/>
      <c r="AM12" s="1379"/>
    </row>
    <row r="13" spans="2:40" ht="16.5" thickBot="1" x14ac:dyDescent="0.3">
      <c r="B13" s="1373"/>
      <c r="C13" s="1374"/>
      <c r="D13" s="1366"/>
      <c r="E13" s="1367"/>
      <c r="F13" s="1364"/>
      <c r="G13" s="1364"/>
      <c r="H13" s="1368"/>
      <c r="I13" s="709"/>
      <c r="J13" s="709"/>
      <c r="K13" s="418"/>
      <c r="L13" s="1369"/>
      <c r="M13" s="1368"/>
      <c r="P13" s="1373"/>
      <c r="Q13" s="1374"/>
      <c r="R13" s="1366"/>
      <c r="S13" s="1367"/>
      <c r="T13" s="1364"/>
      <c r="U13" s="1364"/>
      <c r="V13" s="1368"/>
      <c r="W13" s="709"/>
      <c r="X13" s="709"/>
      <c r="Y13" s="418"/>
      <c r="Z13" s="1369"/>
      <c r="AA13" s="1368"/>
      <c r="AH13" s="1384"/>
      <c r="AI13" s="1384"/>
      <c r="AJ13" s="1384"/>
      <c r="AL13" s="1380"/>
      <c r="AM13" s="1381"/>
    </row>
    <row r="14" spans="2:40" ht="16.5" thickBot="1" x14ac:dyDescent="0.3">
      <c r="B14" s="493"/>
      <c r="C14" s="495">
        <v>2013</v>
      </c>
      <c r="D14" s="558"/>
      <c r="E14" s="559"/>
      <c r="F14" s="560"/>
      <c r="G14" s="560"/>
      <c r="H14" s="561"/>
      <c r="I14" s="421"/>
      <c r="J14" s="421"/>
      <c r="K14" s="420"/>
      <c r="L14" s="422"/>
      <c r="M14" s="561"/>
      <c r="P14" s="493"/>
      <c r="Q14" s="495">
        <v>2013</v>
      </c>
      <c r="R14" s="558"/>
      <c r="S14" s="559"/>
      <c r="T14" s="560"/>
      <c r="U14" s="560"/>
      <c r="V14" s="561"/>
      <c r="W14" s="421"/>
      <c r="X14" s="421"/>
      <c r="Y14" s="420"/>
      <c r="Z14" s="422"/>
      <c r="AA14" s="561"/>
      <c r="AC14" s="710"/>
      <c r="AG14" s="496" t="s">
        <v>8</v>
      </c>
      <c r="AH14" s="765">
        <v>279830.18135435181</v>
      </c>
      <c r="AI14" s="568">
        <v>270255.81957148114</v>
      </c>
      <c r="AJ14" s="568">
        <v>270803.24297593231</v>
      </c>
      <c r="AL14" s="764">
        <v>235669.65148481991</v>
      </c>
      <c r="AM14" s="763">
        <f t="shared" ref="AM14:AM28" si="0">AL14/AJ14</f>
        <v>0.87026155556698814</v>
      </c>
      <c r="AN14" s="562" t="s">
        <v>8</v>
      </c>
    </row>
    <row r="15" spans="2:40" ht="16.5" thickBot="1" x14ac:dyDescent="0.3">
      <c r="B15" s="562" t="s">
        <v>8</v>
      </c>
      <c r="C15" s="563">
        <v>3066.0561652655015</v>
      </c>
      <c r="D15" s="564"/>
      <c r="E15" s="565">
        <v>316.33446100850915</v>
      </c>
      <c r="F15" s="566"/>
      <c r="G15" s="567">
        <v>654.57352363591053</v>
      </c>
      <c r="H15" s="568">
        <v>284.70101490765825</v>
      </c>
      <c r="I15" s="9"/>
      <c r="J15" s="569">
        <v>589.11617127231955</v>
      </c>
      <c r="K15" s="418"/>
      <c r="L15" s="568">
        <v>135232.98208113766</v>
      </c>
      <c r="M15" s="711">
        <v>279830.18135435181</v>
      </c>
      <c r="P15" s="562" t="s">
        <v>8</v>
      </c>
      <c r="Q15" s="563">
        <v>2894.9271798766563</v>
      </c>
      <c r="R15" s="564"/>
      <c r="S15" s="565">
        <v>312.69560028964406</v>
      </c>
      <c r="T15" s="566"/>
      <c r="U15" s="567">
        <v>633.45787830627432</v>
      </c>
      <c r="V15" s="568">
        <v>281.42604026067966</v>
      </c>
      <c r="W15" s="9"/>
      <c r="X15" s="569">
        <v>570.11209047564694</v>
      </c>
      <c r="Y15" s="418"/>
      <c r="Z15" s="568">
        <v>133677.36912382283</v>
      </c>
      <c r="AA15" s="711">
        <v>270803.24297593231</v>
      </c>
      <c r="AC15" s="712">
        <f>AA15-M15</f>
        <v>-9026.9383784194943</v>
      </c>
      <c r="AD15" s="115">
        <f>AA15/M15</f>
        <v>0.96774136965952007</v>
      </c>
      <c r="AG15" s="52" t="s">
        <v>9</v>
      </c>
      <c r="AH15" s="765">
        <v>835041.37017659482</v>
      </c>
      <c r="AI15" s="568">
        <v>881558.4741099379</v>
      </c>
      <c r="AJ15" s="568">
        <v>799109.69941523299</v>
      </c>
      <c r="AL15" s="764">
        <v>816013.80195249699</v>
      </c>
      <c r="AM15" s="763">
        <f t="shared" si="0"/>
        <v>1.0211536695770731</v>
      </c>
      <c r="AN15" s="562" t="s">
        <v>9</v>
      </c>
    </row>
    <row r="16" spans="2:40" ht="16.5" thickBot="1" x14ac:dyDescent="0.3">
      <c r="B16" s="562" t="s">
        <v>9</v>
      </c>
      <c r="C16" s="563">
        <v>2740.8791665775884</v>
      </c>
      <c r="D16" s="564"/>
      <c r="E16" s="565">
        <v>641.51145969642221</v>
      </c>
      <c r="F16" s="566"/>
      <c r="G16" s="567">
        <v>979.75052232382359</v>
      </c>
      <c r="H16" s="568">
        <v>577.36031372677996</v>
      </c>
      <c r="I16" s="9"/>
      <c r="J16" s="569">
        <v>881.77547009144121</v>
      </c>
      <c r="K16" s="418"/>
      <c r="L16" s="568">
        <v>546760.21709926066</v>
      </c>
      <c r="M16" s="711">
        <v>835041.37017659482</v>
      </c>
      <c r="P16" s="562" t="s">
        <v>9</v>
      </c>
      <c r="Q16" s="563">
        <v>2590.793013814477</v>
      </c>
      <c r="R16" s="564"/>
      <c r="S16" s="565">
        <v>616.82976635182331</v>
      </c>
      <c r="T16" s="566"/>
      <c r="U16" s="567">
        <v>937.59204436845357</v>
      </c>
      <c r="V16" s="568">
        <v>555.14678971664102</v>
      </c>
      <c r="W16" s="9"/>
      <c r="X16" s="569">
        <v>843.83283993160819</v>
      </c>
      <c r="Y16" s="418"/>
      <c r="Z16" s="568">
        <v>525724.00986165903</v>
      </c>
      <c r="AA16" s="711">
        <v>799109.69941523299</v>
      </c>
      <c r="AC16" s="712">
        <f t="shared" ref="AC16:AC31" si="1">AA16-M16</f>
        <v>-35931.670761361835</v>
      </c>
      <c r="AD16" s="115">
        <f t="shared" ref="AD16:AD31" si="2">AA16/M16</f>
        <v>0.95697019088555701</v>
      </c>
      <c r="AG16" s="52" t="s">
        <v>10</v>
      </c>
      <c r="AH16" s="765">
        <v>1961468.0650063481</v>
      </c>
      <c r="AI16" s="568">
        <v>2018117.7148915168</v>
      </c>
      <c r="AJ16" s="568">
        <v>1887090.1499214487</v>
      </c>
      <c r="AL16" s="764">
        <v>2345509.7524353596</v>
      </c>
      <c r="AM16" s="761">
        <f t="shared" si="0"/>
        <v>1.2429240609056187</v>
      </c>
      <c r="AN16" s="562" t="s">
        <v>10</v>
      </c>
    </row>
    <row r="17" spans="2:40" ht="16.5" thickBot="1" x14ac:dyDescent="0.3">
      <c r="B17" s="562" t="s">
        <v>10</v>
      </c>
      <c r="C17" s="563">
        <v>2855.7848630608705</v>
      </c>
      <c r="D17" s="564"/>
      <c r="E17" s="565">
        <v>526.60576321314011</v>
      </c>
      <c r="F17" s="566"/>
      <c r="G17" s="567">
        <v>864.84482584054149</v>
      </c>
      <c r="H17" s="568">
        <v>473.9451868918261</v>
      </c>
      <c r="I17" s="9"/>
      <c r="J17" s="569">
        <v>778.36034325648734</v>
      </c>
      <c r="K17" s="418"/>
      <c r="L17" s="568">
        <v>1194341.8709674017</v>
      </c>
      <c r="M17" s="711">
        <v>1961468.0650063481</v>
      </c>
      <c r="P17" s="562" t="s">
        <v>10</v>
      </c>
      <c r="Q17" s="563">
        <v>2696.3347275297347</v>
      </c>
      <c r="R17" s="564"/>
      <c r="S17" s="565">
        <v>511.28805263656568</v>
      </c>
      <c r="T17" s="566"/>
      <c r="U17" s="567">
        <v>832.05033065319594</v>
      </c>
      <c r="V17" s="568">
        <v>460.15924737290914</v>
      </c>
      <c r="W17" s="9"/>
      <c r="X17" s="569">
        <v>748.84529758787642</v>
      </c>
      <c r="Y17" s="418"/>
      <c r="Z17" s="568">
        <v>1159601.303379731</v>
      </c>
      <c r="AA17" s="711">
        <v>1887090.1499214487</v>
      </c>
      <c r="AC17" s="712">
        <f t="shared" si="1"/>
        <v>-74377.915084899403</v>
      </c>
      <c r="AD17" s="115">
        <f t="shared" si="2"/>
        <v>0.96208048633987897</v>
      </c>
      <c r="AG17" s="52" t="s">
        <v>11</v>
      </c>
      <c r="AH17" s="765">
        <v>387866.26573961787</v>
      </c>
      <c r="AI17" s="568">
        <v>388481.09962176607</v>
      </c>
      <c r="AJ17" s="568">
        <v>369328.49297617876</v>
      </c>
      <c r="AL17" s="764">
        <v>435157.21688620298</v>
      </c>
      <c r="AM17" s="763">
        <f t="shared" si="0"/>
        <v>1.1782389530240498</v>
      </c>
      <c r="AN17" s="562" t="s">
        <v>11</v>
      </c>
    </row>
    <row r="18" spans="2:40" ht="16.5" thickBot="1" x14ac:dyDescent="0.3">
      <c r="B18" s="562" t="s">
        <v>11</v>
      </c>
      <c r="C18" s="563">
        <v>2967.1987142712296</v>
      </c>
      <c r="D18" s="564"/>
      <c r="E18" s="565">
        <v>415.19191200278101</v>
      </c>
      <c r="F18" s="566"/>
      <c r="G18" s="567">
        <v>753.43097463018239</v>
      </c>
      <c r="H18" s="568">
        <v>373.67272080250291</v>
      </c>
      <c r="I18" s="9"/>
      <c r="J18" s="569">
        <v>678.08787716716415</v>
      </c>
      <c r="K18" s="418"/>
      <c r="L18" s="568">
        <v>213740.79629903167</v>
      </c>
      <c r="M18" s="711">
        <v>387866.26573961787</v>
      </c>
      <c r="P18" s="562" t="s">
        <v>11</v>
      </c>
      <c r="Q18" s="563">
        <v>2810.9637431553883</v>
      </c>
      <c r="R18" s="564"/>
      <c r="S18" s="565">
        <v>396.65903701091202</v>
      </c>
      <c r="T18" s="566"/>
      <c r="U18" s="567">
        <v>717.42131502754228</v>
      </c>
      <c r="V18" s="568">
        <v>356.99313330982085</v>
      </c>
      <c r="W18" s="9"/>
      <c r="X18" s="569">
        <v>645.67918352478807</v>
      </c>
      <c r="Y18" s="418"/>
      <c r="Z18" s="568">
        <v>204200.07225321751</v>
      </c>
      <c r="AA18" s="711">
        <v>369328.49297617876</v>
      </c>
      <c r="AC18" s="712">
        <f t="shared" si="1"/>
        <v>-18537.772763439105</v>
      </c>
      <c r="AD18" s="115">
        <f t="shared" si="2"/>
        <v>0.95220576162227044</v>
      </c>
      <c r="AG18" s="52" t="s">
        <v>12</v>
      </c>
      <c r="AH18" s="765">
        <v>784042.43708959257</v>
      </c>
      <c r="AI18" s="568">
        <v>814492.14456986135</v>
      </c>
      <c r="AJ18" s="568">
        <v>753538.32983770466</v>
      </c>
      <c r="AL18" s="764">
        <v>779812.38459534908</v>
      </c>
      <c r="AM18" s="763">
        <f t="shared" si="0"/>
        <v>1.0348675756989074</v>
      </c>
      <c r="AN18" s="562" t="s">
        <v>12</v>
      </c>
    </row>
    <row r="19" spans="2:40" ht="16.5" thickBot="1" x14ac:dyDescent="0.3">
      <c r="B19" s="562" t="s">
        <v>12</v>
      </c>
      <c r="C19" s="563">
        <v>1978.3131620356507</v>
      </c>
      <c r="D19" s="564"/>
      <c r="E19" s="565">
        <v>1404.0774642383599</v>
      </c>
      <c r="F19" s="566"/>
      <c r="G19" s="567">
        <v>1742.3165268657613</v>
      </c>
      <c r="H19" s="568">
        <v>1263.6697178145239</v>
      </c>
      <c r="I19" s="9"/>
      <c r="J19" s="569">
        <v>1568.0848741791851</v>
      </c>
      <c r="K19" s="418"/>
      <c r="L19" s="568">
        <v>631834.85890726198</v>
      </c>
      <c r="M19" s="711">
        <v>784042.43708959257</v>
      </c>
      <c r="P19" s="562" t="s">
        <v>12</v>
      </c>
      <c r="Q19" s="563">
        <v>1853.8554363213648</v>
      </c>
      <c r="R19" s="564"/>
      <c r="S19" s="565">
        <v>1353.7673438449356</v>
      </c>
      <c r="T19" s="566"/>
      <c r="U19" s="567">
        <v>1674.5296218615658</v>
      </c>
      <c r="V19" s="568">
        <v>1218.390609460442</v>
      </c>
      <c r="W19" s="9"/>
      <c r="X19" s="569">
        <v>1507.0766596754092</v>
      </c>
      <c r="Y19" s="418"/>
      <c r="Z19" s="568">
        <v>609195.30473022093</v>
      </c>
      <c r="AA19" s="711">
        <v>753538.32983770466</v>
      </c>
      <c r="AC19" s="712">
        <f t="shared" si="1"/>
        <v>-30504.107251887908</v>
      </c>
      <c r="AD19" s="115">
        <f t="shared" si="2"/>
        <v>0.96109380588489468</v>
      </c>
      <c r="AG19" s="52" t="s">
        <v>13</v>
      </c>
      <c r="AH19" s="765">
        <v>1517715.5358711991</v>
      </c>
      <c r="AI19" s="568">
        <v>1570601.2888740627</v>
      </c>
      <c r="AJ19" s="568">
        <v>1465063.8860590199</v>
      </c>
      <c r="AL19" s="764">
        <v>1559957.9181889275</v>
      </c>
      <c r="AM19" s="763">
        <f t="shared" si="0"/>
        <v>1.0647712588050817</v>
      </c>
      <c r="AN19" s="562" t="s">
        <v>13</v>
      </c>
    </row>
    <row r="20" spans="2:40" ht="16.5" thickBot="1" x14ac:dyDescent="0.3">
      <c r="B20" s="562" t="s">
        <v>13</v>
      </c>
      <c r="C20" s="563">
        <v>2625.5968347374878</v>
      </c>
      <c r="D20" s="564"/>
      <c r="E20" s="565">
        <v>756.7937915365228</v>
      </c>
      <c r="F20" s="566"/>
      <c r="G20" s="567">
        <v>1095.0328541639242</v>
      </c>
      <c r="H20" s="568">
        <v>681.11441238287057</v>
      </c>
      <c r="I20" s="9"/>
      <c r="J20" s="569">
        <v>985.52956874753181</v>
      </c>
      <c r="K20" s="418"/>
      <c r="L20" s="568">
        <v>1048916.1950696206</v>
      </c>
      <c r="M20" s="711">
        <v>1517715.5358711991</v>
      </c>
      <c r="P20" s="562" t="s">
        <v>13</v>
      </c>
      <c r="Q20" s="563">
        <v>2471.3404073466968</v>
      </c>
      <c r="R20" s="564"/>
      <c r="S20" s="565">
        <v>736.28237281960355</v>
      </c>
      <c r="T20" s="566"/>
      <c r="U20" s="567">
        <v>1057.0446508362338</v>
      </c>
      <c r="V20" s="568">
        <v>662.65413553764324</v>
      </c>
      <c r="W20" s="9"/>
      <c r="X20" s="569">
        <v>951.34018575261041</v>
      </c>
      <c r="Y20" s="418"/>
      <c r="Z20" s="568">
        <v>1020487.3687279706</v>
      </c>
      <c r="AA20" s="711">
        <v>1465063.8860590199</v>
      </c>
      <c r="AC20" s="712">
        <f t="shared" si="1"/>
        <v>-52651.649812179152</v>
      </c>
      <c r="AD20" s="115">
        <f t="shared" si="2"/>
        <v>0.96530861774307652</v>
      </c>
      <c r="AG20" s="52" t="s">
        <v>14</v>
      </c>
      <c r="AH20" s="765">
        <v>1884414.6749441994</v>
      </c>
      <c r="AI20" s="568">
        <v>1785275.6149366747</v>
      </c>
      <c r="AJ20" s="568">
        <v>1806675.3269225548</v>
      </c>
      <c r="AL20" s="764">
        <v>2969680.5208751308</v>
      </c>
      <c r="AM20" s="761">
        <f t="shared" si="0"/>
        <v>1.6437267264470865</v>
      </c>
      <c r="AN20" s="562" t="s">
        <v>14</v>
      </c>
    </row>
    <row r="21" spans="2:40" ht="16.5" thickBot="1" x14ac:dyDescent="0.3">
      <c r="B21" s="562" t="s">
        <v>14</v>
      </c>
      <c r="C21" s="563">
        <v>3247.3489286682898</v>
      </c>
      <c r="D21" s="564"/>
      <c r="E21" s="565">
        <v>135.04169760572086</v>
      </c>
      <c r="F21" s="566"/>
      <c r="G21" s="567">
        <v>473.28076023312224</v>
      </c>
      <c r="H21" s="568">
        <v>121.53752784514877</v>
      </c>
      <c r="I21" s="9"/>
      <c r="J21" s="569">
        <v>425.95268420981</v>
      </c>
      <c r="K21" s="418"/>
      <c r="L21" s="568">
        <v>537682.02318693814</v>
      </c>
      <c r="M21" s="711">
        <v>1884414.6749441994</v>
      </c>
      <c r="P21" s="562" t="s">
        <v>14</v>
      </c>
      <c r="Q21" s="563">
        <v>3074.6289483470468</v>
      </c>
      <c r="R21" s="564"/>
      <c r="S21" s="565">
        <v>132.9938318192535</v>
      </c>
      <c r="T21" s="566"/>
      <c r="U21" s="567">
        <v>453.75610983588376</v>
      </c>
      <c r="V21" s="568">
        <v>119.69444863732815</v>
      </c>
      <c r="W21" s="9"/>
      <c r="X21" s="569">
        <v>408.38049885229537</v>
      </c>
      <c r="Y21" s="418"/>
      <c r="Z21" s="568">
        <v>529528.24077153974</v>
      </c>
      <c r="AA21" s="711">
        <v>1806675.3269225548</v>
      </c>
      <c r="AC21" s="712">
        <f t="shared" si="1"/>
        <v>-77739.348021644633</v>
      </c>
      <c r="AD21" s="115">
        <f t="shared" si="2"/>
        <v>0.9587461565358768</v>
      </c>
      <c r="AG21" s="52" t="s">
        <v>15</v>
      </c>
      <c r="AH21" s="765">
        <v>251120.05251332594</v>
      </c>
      <c r="AI21" s="568">
        <v>240312.37990126872</v>
      </c>
      <c r="AJ21" s="568">
        <v>244628.88129804499</v>
      </c>
      <c r="AL21" s="568">
        <v>191937.74586712482</v>
      </c>
      <c r="AM21" s="763">
        <f t="shared" si="0"/>
        <v>0.78460787151814826</v>
      </c>
      <c r="AN21" s="562" t="s">
        <v>15</v>
      </c>
    </row>
    <row r="22" spans="2:40" ht="16.5" thickBot="1" x14ac:dyDescent="0.3">
      <c r="B22" s="562" t="s">
        <v>15</v>
      </c>
      <c r="C22" s="563">
        <v>2875.1076265669813</v>
      </c>
      <c r="D22" s="564"/>
      <c r="E22" s="565">
        <v>507.28299970702938</v>
      </c>
      <c r="F22" s="566"/>
      <c r="G22" s="567">
        <v>845.52206233443076</v>
      </c>
      <c r="H22" s="568">
        <v>456.55469973632643</v>
      </c>
      <c r="I22" s="9"/>
      <c r="J22" s="569">
        <v>760.96985610098773</v>
      </c>
      <c r="K22" s="418"/>
      <c r="L22" s="568">
        <v>150663.05091298773</v>
      </c>
      <c r="M22" s="711">
        <v>251120.05251332594</v>
      </c>
      <c r="P22" s="562" t="s">
        <v>15</v>
      </c>
      <c r="Q22" s="563">
        <v>2704.7187911861461</v>
      </c>
      <c r="R22" s="564"/>
      <c r="S22" s="565">
        <v>502.90398898015428</v>
      </c>
      <c r="T22" s="566"/>
      <c r="U22" s="567">
        <v>823.66626699678454</v>
      </c>
      <c r="V22" s="568">
        <v>452.61359008213884</v>
      </c>
      <c r="W22" s="9"/>
      <c r="X22" s="569">
        <v>741.29964029710607</v>
      </c>
      <c r="Y22" s="418"/>
      <c r="Z22" s="568">
        <v>149362.48472710582</v>
      </c>
      <c r="AA22" s="711">
        <v>244628.88129804499</v>
      </c>
      <c r="AC22" s="712">
        <f t="shared" si="1"/>
        <v>-6491.1712152809487</v>
      </c>
      <c r="AD22" s="115">
        <f t="shared" si="2"/>
        <v>0.97415112353508093</v>
      </c>
      <c r="AG22" s="52" t="s">
        <v>16</v>
      </c>
      <c r="AH22" s="765">
        <v>277661.71305454342</v>
      </c>
      <c r="AI22" s="568">
        <v>269709.34896831971</v>
      </c>
      <c r="AJ22" s="568">
        <v>269921.30943677679</v>
      </c>
      <c r="AL22" s="568">
        <v>242506.01630243304</v>
      </c>
      <c r="AM22" s="763">
        <f t="shared" si="0"/>
        <v>0.89843227571936035</v>
      </c>
      <c r="AN22" s="562" t="s">
        <v>16</v>
      </c>
    </row>
    <row r="23" spans="2:40" ht="16.5" thickBot="1" x14ac:dyDescent="0.3">
      <c r="B23" s="562" t="s">
        <v>16</v>
      </c>
      <c r="C23" s="563">
        <v>2491.4941729450447</v>
      </c>
      <c r="D23" s="564"/>
      <c r="E23" s="565">
        <v>890.89645332896589</v>
      </c>
      <c r="F23" s="566"/>
      <c r="G23" s="567">
        <v>1229.1355159563673</v>
      </c>
      <c r="H23" s="568">
        <v>801.80680799606932</v>
      </c>
      <c r="I23" s="9"/>
      <c r="J23" s="569">
        <v>1106.2219643607307</v>
      </c>
      <c r="K23" s="418"/>
      <c r="L23" s="568">
        <v>201253.50880701339</v>
      </c>
      <c r="M23" s="711">
        <v>277661.71305454342</v>
      </c>
      <c r="P23" s="562" t="s">
        <v>16</v>
      </c>
      <c r="Q23" s="563">
        <v>2333.5142771436354</v>
      </c>
      <c r="R23" s="564"/>
      <c r="S23" s="565">
        <v>874.10850302266499</v>
      </c>
      <c r="T23" s="566"/>
      <c r="U23" s="567">
        <v>1194.8707810392953</v>
      </c>
      <c r="V23" s="568">
        <v>786.69765272039854</v>
      </c>
      <c r="W23" s="9"/>
      <c r="X23" s="569">
        <v>1075.3837029353658</v>
      </c>
      <c r="Y23" s="418"/>
      <c r="Z23" s="568">
        <v>197461.11083282004</v>
      </c>
      <c r="AA23" s="711">
        <v>269921.30943677679</v>
      </c>
      <c r="AC23" s="712">
        <f t="shared" si="1"/>
        <v>-7740.4036177666276</v>
      </c>
      <c r="AD23" s="115">
        <f t="shared" si="2"/>
        <v>0.97212289900319782</v>
      </c>
      <c r="AG23" s="52" t="s">
        <v>17</v>
      </c>
      <c r="AH23" s="765">
        <v>1158733.0321001485</v>
      </c>
      <c r="AI23" s="568">
        <v>1191839.7051277722</v>
      </c>
      <c r="AJ23" s="568">
        <v>1123607.9744435023</v>
      </c>
      <c r="AL23" s="568">
        <v>1490391.2394923209</v>
      </c>
      <c r="AM23" s="761">
        <f t="shared" si="0"/>
        <v>1.3264334833779354</v>
      </c>
      <c r="AN23" s="562" t="s">
        <v>17</v>
      </c>
    </row>
    <row r="24" spans="2:40" ht="16.5" thickBot="1" x14ac:dyDescent="0.3">
      <c r="B24" s="562" t="s">
        <v>17</v>
      </c>
      <c r="C24" s="563">
        <v>3052.1555732326983</v>
      </c>
      <c r="D24" s="564"/>
      <c r="E24" s="565">
        <v>330.23505304131231</v>
      </c>
      <c r="F24" s="566"/>
      <c r="G24" s="567">
        <v>668.47411566871369</v>
      </c>
      <c r="H24" s="568">
        <v>297.21154773718109</v>
      </c>
      <c r="I24" s="9"/>
      <c r="J24" s="569">
        <v>601.62670410184239</v>
      </c>
      <c r="K24" s="418"/>
      <c r="L24" s="568">
        <v>572429.44094181084</v>
      </c>
      <c r="M24" s="711">
        <v>1158733.0321001485</v>
      </c>
      <c r="P24" s="562" t="s">
        <v>17</v>
      </c>
      <c r="Q24" s="563">
        <v>2880.1746194823986</v>
      </c>
      <c r="R24" s="564"/>
      <c r="S24" s="565">
        <v>327.44816068390173</v>
      </c>
      <c r="T24" s="566"/>
      <c r="U24" s="567">
        <v>648.21043870053199</v>
      </c>
      <c r="V24" s="568">
        <v>294.70334461551158</v>
      </c>
      <c r="W24" s="9"/>
      <c r="X24" s="569">
        <v>583.38939483047886</v>
      </c>
      <c r="Y24" s="418"/>
      <c r="Z24" s="568">
        <v>567598.64172947535</v>
      </c>
      <c r="AA24" s="711">
        <v>1123607.9744435023</v>
      </c>
      <c r="AC24" s="712">
        <f t="shared" si="1"/>
        <v>-35125.057656646241</v>
      </c>
      <c r="AD24" s="115">
        <f t="shared" si="2"/>
        <v>0.96968666924685509</v>
      </c>
      <c r="AG24" s="52" t="s">
        <v>18</v>
      </c>
      <c r="AH24" s="765">
        <v>270592.75102083833</v>
      </c>
      <c r="AI24" s="568">
        <v>291852.90249791852</v>
      </c>
      <c r="AJ24" s="568">
        <v>260904.89216115698</v>
      </c>
      <c r="AL24" s="568">
        <v>295842.992460593</v>
      </c>
      <c r="AM24" s="763">
        <f t="shared" si="0"/>
        <v>1.1339112502262139</v>
      </c>
      <c r="AN24" s="562" t="s">
        <v>18</v>
      </c>
    </row>
    <row r="25" spans="2:40" ht="16.5" thickBot="1" x14ac:dyDescent="0.3">
      <c r="B25" s="562" t="s">
        <v>18</v>
      </c>
      <c r="C25" s="563">
        <v>2992.642734312124</v>
      </c>
      <c r="D25" s="564"/>
      <c r="E25" s="565">
        <v>389.74789196188658</v>
      </c>
      <c r="F25" s="566"/>
      <c r="G25" s="567">
        <v>727.98695458928796</v>
      </c>
      <c r="H25" s="568">
        <v>350.77310276569796</v>
      </c>
      <c r="I25" s="9"/>
      <c r="J25" s="569">
        <v>655.18825913035914</v>
      </c>
      <c r="K25" s="418"/>
      <c r="L25" s="568">
        <v>144869.29144223325</v>
      </c>
      <c r="M25" s="711">
        <v>270592.75102083833</v>
      </c>
      <c r="P25" s="562" t="s">
        <v>18</v>
      </c>
      <c r="Q25" s="563">
        <v>2826.4617540097884</v>
      </c>
      <c r="R25" s="564"/>
      <c r="S25" s="565">
        <v>381.16102615651198</v>
      </c>
      <c r="T25" s="566"/>
      <c r="U25" s="567">
        <v>701.92330417314224</v>
      </c>
      <c r="V25" s="568">
        <v>343.04492354086079</v>
      </c>
      <c r="W25" s="9"/>
      <c r="X25" s="569">
        <v>631.73097375582802</v>
      </c>
      <c r="Y25" s="418"/>
      <c r="Z25" s="568">
        <v>141677.55342237549</v>
      </c>
      <c r="AA25" s="711">
        <v>260904.89216115698</v>
      </c>
      <c r="AC25" s="712">
        <f t="shared" si="1"/>
        <v>-9687.8588596813497</v>
      </c>
      <c r="AD25" s="115">
        <f t="shared" si="2"/>
        <v>0.9641976408343057</v>
      </c>
      <c r="AG25" s="52" t="s">
        <v>19</v>
      </c>
      <c r="AH25" s="765">
        <v>1329456.5597062148</v>
      </c>
      <c r="AI25" s="568">
        <v>1395932.225134284</v>
      </c>
      <c r="AJ25" s="568">
        <v>1271439.811147484</v>
      </c>
      <c r="AL25" s="568">
        <v>1486560.9741620875</v>
      </c>
      <c r="AM25" s="763">
        <f t="shared" si="0"/>
        <v>1.1691949246267939</v>
      </c>
      <c r="AN25" s="562" t="s">
        <v>19</v>
      </c>
    </row>
    <row r="26" spans="2:40" ht="16.5" thickBot="1" x14ac:dyDescent="0.3">
      <c r="B26" s="562" t="s">
        <v>19</v>
      </c>
      <c r="C26" s="563">
        <v>2905.8619253994111</v>
      </c>
      <c r="D26" s="564"/>
      <c r="E26" s="565">
        <v>476.52870087459951</v>
      </c>
      <c r="F26" s="566"/>
      <c r="G26" s="567">
        <v>814.76776350200089</v>
      </c>
      <c r="H26" s="568">
        <v>428.87583078713959</v>
      </c>
      <c r="I26" s="9"/>
      <c r="J26" s="569">
        <v>733.29098715180078</v>
      </c>
      <c r="K26" s="418"/>
      <c r="L26" s="568">
        <v>777551.88121708413</v>
      </c>
      <c r="M26" s="711">
        <v>1329456.5597062148</v>
      </c>
      <c r="P26" s="562" t="s">
        <v>19</v>
      </c>
      <c r="Q26" s="563">
        <v>2749.1733089965091</v>
      </c>
      <c r="R26" s="564"/>
      <c r="S26" s="565">
        <v>458.4494711697912</v>
      </c>
      <c r="T26" s="566"/>
      <c r="U26" s="567">
        <v>779.21174918642146</v>
      </c>
      <c r="V26" s="568">
        <v>412.60452405281211</v>
      </c>
      <c r="W26" s="9"/>
      <c r="X26" s="569">
        <v>701.29057426777933</v>
      </c>
      <c r="Y26" s="418"/>
      <c r="Z26" s="568">
        <v>748052.00210774841</v>
      </c>
      <c r="AA26" s="711">
        <v>1271439.811147484</v>
      </c>
      <c r="AC26" s="712">
        <f t="shared" si="1"/>
        <v>-58016.748558730818</v>
      </c>
      <c r="AD26" s="115">
        <f t="shared" si="2"/>
        <v>0.95636055338915971</v>
      </c>
      <c r="AG26" s="52" t="s">
        <v>20</v>
      </c>
      <c r="AH26" s="765">
        <v>38039.426959110271</v>
      </c>
      <c r="AI26" s="568">
        <v>35349.386740878319</v>
      </c>
      <c r="AJ26" s="568">
        <v>36882.810194446953</v>
      </c>
      <c r="AL26" s="568">
        <v>56670.136460261507</v>
      </c>
      <c r="AM26" s="761">
        <f t="shared" si="0"/>
        <v>1.5364918280764224</v>
      </c>
      <c r="AN26" s="562" t="s">
        <v>20</v>
      </c>
    </row>
    <row r="27" spans="2:40" ht="16.5" thickBot="1" x14ac:dyDescent="0.3">
      <c r="B27" s="562" t="s">
        <v>20</v>
      </c>
      <c r="C27" s="563">
        <v>3297.9693893557424</v>
      </c>
      <c r="D27" s="564"/>
      <c r="E27" s="565">
        <v>84.421236918268278</v>
      </c>
      <c r="F27" s="566"/>
      <c r="G27" s="567">
        <v>422.66029954566966</v>
      </c>
      <c r="H27" s="568">
        <v>75.979113226441456</v>
      </c>
      <c r="I27" s="9"/>
      <c r="J27" s="569">
        <v>380.39426959110273</v>
      </c>
      <c r="K27" s="418"/>
      <c r="L27" s="568">
        <v>7597.9113226441459</v>
      </c>
      <c r="M27" s="711">
        <v>38039.426959110271</v>
      </c>
      <c r="P27" s="562" t="s">
        <v>20</v>
      </c>
      <c r="Q27" s="563">
        <v>3118.5760560224089</v>
      </c>
      <c r="R27" s="564"/>
      <c r="S27" s="565">
        <v>89.046724143891424</v>
      </c>
      <c r="T27" s="566"/>
      <c r="U27" s="567">
        <v>409.80900216052169</v>
      </c>
      <c r="V27" s="568">
        <v>80.142051729502285</v>
      </c>
      <c r="W27" s="9"/>
      <c r="X27" s="569">
        <v>368.82810194446955</v>
      </c>
      <c r="Y27" s="418"/>
      <c r="Z27" s="568">
        <v>8014.2051729502282</v>
      </c>
      <c r="AA27" s="711">
        <v>36882.810194446953</v>
      </c>
      <c r="AC27" s="712">
        <f t="shared" si="1"/>
        <v>-1156.6167646633185</v>
      </c>
      <c r="AD27" s="115">
        <f t="shared" si="2"/>
        <v>0.96959426423782358</v>
      </c>
      <c r="AG27" s="52" t="s">
        <v>21</v>
      </c>
      <c r="AH27" s="765">
        <v>913738.42941176589</v>
      </c>
      <c r="AI27" s="568">
        <v>955448.12285036896</v>
      </c>
      <c r="AJ27" s="568">
        <v>884450.59458759066</v>
      </c>
      <c r="AL27" s="568">
        <v>947389.47977861215</v>
      </c>
      <c r="AM27" s="763">
        <f t="shared" si="0"/>
        <v>1.0711615612858163</v>
      </c>
      <c r="AN27" s="562" t="s">
        <v>21</v>
      </c>
    </row>
    <row r="28" spans="2:40" ht="16.5" thickBot="1" x14ac:dyDescent="0.3">
      <c r="B28" s="562" t="s">
        <v>21</v>
      </c>
      <c r="C28" s="563">
        <v>2733.977675715184</v>
      </c>
      <c r="D28" s="564"/>
      <c r="E28" s="565">
        <v>648.41295055882665</v>
      </c>
      <c r="F28" s="566"/>
      <c r="G28" s="567">
        <v>986.65201318622803</v>
      </c>
      <c r="H28" s="568">
        <v>583.57165550294405</v>
      </c>
      <c r="I28" s="9"/>
      <c r="J28" s="569">
        <v>887.9868118676053</v>
      </c>
      <c r="K28" s="418"/>
      <c r="L28" s="568">
        <v>600495.2335125294</v>
      </c>
      <c r="M28" s="711">
        <v>913738.42941176589</v>
      </c>
      <c r="P28" s="562" t="s">
        <v>21</v>
      </c>
      <c r="Q28" s="563">
        <v>2573.35796112258</v>
      </c>
      <c r="R28" s="564"/>
      <c r="S28" s="565">
        <v>634.26481904372031</v>
      </c>
      <c r="T28" s="566"/>
      <c r="U28" s="567">
        <v>955.02709706035057</v>
      </c>
      <c r="V28" s="568">
        <v>570.83833713934825</v>
      </c>
      <c r="W28" s="9"/>
      <c r="X28" s="569">
        <v>859.52438735431554</v>
      </c>
      <c r="Y28" s="418"/>
      <c r="Z28" s="568">
        <v>587392.64891638933</v>
      </c>
      <c r="AA28" s="711">
        <v>884450.59458759066</v>
      </c>
      <c r="AC28" s="712">
        <f t="shared" si="1"/>
        <v>-29287.834824175225</v>
      </c>
      <c r="AD28" s="115">
        <f t="shared" si="2"/>
        <v>0.96794724411117328</v>
      </c>
      <c r="AG28" s="52" t="s">
        <v>22</v>
      </c>
      <c r="AH28" s="765">
        <v>559356.31796302402</v>
      </c>
      <c r="AI28" s="568">
        <v>574272.61101807968</v>
      </c>
      <c r="AJ28" s="568">
        <v>539843.29337203177</v>
      </c>
      <c r="AL28" s="568">
        <v>542754.10930300888</v>
      </c>
      <c r="AM28" s="763">
        <f t="shared" si="0"/>
        <v>1.0053919646066087</v>
      </c>
      <c r="AN28" s="562" t="s">
        <v>22</v>
      </c>
    </row>
    <row r="29" spans="2:40" ht="16.5" thickBot="1" x14ac:dyDescent="0.3">
      <c r="B29" s="562" t="s">
        <v>22</v>
      </c>
      <c r="C29" s="563">
        <v>2285.278603545949</v>
      </c>
      <c r="D29" s="564"/>
      <c r="E29" s="565">
        <v>1097.1120227280617</v>
      </c>
      <c r="F29" s="566"/>
      <c r="G29" s="567">
        <v>1435.3510853554631</v>
      </c>
      <c r="H29" s="568">
        <v>987.40082045525548</v>
      </c>
      <c r="I29" s="9"/>
      <c r="J29" s="569">
        <v>1291.8159768199168</v>
      </c>
      <c r="K29" s="418"/>
      <c r="L29" s="568">
        <v>427544.55525712564</v>
      </c>
      <c r="M29" s="711">
        <v>559356.31796302402</v>
      </c>
      <c r="P29" s="562" t="s">
        <v>22</v>
      </c>
      <c r="Q29" s="563">
        <v>2143.1058860709682</v>
      </c>
      <c r="R29" s="564"/>
      <c r="S29" s="565">
        <v>1064.5168940953322</v>
      </c>
      <c r="T29" s="566"/>
      <c r="U29" s="567">
        <v>1385.2791721119625</v>
      </c>
      <c r="V29" s="568">
        <v>958.06520468579902</v>
      </c>
      <c r="W29" s="9"/>
      <c r="X29" s="569">
        <v>1246.7512549007663</v>
      </c>
      <c r="Y29" s="418"/>
      <c r="Z29" s="568">
        <v>414842.23362895095</v>
      </c>
      <c r="AA29" s="711">
        <v>539843.29337203177</v>
      </c>
      <c r="AC29" s="712">
        <f t="shared" si="1"/>
        <v>-19513.024590992252</v>
      </c>
      <c r="AD29" s="115">
        <f t="shared" si="2"/>
        <v>0.9651152155355075</v>
      </c>
      <c r="AG29" s="52" t="s">
        <v>23</v>
      </c>
      <c r="AH29" s="765">
        <v>0</v>
      </c>
      <c r="AI29" s="568">
        <v>0</v>
      </c>
      <c r="AJ29" s="568">
        <v>0</v>
      </c>
      <c r="AL29" s="568">
        <v>0</v>
      </c>
      <c r="AM29" s="761"/>
      <c r="AN29" s="562" t="s">
        <v>23</v>
      </c>
    </row>
    <row r="30" spans="2:40" ht="16.5" thickBot="1" x14ac:dyDescent="0.3">
      <c r="B30" s="562" t="s">
        <v>23</v>
      </c>
      <c r="C30" s="563">
        <v>4080.1782876666248</v>
      </c>
      <c r="D30" s="564"/>
      <c r="E30" s="565">
        <v>-697.78766139261415</v>
      </c>
      <c r="F30" s="566"/>
      <c r="G30" s="567">
        <v>-359.54859876521277</v>
      </c>
      <c r="H30" s="568">
        <v>0</v>
      </c>
      <c r="I30" s="9"/>
      <c r="J30" s="569">
        <v>0</v>
      </c>
      <c r="K30" s="418"/>
      <c r="L30" s="568">
        <v>0</v>
      </c>
      <c r="M30" s="711">
        <v>0</v>
      </c>
      <c r="P30" s="562" t="s">
        <v>23</v>
      </c>
      <c r="Q30" s="563">
        <v>3886.4957173483267</v>
      </c>
      <c r="R30" s="564"/>
      <c r="S30" s="565">
        <v>-678.87293718202636</v>
      </c>
      <c r="T30" s="566"/>
      <c r="U30" s="567">
        <v>-358.1106591653961</v>
      </c>
      <c r="V30" s="568">
        <v>0</v>
      </c>
      <c r="W30" s="9"/>
      <c r="X30" s="569">
        <v>0</v>
      </c>
      <c r="Y30" s="418"/>
      <c r="Z30" s="568">
        <v>0</v>
      </c>
      <c r="AA30" s="711">
        <v>0</v>
      </c>
      <c r="AC30" s="712">
        <f t="shared" si="1"/>
        <v>0</v>
      </c>
      <c r="AD30" s="115" t="e">
        <f t="shared" si="2"/>
        <v>#DIV/0!</v>
      </c>
      <c r="AG30" s="435" t="s">
        <v>247</v>
      </c>
      <c r="AH30" s="766">
        <v>12449076.812910873</v>
      </c>
      <c r="AI30" s="578">
        <v>12683498.838814193</v>
      </c>
      <c r="AJ30" s="578">
        <v>11983288.694749106</v>
      </c>
      <c r="AL30" s="578">
        <v>14395853.940244729</v>
      </c>
      <c r="AM30" s="762">
        <f>AL30/AJ30</f>
        <v>1.2013274741976943</v>
      </c>
      <c r="AN30" s="493" t="s">
        <v>247</v>
      </c>
    </row>
    <row r="31" spans="2:40" ht="16.5" thickBot="1" x14ac:dyDescent="0.3">
      <c r="B31" s="493" t="s">
        <v>247</v>
      </c>
      <c r="C31" s="573">
        <v>3382.3906262740106</v>
      </c>
      <c r="D31" s="574"/>
      <c r="E31" s="575">
        <v>0</v>
      </c>
      <c r="F31" s="576"/>
      <c r="G31" s="577">
        <v>338.23906262740138</v>
      </c>
      <c r="H31" s="435"/>
      <c r="I31" s="494"/>
      <c r="J31" s="494"/>
      <c r="K31" s="420"/>
      <c r="L31" s="539">
        <v>7190913.8170240801</v>
      </c>
      <c r="M31" s="714">
        <v>12449076.812910873</v>
      </c>
      <c r="P31" s="493" t="s">
        <v>247</v>
      </c>
      <c r="Q31" s="563">
        <v>3207.6227801663003</v>
      </c>
      <c r="R31" s="574"/>
      <c r="S31" s="575">
        <v>0</v>
      </c>
      <c r="T31" s="576"/>
      <c r="U31" s="577">
        <v>320.76227801663026</v>
      </c>
      <c r="V31" s="435"/>
      <c r="W31" s="494"/>
      <c r="X31" s="494"/>
      <c r="Y31" s="420"/>
      <c r="Z31" s="539">
        <v>6996814.5493859779</v>
      </c>
      <c r="AA31" s="714">
        <v>11983288.694749106</v>
      </c>
      <c r="AC31" s="712">
        <f t="shared" si="1"/>
        <v>-465788.11816176772</v>
      </c>
      <c r="AD31" s="742">
        <f t="shared" si="2"/>
        <v>0.9625845253297256</v>
      </c>
    </row>
    <row r="32" spans="2:40" x14ac:dyDescent="0.2">
      <c r="AH32" s="1">
        <v>0</v>
      </c>
      <c r="AI32" s="758">
        <f>AI30-AH30</f>
        <v>234422.02590331994</v>
      </c>
      <c r="AJ32" s="759">
        <f>AJ30-AH30</f>
        <v>-465788.11816176772</v>
      </c>
      <c r="AL32" s="758">
        <f>AL30-AH30</f>
        <v>1946777.1273338553</v>
      </c>
    </row>
    <row r="33" spans="2:36" ht="15.75" thickBot="1" x14ac:dyDescent="0.25">
      <c r="AJ33" s="760"/>
    </row>
    <row r="34" spans="2:36" ht="15.75" thickBot="1" x14ac:dyDescent="0.25">
      <c r="D34" s="553" t="s">
        <v>355</v>
      </c>
      <c r="E34" s="554"/>
      <c r="F34" s="554"/>
      <c r="G34" s="554"/>
      <c r="H34" s="554"/>
      <c r="I34" s="554"/>
      <c r="J34" s="554"/>
      <c r="K34" s="554"/>
      <c r="L34" s="554"/>
      <c r="M34" s="555"/>
      <c r="R34" s="553" t="s">
        <v>356</v>
      </c>
      <c r="S34" s="554"/>
      <c r="T34" s="554"/>
      <c r="U34" s="554"/>
      <c r="V34" s="554"/>
      <c r="W34" s="554"/>
      <c r="X34" s="554"/>
      <c r="Y34" s="554"/>
      <c r="Z34" s="554"/>
      <c r="AA34" s="555"/>
    </row>
    <row r="35" spans="2:36" ht="15" customHeight="1" thickBot="1" x14ac:dyDescent="0.25">
      <c r="B35" s="1371" t="s">
        <v>257</v>
      </c>
      <c r="C35" s="1372"/>
      <c r="D35" s="544"/>
      <c r="E35" s="499"/>
      <c r="F35" s="3"/>
      <c r="G35" s="3"/>
      <c r="H35" s="2"/>
      <c r="I35" s="3"/>
      <c r="J35" s="3"/>
      <c r="K35" s="544"/>
      <c r="L35" s="499"/>
      <c r="M35" s="2"/>
      <c r="P35" s="1371" t="s">
        <v>257</v>
      </c>
      <c r="Q35" s="1372"/>
      <c r="R35" s="544"/>
      <c r="S35" s="499"/>
      <c r="T35" s="3"/>
      <c r="U35" s="3"/>
      <c r="V35" s="2"/>
      <c r="W35" s="3"/>
      <c r="X35" s="3"/>
      <c r="Y35" s="544"/>
      <c r="Z35" s="499"/>
      <c r="AA35" s="2"/>
      <c r="AI35" s="1" t="s">
        <v>447</v>
      </c>
      <c r="AJ35" s="1" t="s">
        <v>8</v>
      </c>
    </row>
    <row r="36" spans="2:36" ht="15" customHeight="1" x14ac:dyDescent="0.25">
      <c r="B36" s="1366"/>
      <c r="C36" s="1367"/>
      <c r="D36" s="1366" t="s">
        <v>262</v>
      </c>
      <c r="E36" s="1367"/>
      <c r="F36" s="1364" t="s">
        <v>263</v>
      </c>
      <c r="G36" s="1364"/>
      <c r="H36" s="1368" t="s">
        <v>264</v>
      </c>
      <c r="I36" s="1365" t="s">
        <v>265</v>
      </c>
      <c r="J36" s="1365"/>
      <c r="K36" s="418"/>
      <c r="L36" s="1369" t="s">
        <v>266</v>
      </c>
      <c r="M36" s="1368" t="s">
        <v>267</v>
      </c>
      <c r="P36" s="1366"/>
      <c r="Q36" s="1367"/>
      <c r="R36" s="1366" t="s">
        <v>262</v>
      </c>
      <c r="S36" s="1367"/>
      <c r="T36" s="1364" t="s">
        <v>263</v>
      </c>
      <c r="U36" s="1364"/>
      <c r="V36" s="1368" t="s">
        <v>264</v>
      </c>
      <c r="W36" s="1365" t="s">
        <v>265</v>
      </c>
      <c r="X36" s="1365"/>
      <c r="Y36" s="418"/>
      <c r="Z36" s="1369" t="s">
        <v>266</v>
      </c>
      <c r="AA36" s="1368" t="s">
        <v>267</v>
      </c>
      <c r="AG36" s="767"/>
      <c r="AH36" s="768"/>
      <c r="AI36" s="779">
        <v>2013</v>
      </c>
      <c r="AJ36" s="782">
        <v>2013</v>
      </c>
    </row>
    <row r="37" spans="2:36" ht="15" customHeight="1" x14ac:dyDescent="0.25">
      <c r="B37" s="1366"/>
      <c r="C37" s="1367"/>
      <c r="D37" s="1366"/>
      <c r="E37" s="1367"/>
      <c r="F37" s="1364"/>
      <c r="G37" s="1364"/>
      <c r="H37" s="1368"/>
      <c r="I37" s="1365"/>
      <c r="J37" s="1365"/>
      <c r="K37" s="418"/>
      <c r="L37" s="1369"/>
      <c r="M37" s="1368"/>
      <c r="P37" s="1366"/>
      <c r="Q37" s="1367"/>
      <c r="R37" s="1366"/>
      <c r="S37" s="1367"/>
      <c r="T37" s="1364"/>
      <c r="U37" s="1364"/>
      <c r="V37" s="1368"/>
      <c r="W37" s="1365"/>
      <c r="X37" s="1365"/>
      <c r="Y37" s="418"/>
      <c r="Z37" s="1369"/>
      <c r="AA37" s="1368"/>
      <c r="AG37" s="769"/>
      <c r="AH37" s="770"/>
      <c r="AI37" s="771"/>
      <c r="AJ37" s="769"/>
    </row>
    <row r="38" spans="2:36" ht="15.75" x14ac:dyDescent="0.25">
      <c r="B38" s="1366"/>
      <c r="C38" s="1367"/>
      <c r="D38" s="1366"/>
      <c r="E38" s="1367"/>
      <c r="F38" s="1364"/>
      <c r="G38" s="1364"/>
      <c r="H38" s="1368"/>
      <c r="I38" s="709"/>
      <c r="J38" s="709"/>
      <c r="K38" s="418"/>
      <c r="L38" s="1369"/>
      <c r="M38" s="1368"/>
      <c r="P38" s="1366"/>
      <c r="Q38" s="1367"/>
      <c r="R38" s="1366"/>
      <c r="S38" s="1367"/>
      <c r="T38" s="1364"/>
      <c r="U38" s="1364"/>
      <c r="V38" s="1368"/>
      <c r="W38" s="709"/>
      <c r="X38" s="709"/>
      <c r="Y38" s="418"/>
      <c r="Z38" s="1369"/>
      <c r="AA38" s="1368"/>
      <c r="AG38" s="771" t="s">
        <v>425</v>
      </c>
      <c r="AH38" s="772"/>
      <c r="AI38" s="771">
        <v>310662</v>
      </c>
      <c r="AJ38" s="771">
        <v>12071</v>
      </c>
    </row>
    <row r="39" spans="2:36" ht="19.5" customHeight="1" thickBot="1" x14ac:dyDescent="0.3">
      <c r="B39" s="1373"/>
      <c r="C39" s="1374"/>
      <c r="D39" s="1366"/>
      <c r="E39" s="1367"/>
      <c r="F39" s="1364"/>
      <c r="G39" s="1364"/>
      <c r="H39" s="1368"/>
      <c r="I39" s="709"/>
      <c r="J39" s="709"/>
      <c r="K39" s="418"/>
      <c r="L39" s="1369"/>
      <c r="M39" s="1368"/>
      <c r="P39" s="1373"/>
      <c r="Q39" s="1374"/>
      <c r="R39" s="1366"/>
      <c r="S39" s="1367"/>
      <c r="T39" s="1364"/>
      <c r="U39" s="1364"/>
      <c r="V39" s="1368"/>
      <c r="W39" s="709"/>
      <c r="X39" s="709"/>
      <c r="Y39" s="418"/>
      <c r="Z39" s="1369"/>
      <c r="AA39" s="1368"/>
      <c r="AG39" s="773"/>
      <c r="AH39" s="774" t="s">
        <v>426</v>
      </c>
      <c r="AI39" s="780">
        <v>3.1239730324546642</v>
      </c>
      <c r="AJ39" s="780">
        <v>2.071706409605953</v>
      </c>
    </row>
    <row r="40" spans="2:36" ht="16.5" thickBot="1" x14ac:dyDescent="0.3">
      <c r="B40" s="493"/>
      <c r="C40" s="495">
        <v>2013</v>
      </c>
      <c r="D40" s="558"/>
      <c r="E40" s="559"/>
      <c r="F40" s="560"/>
      <c r="G40" s="560"/>
      <c r="H40" s="561"/>
      <c r="I40" s="421"/>
      <c r="J40" s="421"/>
      <c r="K40" s="420"/>
      <c r="L40" s="422"/>
      <c r="M40" s="561"/>
      <c r="N40" s="710" t="s">
        <v>357</v>
      </c>
      <c r="P40" s="493"/>
      <c r="Q40" s="495">
        <v>2013</v>
      </c>
      <c r="R40" s="558"/>
      <c r="S40" s="559"/>
      <c r="T40" s="560"/>
      <c r="U40" s="560"/>
      <c r="V40" s="561"/>
      <c r="W40" s="421"/>
      <c r="X40" s="421"/>
      <c r="Y40" s="420"/>
      <c r="Z40" s="422"/>
      <c r="AA40" s="561"/>
      <c r="AC40" s="710" t="s">
        <v>358</v>
      </c>
      <c r="AG40" s="771"/>
      <c r="AH40" s="772" t="s">
        <v>427</v>
      </c>
      <c r="AI40" s="771">
        <v>24544</v>
      </c>
      <c r="AJ40" s="771">
        <v>1478</v>
      </c>
    </row>
    <row r="41" spans="2:36" ht="16.5" thickBot="1" x14ac:dyDescent="0.3">
      <c r="B41" s="562" t="s">
        <v>8</v>
      </c>
      <c r="C41" s="563">
        <v>3043.605664087183</v>
      </c>
      <c r="D41" s="564"/>
      <c r="E41" s="565">
        <v>298.01526301276772</v>
      </c>
      <c r="F41" s="566"/>
      <c r="G41" s="567">
        <v>632.17735572276297</v>
      </c>
      <c r="H41" s="568">
        <v>268.21373671149098</v>
      </c>
      <c r="I41" s="9"/>
      <c r="J41" s="569">
        <v>568.95962015048667</v>
      </c>
      <c r="K41" s="418"/>
      <c r="L41" s="531">
        <v>127401.52493795821</v>
      </c>
      <c r="M41" s="711">
        <v>270255.81957148114</v>
      </c>
      <c r="N41" s="712">
        <v>-9574.3617828706629</v>
      </c>
      <c r="O41" s="115">
        <f>M41/M15</f>
        <v>0.96578509960386816</v>
      </c>
      <c r="P41" s="562" t="s">
        <v>8</v>
      </c>
      <c r="Q41" s="563">
        <v>4541.8995336865546</v>
      </c>
      <c r="R41" s="564"/>
      <c r="S41" s="565">
        <v>88.258259265750894</v>
      </c>
      <c r="T41" s="566"/>
      <c r="U41" s="567">
        <v>551.27403856098226</v>
      </c>
      <c r="V41" s="568">
        <v>79.432433339175802</v>
      </c>
      <c r="W41" s="9"/>
      <c r="X41" s="569">
        <v>496.14663470488404</v>
      </c>
      <c r="Y41" s="418"/>
      <c r="Z41" s="568">
        <v>37730.405836108504</v>
      </c>
      <c r="AA41" s="711">
        <v>235669.65148481991</v>
      </c>
      <c r="AC41" s="713">
        <v>-44160.529869531892</v>
      </c>
      <c r="AD41" s="115">
        <f>AA41/M15</f>
        <v>0.84218810974642166</v>
      </c>
      <c r="AG41" s="775" t="s">
        <v>428</v>
      </c>
      <c r="AH41" s="776"/>
      <c r="AI41" s="775">
        <v>53848</v>
      </c>
      <c r="AJ41" s="775">
        <v>2667</v>
      </c>
    </row>
    <row r="42" spans="2:36" ht="16.5" thickBot="1" x14ac:dyDescent="0.3">
      <c r="B42" s="562" t="s">
        <v>9</v>
      </c>
      <c r="C42" s="563">
        <v>2641.4541753773074</v>
      </c>
      <c r="D42" s="564"/>
      <c r="E42" s="565">
        <v>700.16675172264331</v>
      </c>
      <c r="F42" s="566"/>
      <c r="G42" s="567">
        <v>1034.3288444326386</v>
      </c>
      <c r="H42" s="568">
        <v>630.15007655037903</v>
      </c>
      <c r="I42" s="9"/>
      <c r="J42" s="569">
        <v>930.89595998937477</v>
      </c>
      <c r="K42" s="418"/>
      <c r="L42" s="531">
        <v>596752.12249320897</v>
      </c>
      <c r="M42" s="711">
        <v>881558.4741099379</v>
      </c>
      <c r="N42" s="713">
        <v>46517.103933343082</v>
      </c>
      <c r="O42" s="115">
        <f t="shared" ref="O42:O57" si="3">M42/M16</f>
        <v>1.0557063465292811</v>
      </c>
      <c r="P42" s="562" t="s">
        <v>9</v>
      </c>
      <c r="Q42" s="563">
        <v>4135.7480155744206</v>
      </c>
      <c r="R42" s="564"/>
      <c r="S42" s="565">
        <v>494.40977737788489</v>
      </c>
      <c r="T42" s="566"/>
      <c r="U42" s="567">
        <v>957.42555667311626</v>
      </c>
      <c r="V42" s="568">
        <v>444.96879964009639</v>
      </c>
      <c r="W42" s="9"/>
      <c r="X42" s="569">
        <v>861.68300100580461</v>
      </c>
      <c r="Y42" s="418"/>
      <c r="Z42" s="568">
        <v>421385.45325917128</v>
      </c>
      <c r="AA42" s="711">
        <v>816013.80195249699</v>
      </c>
      <c r="AC42" s="713">
        <v>-19027.568224097835</v>
      </c>
      <c r="AD42" s="115">
        <f t="shared" ref="AD42:AD57" si="4">AA42/M16</f>
        <v>0.97721362209865859</v>
      </c>
      <c r="AG42" s="771"/>
      <c r="AH42" s="772"/>
      <c r="AI42" s="771"/>
      <c r="AJ42" s="771"/>
    </row>
    <row r="43" spans="2:36" ht="16.5" thickBot="1" x14ac:dyDescent="0.3">
      <c r="B43" s="562" t="s">
        <v>10</v>
      </c>
      <c r="C43" s="563">
        <v>2785.9603941964024</v>
      </c>
      <c r="D43" s="564"/>
      <c r="E43" s="565">
        <v>555.6605329035483</v>
      </c>
      <c r="F43" s="566"/>
      <c r="G43" s="567">
        <v>889.82262561354355</v>
      </c>
      <c r="H43" s="568">
        <v>500.09447961319347</v>
      </c>
      <c r="I43" s="9"/>
      <c r="J43" s="569">
        <v>800.84036305218922</v>
      </c>
      <c r="K43" s="418"/>
      <c r="L43" s="531">
        <v>1260238.0886252476</v>
      </c>
      <c r="M43" s="711">
        <v>2018117.7148915168</v>
      </c>
      <c r="N43" s="713">
        <v>56649.649885168765</v>
      </c>
      <c r="O43" s="115">
        <f t="shared" si="3"/>
        <v>1.0288812501696201</v>
      </c>
      <c r="P43" s="562" t="s">
        <v>10</v>
      </c>
      <c r="Q43" s="563">
        <v>4058.9981963942037</v>
      </c>
      <c r="R43" s="564"/>
      <c r="S43" s="565">
        <v>571.15959655810184</v>
      </c>
      <c r="T43" s="566"/>
      <c r="U43" s="567">
        <v>1034.1753758533332</v>
      </c>
      <c r="V43" s="568">
        <v>514.04363690229172</v>
      </c>
      <c r="W43" s="9"/>
      <c r="X43" s="569">
        <v>930.75783826799989</v>
      </c>
      <c r="Y43" s="418"/>
      <c r="Z43" s="568">
        <v>1295389.9649937751</v>
      </c>
      <c r="AA43" s="711">
        <v>2345509.7524353596</v>
      </c>
      <c r="AC43" s="713">
        <v>384041.68742901157</v>
      </c>
      <c r="AD43" s="115">
        <f t="shared" si="4"/>
        <v>1.1957929849996149</v>
      </c>
      <c r="AG43" s="771"/>
      <c r="AH43" s="772" t="s">
        <v>429</v>
      </c>
      <c r="AI43" s="771">
        <v>4351</v>
      </c>
      <c r="AJ43" s="771">
        <v>169</v>
      </c>
    </row>
    <row r="44" spans="2:36" ht="16.5" thickBot="1" x14ac:dyDescent="0.3">
      <c r="B44" s="562" t="s">
        <v>11</v>
      </c>
      <c r="C44" s="563">
        <v>2921.1577291693748</v>
      </c>
      <c r="D44" s="564"/>
      <c r="E44" s="565">
        <v>420.46319793057592</v>
      </c>
      <c r="F44" s="566"/>
      <c r="G44" s="567">
        <v>754.62529064057117</v>
      </c>
      <c r="H44" s="568">
        <v>378.41687813751832</v>
      </c>
      <c r="I44" s="9"/>
      <c r="J44" s="569">
        <v>679.16276157651407</v>
      </c>
      <c r="K44" s="418"/>
      <c r="L44" s="531">
        <v>216454.45429466048</v>
      </c>
      <c r="M44" s="711">
        <v>388481.09962176607</v>
      </c>
      <c r="N44" s="713">
        <v>614.83388214820297</v>
      </c>
      <c r="O44" s="115">
        <f t="shared" si="3"/>
        <v>1.0015851697774638</v>
      </c>
      <c r="P44" s="562" t="s">
        <v>11</v>
      </c>
      <c r="Q44" s="563">
        <v>4247.8798331523485</v>
      </c>
      <c r="R44" s="564"/>
      <c r="S44" s="565">
        <v>382.27795979995699</v>
      </c>
      <c r="T44" s="566"/>
      <c r="U44" s="567">
        <v>845.29373909518836</v>
      </c>
      <c r="V44" s="568">
        <v>344.05016381996131</v>
      </c>
      <c r="W44" s="9"/>
      <c r="X44" s="569">
        <v>760.76436518566959</v>
      </c>
      <c r="Y44" s="418"/>
      <c r="Z44" s="568">
        <v>196796.69370501788</v>
      </c>
      <c r="AA44" s="711">
        <v>435157.21688620298</v>
      </c>
      <c r="AC44" s="713">
        <v>47290.95114658511</v>
      </c>
      <c r="AD44" s="115">
        <f t="shared" si="4"/>
        <v>1.1219259196372917</v>
      </c>
      <c r="AG44" s="771"/>
      <c r="AH44" s="772" t="s">
        <v>430</v>
      </c>
      <c r="AI44" s="771">
        <v>15807</v>
      </c>
      <c r="AJ44" s="771">
        <v>606</v>
      </c>
    </row>
    <row r="45" spans="2:36" ht="16.5" thickBot="1" x14ac:dyDescent="0.3">
      <c r="B45" s="562" t="s">
        <v>12</v>
      </c>
      <c r="C45" s="563">
        <v>1865.8004763213651</v>
      </c>
      <c r="D45" s="564"/>
      <c r="E45" s="565">
        <v>1475.8204507785856</v>
      </c>
      <c r="F45" s="566"/>
      <c r="G45" s="567">
        <v>1809.9825434885809</v>
      </c>
      <c r="H45" s="568">
        <v>1328.2384057007271</v>
      </c>
      <c r="I45" s="9"/>
      <c r="J45" s="569">
        <v>1628.9842891397227</v>
      </c>
      <c r="K45" s="418"/>
      <c r="L45" s="531">
        <v>664119.20285036357</v>
      </c>
      <c r="M45" s="711">
        <v>814492.14456986135</v>
      </c>
      <c r="N45" s="713">
        <v>30449.707480268786</v>
      </c>
      <c r="O45" s="115">
        <f t="shared" si="3"/>
        <v>1.0388368104069721</v>
      </c>
      <c r="P45" s="562" t="s">
        <v>12</v>
      </c>
      <c r="Q45" s="563">
        <v>3360.2571620356503</v>
      </c>
      <c r="R45" s="564"/>
      <c r="S45" s="565">
        <v>1269.9006309166552</v>
      </c>
      <c r="T45" s="566"/>
      <c r="U45" s="567">
        <v>1732.9164102118866</v>
      </c>
      <c r="V45" s="568">
        <v>1142.9105678249898</v>
      </c>
      <c r="W45" s="9"/>
      <c r="X45" s="569">
        <v>1559.6247691906981</v>
      </c>
      <c r="Y45" s="418"/>
      <c r="Z45" s="568">
        <v>571455.2839124949</v>
      </c>
      <c r="AA45" s="711">
        <v>779812.38459534908</v>
      </c>
      <c r="AC45" s="713">
        <v>-4230.0524942434859</v>
      </c>
      <c r="AD45" s="115">
        <f t="shared" si="4"/>
        <v>0.99460481691533731</v>
      </c>
      <c r="AG45" s="771"/>
      <c r="AH45" s="772" t="s">
        <v>431</v>
      </c>
      <c r="AI45" s="771">
        <v>5263</v>
      </c>
      <c r="AJ45" s="771">
        <v>327</v>
      </c>
    </row>
    <row r="46" spans="2:36" ht="16.5" thickBot="1" x14ac:dyDescent="0.3">
      <c r="B46" s="562" t="s">
        <v>13</v>
      </c>
      <c r="C46" s="563">
        <v>2542.5930566973466</v>
      </c>
      <c r="D46" s="564"/>
      <c r="E46" s="565">
        <v>799.02787040260409</v>
      </c>
      <c r="F46" s="566"/>
      <c r="G46" s="567">
        <v>1133.1899631125993</v>
      </c>
      <c r="H46" s="568">
        <v>719.12508336234373</v>
      </c>
      <c r="I46" s="9"/>
      <c r="J46" s="569">
        <v>1019.8709668013395</v>
      </c>
      <c r="K46" s="418"/>
      <c r="L46" s="531">
        <v>1107452.6283780094</v>
      </c>
      <c r="M46" s="711">
        <v>1570601.2888740627</v>
      </c>
      <c r="N46" s="713">
        <v>52885.75300286361</v>
      </c>
      <c r="O46" s="115">
        <f t="shared" si="3"/>
        <v>1.0348456293375861</v>
      </c>
      <c r="P46" s="562" t="s">
        <v>13</v>
      </c>
      <c r="Q46" s="563">
        <v>3967.6628087634622</v>
      </c>
      <c r="R46" s="564"/>
      <c r="S46" s="565">
        <v>662.49498418884332</v>
      </c>
      <c r="T46" s="566"/>
      <c r="U46" s="567">
        <v>1125.5107634840747</v>
      </c>
      <c r="V46" s="568">
        <v>596.24548576995903</v>
      </c>
      <c r="W46" s="9"/>
      <c r="X46" s="569">
        <v>1012.9596871356672</v>
      </c>
      <c r="Y46" s="418"/>
      <c r="Z46" s="568">
        <v>918218.04808573693</v>
      </c>
      <c r="AA46" s="711">
        <v>1559957.9181889275</v>
      </c>
      <c r="AC46" s="713">
        <v>42242.382317728363</v>
      </c>
      <c r="AD46" s="115">
        <f t="shared" si="4"/>
        <v>1.027832872049689</v>
      </c>
      <c r="AG46" s="771"/>
      <c r="AH46" s="772" t="s">
        <v>432</v>
      </c>
      <c r="AI46" s="771">
        <v>28427</v>
      </c>
      <c r="AJ46" s="771">
        <v>1565</v>
      </c>
    </row>
    <row r="47" spans="2:36" ht="16.5" thickBot="1" x14ac:dyDescent="0.3">
      <c r="B47" s="562" t="s">
        <v>14</v>
      </c>
      <c r="C47" s="563">
        <v>3227.4015613669394</v>
      </c>
      <c r="D47" s="564"/>
      <c r="E47" s="565">
        <v>114.21936573301127</v>
      </c>
      <c r="F47" s="566"/>
      <c r="G47" s="567">
        <v>448.38145844300652</v>
      </c>
      <c r="H47" s="568">
        <v>102.79742915971015</v>
      </c>
      <c r="I47" s="9"/>
      <c r="J47" s="569">
        <v>403.54331259870588</v>
      </c>
      <c r="K47" s="418"/>
      <c r="L47" s="531">
        <v>454775.82660255767</v>
      </c>
      <c r="M47" s="711">
        <v>1785275.6149366747</v>
      </c>
      <c r="N47" s="713">
        <v>-99139.060007524677</v>
      </c>
      <c r="O47" s="115">
        <f t="shared" si="3"/>
        <v>0.94738999789923606</v>
      </c>
      <c r="P47" s="562" t="s">
        <v>14</v>
      </c>
      <c r="Q47" s="563">
        <v>4347.322527221635</v>
      </c>
      <c r="R47" s="564"/>
      <c r="S47" s="565">
        <v>282.83526573067047</v>
      </c>
      <c r="T47" s="566"/>
      <c r="U47" s="567">
        <v>745.85104502590184</v>
      </c>
      <c r="V47" s="568">
        <v>254.55173915760344</v>
      </c>
      <c r="W47" s="9"/>
      <c r="X47" s="569">
        <v>671.26594052331166</v>
      </c>
      <c r="Y47" s="418"/>
      <c r="Z47" s="568">
        <v>1126136.8940332376</v>
      </c>
      <c r="AA47" s="711">
        <v>2969680.5208751308</v>
      </c>
      <c r="AC47" s="713">
        <v>1085265.8459309314</v>
      </c>
      <c r="AD47" s="115">
        <f t="shared" si="4"/>
        <v>1.5759166813764427</v>
      </c>
      <c r="AG47" s="771"/>
      <c r="AH47" s="772"/>
      <c r="AI47" s="780"/>
      <c r="AJ47" s="780"/>
    </row>
    <row r="48" spans="2:36" ht="16.5" thickBot="1" x14ac:dyDescent="0.3">
      <c r="B48" s="562" t="s">
        <v>15</v>
      </c>
      <c r="C48" s="563">
        <v>2866.6504275497819</v>
      </c>
      <c r="D48" s="564"/>
      <c r="E48" s="565">
        <v>474.97049955016882</v>
      </c>
      <c r="F48" s="566"/>
      <c r="G48" s="567">
        <v>809.13259226016407</v>
      </c>
      <c r="H48" s="568">
        <v>427.47344959515198</v>
      </c>
      <c r="I48" s="9"/>
      <c r="J48" s="569">
        <v>728.21933303414767</v>
      </c>
      <c r="K48" s="418"/>
      <c r="L48" s="531">
        <v>141066.23836640015</v>
      </c>
      <c r="M48" s="711">
        <v>240312.37990126872</v>
      </c>
      <c r="N48" s="713">
        <v>-10807.672612057213</v>
      </c>
      <c r="O48" s="115">
        <f t="shared" si="3"/>
        <v>0.95696212825742499</v>
      </c>
      <c r="P48" s="562" t="s">
        <v>15</v>
      </c>
      <c r="Q48" s="563">
        <v>4446.918535657891</v>
      </c>
      <c r="R48" s="564"/>
      <c r="S48" s="565">
        <v>183.23925729441453</v>
      </c>
      <c r="T48" s="566"/>
      <c r="U48" s="567">
        <v>646.2550365896459</v>
      </c>
      <c r="V48" s="568">
        <v>164.91533156497309</v>
      </c>
      <c r="W48" s="9"/>
      <c r="X48" s="569">
        <v>581.62953293068131</v>
      </c>
      <c r="Y48" s="418"/>
      <c r="Z48" s="568">
        <v>54422.059416441116</v>
      </c>
      <c r="AA48" s="711">
        <v>191937.74586712482</v>
      </c>
      <c r="AC48" s="713">
        <v>-59182.306646201119</v>
      </c>
      <c r="AD48" s="115">
        <f t="shared" si="4"/>
        <v>0.76432663957387259</v>
      </c>
      <c r="AG48" s="775" t="s">
        <v>433</v>
      </c>
      <c r="AH48" s="776"/>
      <c r="AI48" s="775">
        <v>3124</v>
      </c>
      <c r="AJ48" s="775">
        <v>162</v>
      </c>
    </row>
    <row r="49" spans="2:36" ht="16.5" thickBot="1" x14ac:dyDescent="0.3">
      <c r="B49" s="562" t="s">
        <v>16</v>
      </c>
      <c r="C49" s="563">
        <v>2481.8505321237144</v>
      </c>
      <c r="D49" s="564"/>
      <c r="E49" s="565">
        <v>859.77039497623628</v>
      </c>
      <c r="F49" s="566"/>
      <c r="G49" s="567">
        <v>1193.9324876862315</v>
      </c>
      <c r="H49" s="568">
        <v>773.79335547861263</v>
      </c>
      <c r="I49" s="9"/>
      <c r="J49" s="569">
        <v>1074.5392389176084</v>
      </c>
      <c r="K49" s="418"/>
      <c r="L49" s="531">
        <v>194222.13222513176</v>
      </c>
      <c r="M49" s="711">
        <v>269709.34896831971</v>
      </c>
      <c r="N49" s="713">
        <v>-7952.364086223708</v>
      </c>
      <c r="O49" s="115">
        <f t="shared" si="3"/>
        <v>0.97135952235279355</v>
      </c>
      <c r="P49" s="562" t="s">
        <v>16</v>
      </c>
      <c r="Q49" s="563">
        <v>4019.6630972478333</v>
      </c>
      <c r="R49" s="564"/>
      <c r="S49" s="565">
        <v>610.49469570447218</v>
      </c>
      <c r="T49" s="566"/>
      <c r="U49" s="567">
        <v>1073.5104749997035</v>
      </c>
      <c r="V49" s="568">
        <v>549.44522613402501</v>
      </c>
      <c r="W49" s="9"/>
      <c r="X49" s="569">
        <v>966.15942749973317</v>
      </c>
      <c r="Y49" s="418"/>
      <c r="Z49" s="568">
        <v>137910.75175964029</v>
      </c>
      <c r="AA49" s="711">
        <v>242506.01630243304</v>
      </c>
      <c r="AC49" s="713">
        <v>-35155.69675211038</v>
      </c>
      <c r="AD49" s="115">
        <f t="shared" si="4"/>
        <v>0.87338658843034489</v>
      </c>
      <c r="AG49" s="771"/>
      <c r="AH49" s="772"/>
      <c r="AI49" s="771"/>
      <c r="AJ49" s="771"/>
    </row>
    <row r="50" spans="2:36" ht="16.5" thickBot="1" x14ac:dyDescent="0.3">
      <c r="B50" s="562" t="s">
        <v>17</v>
      </c>
      <c r="C50" s="563">
        <v>2988.2096350587217</v>
      </c>
      <c r="D50" s="564"/>
      <c r="E50" s="565">
        <v>353.41129204122899</v>
      </c>
      <c r="F50" s="566"/>
      <c r="G50" s="567">
        <v>687.57338475122424</v>
      </c>
      <c r="H50" s="568">
        <v>318.07016283710612</v>
      </c>
      <c r="I50" s="9"/>
      <c r="J50" s="569">
        <v>618.81604627610182</v>
      </c>
      <c r="K50" s="418"/>
      <c r="L50" s="531">
        <v>612603.13362426637</v>
      </c>
      <c r="M50" s="711">
        <v>1191839.7051277722</v>
      </c>
      <c r="N50" s="713">
        <v>33106.673027623678</v>
      </c>
      <c r="O50" s="115">
        <f t="shared" si="3"/>
        <v>1.0285714414886571</v>
      </c>
      <c r="P50" s="562" t="s">
        <v>17</v>
      </c>
      <c r="Q50" s="563">
        <v>4233.3655420800505</v>
      </c>
      <c r="R50" s="564"/>
      <c r="S50" s="565">
        <v>396.79225087225495</v>
      </c>
      <c r="T50" s="566"/>
      <c r="U50" s="567">
        <v>859.80803016748632</v>
      </c>
      <c r="V50" s="568">
        <v>357.11302578502949</v>
      </c>
      <c r="W50" s="9"/>
      <c r="X50" s="569">
        <v>773.82722715073771</v>
      </c>
      <c r="Y50" s="418"/>
      <c r="Z50" s="568">
        <v>687799.68766196677</v>
      </c>
      <c r="AA50" s="711">
        <v>1490391.2394923209</v>
      </c>
      <c r="AC50" s="713">
        <v>331658.20739217242</v>
      </c>
      <c r="AD50" s="115">
        <f t="shared" si="4"/>
        <v>1.2862248664742539</v>
      </c>
      <c r="AG50" s="771"/>
      <c r="AH50" s="772" t="s">
        <v>434</v>
      </c>
      <c r="AI50" s="771">
        <v>781</v>
      </c>
      <c r="AJ50" s="771">
        <v>64</v>
      </c>
    </row>
    <row r="51" spans="2:36" ht="16.5" thickBot="1" x14ac:dyDescent="0.3">
      <c r="B51" s="562" t="s">
        <v>18</v>
      </c>
      <c r="C51" s="563">
        <v>2890.5989937192317</v>
      </c>
      <c r="D51" s="564"/>
      <c r="E51" s="565">
        <v>451.02193338071902</v>
      </c>
      <c r="F51" s="566"/>
      <c r="G51" s="567">
        <v>785.18402609071427</v>
      </c>
      <c r="H51" s="568">
        <v>405.91974004264711</v>
      </c>
      <c r="I51" s="9"/>
      <c r="J51" s="569">
        <v>706.66562348164291</v>
      </c>
      <c r="K51" s="418"/>
      <c r="L51" s="531">
        <v>167644.85263761325</v>
      </c>
      <c r="M51" s="711">
        <v>291852.90249791852</v>
      </c>
      <c r="N51" s="713">
        <v>21260.151477080188</v>
      </c>
      <c r="O51" s="115">
        <f t="shared" si="3"/>
        <v>1.0785688138239999</v>
      </c>
      <c r="P51" s="562" t="s">
        <v>18</v>
      </c>
      <c r="Q51" s="563">
        <v>4297.2548408496541</v>
      </c>
      <c r="R51" s="564"/>
      <c r="S51" s="565">
        <v>332.9029521026514</v>
      </c>
      <c r="T51" s="566"/>
      <c r="U51" s="567">
        <v>795.91873139788277</v>
      </c>
      <c r="V51" s="568">
        <v>299.61265689238627</v>
      </c>
      <c r="W51" s="9"/>
      <c r="X51" s="569">
        <v>716.32685825809449</v>
      </c>
      <c r="Y51" s="418"/>
      <c r="Z51" s="568">
        <v>123740.02729655553</v>
      </c>
      <c r="AA51" s="711">
        <v>295842.992460593</v>
      </c>
      <c r="AC51" s="713">
        <v>25250.241439754667</v>
      </c>
      <c r="AD51" s="115">
        <f t="shared" si="4"/>
        <v>1.0933145523835934</v>
      </c>
      <c r="AG51" s="771"/>
      <c r="AH51" s="772" t="s">
        <v>435</v>
      </c>
      <c r="AI51" s="771">
        <v>40</v>
      </c>
      <c r="AJ51" s="771">
        <v>1</v>
      </c>
    </row>
    <row r="52" spans="2:36" ht="16.5" thickBot="1" x14ac:dyDescent="0.3">
      <c r="B52" s="562" t="s">
        <v>19</v>
      </c>
      <c r="C52" s="563">
        <v>2820.2751291840441</v>
      </c>
      <c r="D52" s="564"/>
      <c r="E52" s="565">
        <v>521.34579791590659</v>
      </c>
      <c r="F52" s="566"/>
      <c r="G52" s="567">
        <v>855.50789062590184</v>
      </c>
      <c r="H52" s="568">
        <v>469.21121812431596</v>
      </c>
      <c r="I52" s="9"/>
      <c r="J52" s="569">
        <v>769.95710156331165</v>
      </c>
      <c r="K52" s="418"/>
      <c r="L52" s="531">
        <v>850679.93845938484</v>
      </c>
      <c r="M52" s="711">
        <v>1395932.225134284</v>
      </c>
      <c r="N52" s="713">
        <v>66475.665428069187</v>
      </c>
      <c r="O52" s="115">
        <f t="shared" si="3"/>
        <v>1.0500021342876815</v>
      </c>
      <c r="P52" s="562" t="s">
        <v>19</v>
      </c>
      <c r="Q52" s="563">
        <v>4182.1231498892066</v>
      </c>
      <c r="R52" s="564"/>
      <c r="S52" s="565">
        <v>448.03464306309888</v>
      </c>
      <c r="T52" s="566"/>
      <c r="U52" s="567">
        <v>911.05042235833025</v>
      </c>
      <c r="V52" s="568">
        <v>403.23117875678901</v>
      </c>
      <c r="W52" s="9"/>
      <c r="X52" s="569">
        <v>819.94538012249723</v>
      </c>
      <c r="Y52" s="418"/>
      <c r="Z52" s="568">
        <v>731058.12708605849</v>
      </c>
      <c r="AA52" s="711">
        <v>1486560.9741620875</v>
      </c>
      <c r="AC52" s="713">
        <v>157104.41445587273</v>
      </c>
      <c r="AD52" s="115">
        <f t="shared" si="4"/>
        <v>1.1181719051358774</v>
      </c>
      <c r="AG52" s="771"/>
      <c r="AH52" s="772" t="s">
        <v>436</v>
      </c>
      <c r="AI52" s="781">
        <v>1992</v>
      </c>
      <c r="AJ52" s="771">
        <v>84</v>
      </c>
    </row>
    <row r="53" spans="2:36" ht="16.5" thickBot="1" x14ac:dyDescent="0.3">
      <c r="B53" s="562" t="s">
        <v>20</v>
      </c>
      <c r="C53" s="563">
        <v>3283.0120560224091</v>
      </c>
      <c r="D53" s="564"/>
      <c r="E53" s="565">
        <v>58.608871077541608</v>
      </c>
      <c r="F53" s="566"/>
      <c r="G53" s="567">
        <v>392.77096378753686</v>
      </c>
      <c r="H53" s="568">
        <v>52.747983969787448</v>
      </c>
      <c r="I53" s="9"/>
      <c r="J53" s="569">
        <v>353.49386740878316</v>
      </c>
      <c r="K53" s="418"/>
      <c r="L53" s="531">
        <v>5274.7983969787447</v>
      </c>
      <c r="M53" s="711">
        <v>35349.386740878319</v>
      </c>
      <c r="N53" s="713">
        <v>-2690.0402182319522</v>
      </c>
      <c r="O53" s="115">
        <f t="shared" si="3"/>
        <v>0.92928284063996136</v>
      </c>
      <c r="P53" s="562" t="s">
        <v>20</v>
      </c>
      <c r="Q53" s="563">
        <v>4463.5053893557424</v>
      </c>
      <c r="R53" s="564"/>
      <c r="S53" s="565">
        <v>166.65240359656309</v>
      </c>
      <c r="T53" s="566"/>
      <c r="U53" s="567">
        <v>629.66818289179446</v>
      </c>
      <c r="V53" s="568">
        <v>149.98716323690678</v>
      </c>
      <c r="W53" s="9"/>
      <c r="X53" s="569">
        <v>566.70136460261506</v>
      </c>
      <c r="Y53" s="418"/>
      <c r="Z53" s="568">
        <v>14998.716323690678</v>
      </c>
      <c r="AA53" s="711">
        <v>56670.136460261507</v>
      </c>
      <c r="AC53" s="713">
        <v>18630.709501151236</v>
      </c>
      <c r="AD53" s="115">
        <f t="shared" si="4"/>
        <v>1.4897736635511873</v>
      </c>
      <c r="AG53" s="771"/>
      <c r="AH53" s="772" t="s">
        <v>437</v>
      </c>
      <c r="AI53" s="771">
        <v>311</v>
      </c>
      <c r="AJ53" s="771">
        <v>13</v>
      </c>
    </row>
    <row r="54" spans="2:36" ht="16.5" thickBot="1" x14ac:dyDescent="0.3">
      <c r="B54" s="562" t="s">
        <v>21</v>
      </c>
      <c r="C54" s="563">
        <v>2644.0930048543592</v>
      </c>
      <c r="D54" s="564"/>
      <c r="E54" s="565">
        <v>697.52792224559153</v>
      </c>
      <c r="F54" s="566"/>
      <c r="G54" s="567">
        <v>1031.6900149555868</v>
      </c>
      <c r="H54" s="568">
        <v>627.7751300210324</v>
      </c>
      <c r="I54" s="9"/>
      <c r="J54" s="569">
        <v>928.52101346002814</v>
      </c>
      <c r="K54" s="418"/>
      <c r="L54" s="531">
        <v>645980.60879164236</v>
      </c>
      <c r="M54" s="711">
        <v>955448.12285036896</v>
      </c>
      <c r="N54" s="713">
        <v>41709.693438603077</v>
      </c>
      <c r="O54" s="115">
        <f t="shared" si="3"/>
        <v>1.0456473013458067</v>
      </c>
      <c r="P54" s="562" t="s">
        <v>21</v>
      </c>
      <c r="Q54" s="563">
        <v>4070.185255890111</v>
      </c>
      <c r="R54" s="564"/>
      <c r="S54" s="565">
        <v>559.97253706219453</v>
      </c>
      <c r="T54" s="566"/>
      <c r="U54" s="567">
        <v>1022.9883163574259</v>
      </c>
      <c r="V54" s="568">
        <v>503.97528335597508</v>
      </c>
      <c r="W54" s="9"/>
      <c r="X54" s="569">
        <v>920.68948472168336</v>
      </c>
      <c r="Y54" s="418"/>
      <c r="Z54" s="568">
        <v>518590.56657329836</v>
      </c>
      <c r="AA54" s="711">
        <v>947389.47977861215</v>
      </c>
      <c r="AC54" s="713">
        <v>33651.050366846262</v>
      </c>
      <c r="AD54" s="115">
        <f t="shared" si="4"/>
        <v>1.0368278812444276</v>
      </c>
      <c r="AG54" s="771"/>
      <c r="AH54" s="772" t="s">
        <v>438</v>
      </c>
      <c r="AI54" s="771">
        <v>0</v>
      </c>
      <c r="AJ54" s="771">
        <v>0</v>
      </c>
    </row>
    <row r="55" spans="2:36" ht="16.5" thickBot="1" x14ac:dyDescent="0.3">
      <c r="B55" s="562" t="s">
        <v>22</v>
      </c>
      <c r="C55" s="563">
        <v>2202.1555858400211</v>
      </c>
      <c r="D55" s="564"/>
      <c r="E55" s="565">
        <v>1139.4653412599296</v>
      </c>
      <c r="F55" s="566"/>
      <c r="G55" s="567">
        <v>1473.6274339699248</v>
      </c>
      <c r="H55" s="568">
        <v>1025.5188071339367</v>
      </c>
      <c r="I55" s="9"/>
      <c r="J55" s="569">
        <v>1326.2646905729323</v>
      </c>
      <c r="K55" s="418"/>
      <c r="L55" s="531">
        <v>444049.64348899457</v>
      </c>
      <c r="M55" s="711">
        <v>574272.61101807968</v>
      </c>
      <c r="N55" s="713">
        <v>14916.293055055663</v>
      </c>
      <c r="O55" s="115">
        <f t="shared" si="3"/>
        <v>1.0266668893798776</v>
      </c>
      <c r="P55" s="562" t="s">
        <v>22</v>
      </c>
      <c r="Q55" s="563">
        <v>3700.4250238692744</v>
      </c>
      <c r="R55" s="564"/>
      <c r="S55" s="565">
        <v>929.73276908303114</v>
      </c>
      <c r="T55" s="566"/>
      <c r="U55" s="567">
        <v>1392.7485483782625</v>
      </c>
      <c r="V55" s="568">
        <v>836.75949217472805</v>
      </c>
      <c r="W55" s="9"/>
      <c r="X55" s="569">
        <v>1253.4736935404362</v>
      </c>
      <c r="Y55" s="418"/>
      <c r="Z55" s="568">
        <v>362316.86011165724</v>
      </c>
      <c r="AA55" s="711">
        <v>542754.10930300888</v>
      </c>
      <c r="AC55" s="713">
        <v>-16602.208660015138</v>
      </c>
      <c r="AD55" s="115">
        <f t="shared" si="4"/>
        <v>0.97031908261897448</v>
      </c>
      <c r="AG55" s="771"/>
      <c r="AH55" s="772"/>
      <c r="AI55" s="771"/>
      <c r="AJ55" s="771"/>
    </row>
    <row r="56" spans="2:36" ht="16.5" thickBot="1" x14ac:dyDescent="0.3">
      <c r="B56" s="562" t="s">
        <v>23</v>
      </c>
      <c r="C56" s="563">
        <v>4068.4668540111907</v>
      </c>
      <c r="D56" s="564"/>
      <c r="E56" s="565">
        <v>-726.84592691123999</v>
      </c>
      <c r="F56" s="566"/>
      <c r="G56" s="567">
        <v>-392.68383420124474</v>
      </c>
      <c r="H56" s="568">
        <v>0</v>
      </c>
      <c r="I56" s="9"/>
      <c r="J56" s="569">
        <v>0</v>
      </c>
      <c r="K56" s="418"/>
      <c r="L56" s="531">
        <v>0</v>
      </c>
      <c r="M56" s="711">
        <v>0</v>
      </c>
      <c r="N56" s="713"/>
      <c r="O56" s="115"/>
      <c r="P56" s="562" t="s">
        <v>23</v>
      </c>
      <c r="Q56" s="563">
        <v>5328.6465752116083</v>
      </c>
      <c r="R56" s="564"/>
      <c r="S56" s="565">
        <v>-698.48878225930275</v>
      </c>
      <c r="T56" s="566"/>
      <c r="U56" s="567">
        <v>-235.47300296407138</v>
      </c>
      <c r="V56" s="568">
        <v>0</v>
      </c>
      <c r="W56" s="9"/>
      <c r="X56" s="569">
        <v>0</v>
      </c>
      <c r="Y56" s="418"/>
      <c r="Z56" s="568">
        <v>0</v>
      </c>
      <c r="AA56" s="711">
        <v>0</v>
      </c>
      <c r="AC56" s="713">
        <v>0</v>
      </c>
      <c r="AD56" s="115"/>
      <c r="AG56" s="775" t="s">
        <v>439</v>
      </c>
      <c r="AH56" s="776"/>
      <c r="AI56" s="775">
        <v>56972</v>
      </c>
      <c r="AJ56" s="775">
        <v>2829</v>
      </c>
    </row>
    <row r="57" spans="2:36" ht="16.5" thickBot="1" x14ac:dyDescent="0.3">
      <c r="B57" s="493" t="s">
        <v>247</v>
      </c>
      <c r="C57" s="563">
        <v>3341.6209270999507</v>
      </c>
      <c r="D57" s="574"/>
      <c r="E57" s="575">
        <v>0</v>
      </c>
      <c r="F57" s="576"/>
      <c r="G57" s="577">
        <v>334.16209270999525</v>
      </c>
      <c r="H57" s="435"/>
      <c r="I57" s="494"/>
      <c r="J57" s="494"/>
      <c r="K57" s="420"/>
      <c r="L57" s="539">
        <v>7488715.1941724168</v>
      </c>
      <c r="M57" s="714">
        <v>12683498.838814193</v>
      </c>
      <c r="N57" s="715">
        <v>234422.02590331994</v>
      </c>
      <c r="O57" s="115">
        <f t="shared" si="3"/>
        <v>1.0188304746951358</v>
      </c>
      <c r="P57" s="493" t="s">
        <v>247</v>
      </c>
      <c r="Q57" s="563">
        <v>4630.1577929523055</v>
      </c>
      <c r="R57" s="574"/>
      <c r="S57" s="565">
        <v>0</v>
      </c>
      <c r="T57" s="576"/>
      <c r="U57" s="577">
        <v>463.01577929523137</v>
      </c>
      <c r="V57" s="435"/>
      <c r="W57" s="494"/>
      <c r="X57" s="494"/>
      <c r="Y57" s="420"/>
      <c r="Z57" s="539">
        <v>7197949.5400548503</v>
      </c>
      <c r="AA57" s="714">
        <v>14395853.940244729</v>
      </c>
      <c r="AC57" s="713">
        <v>1946777.1273338553</v>
      </c>
      <c r="AD57" s="115">
        <f t="shared" si="4"/>
        <v>1.1563792365161458</v>
      </c>
      <c r="AG57" s="771"/>
      <c r="AH57" s="772"/>
      <c r="AI57" s="771"/>
      <c r="AJ57" s="771"/>
    </row>
    <row r="58" spans="2:36" ht="15.75" x14ac:dyDescent="0.25">
      <c r="AG58" s="771" t="s">
        <v>440</v>
      </c>
      <c r="AH58" s="772"/>
      <c r="AI58" s="771">
        <v>253690</v>
      </c>
      <c r="AJ58" s="771">
        <v>9242</v>
      </c>
    </row>
    <row r="59" spans="2:36" ht="15.75" x14ac:dyDescent="0.25">
      <c r="AG59" s="771"/>
      <c r="AH59" s="772"/>
      <c r="AI59" s="780"/>
      <c r="AJ59" s="780"/>
    </row>
    <row r="60" spans="2:36" ht="16.5" thickBot="1" x14ac:dyDescent="0.3">
      <c r="AG60" s="777" t="s">
        <v>441</v>
      </c>
      <c r="AH60" s="778"/>
      <c r="AI60" s="777">
        <v>16.5</v>
      </c>
      <c r="AJ60" s="777">
        <v>16.75</v>
      </c>
    </row>
    <row r="61" spans="2:36" ht="16.5" thickBot="1" x14ac:dyDescent="0.3">
      <c r="X61" s="2"/>
      <c r="AG61" s="771"/>
      <c r="AH61" s="772"/>
      <c r="AI61" s="771"/>
      <c r="AJ61" s="771"/>
    </row>
    <row r="62" spans="2:36" ht="15.75" customHeight="1" thickBot="1" x14ac:dyDescent="0.3">
      <c r="D62" s="553" t="s">
        <v>359</v>
      </c>
      <c r="E62" s="554"/>
      <c r="F62" s="554"/>
      <c r="G62" s="554"/>
      <c r="H62" s="554"/>
      <c r="I62" s="554"/>
      <c r="J62" s="554"/>
      <c r="K62" s="554"/>
      <c r="L62" s="554"/>
      <c r="M62" s="555"/>
      <c r="X62" s="1368"/>
      <c r="AG62" s="771" t="s">
        <v>442</v>
      </c>
      <c r="AH62" s="772"/>
      <c r="AI62" s="771">
        <v>41858.85</v>
      </c>
      <c r="AJ62" s="771">
        <v>1548.0350000000001</v>
      </c>
    </row>
    <row r="63" spans="2:36" ht="15" customHeight="1" x14ac:dyDescent="0.25">
      <c r="B63" s="1371" t="s">
        <v>257</v>
      </c>
      <c r="C63" s="1372"/>
      <c r="D63" s="544"/>
      <c r="E63" s="499"/>
      <c r="F63" s="3"/>
      <c r="G63" s="3"/>
      <c r="H63" s="2"/>
      <c r="I63" s="3"/>
      <c r="J63" s="3"/>
      <c r="K63" s="544"/>
      <c r="L63" s="499"/>
      <c r="M63" s="2"/>
      <c r="X63" s="1368"/>
      <c r="AG63" s="771"/>
      <c r="AH63" s="772" t="s">
        <v>443</v>
      </c>
      <c r="AI63" s="771">
        <v>1184</v>
      </c>
      <c r="AJ63" s="771">
        <v>52</v>
      </c>
    </row>
    <row r="64" spans="2:36" ht="15" customHeight="1" x14ac:dyDescent="0.25">
      <c r="B64" s="1366"/>
      <c r="C64" s="1367"/>
      <c r="D64" s="1366" t="s">
        <v>262</v>
      </c>
      <c r="E64" s="1367"/>
      <c r="F64" s="1364" t="s">
        <v>263</v>
      </c>
      <c r="G64" s="1364"/>
      <c r="H64" s="1368" t="s">
        <v>264</v>
      </c>
      <c r="I64" s="1365" t="s">
        <v>265</v>
      </c>
      <c r="J64" s="1365"/>
      <c r="K64" s="418"/>
      <c r="L64" s="1369" t="s">
        <v>266</v>
      </c>
      <c r="M64" s="1368" t="s">
        <v>267</v>
      </c>
      <c r="Q64" s="9"/>
      <c r="R64" s="9"/>
      <c r="S64" s="9"/>
      <c r="T64" s="9"/>
      <c r="U64" s="9"/>
      <c r="V64" s="9"/>
      <c r="W64" s="9"/>
      <c r="X64" s="1368"/>
      <c r="Y64" s="9"/>
      <c r="Z64" s="9"/>
      <c r="AA64" s="9"/>
      <c r="AG64" s="771"/>
      <c r="AH64" s="772" t="s">
        <v>444</v>
      </c>
      <c r="AI64" s="771">
        <v>3188.6148899999971</v>
      </c>
      <c r="AJ64" s="771">
        <v>163.18196000000012</v>
      </c>
    </row>
    <row r="65" spans="2:36" ht="16.5" thickBot="1" x14ac:dyDescent="0.3">
      <c r="B65" s="1366"/>
      <c r="C65" s="1367"/>
      <c r="D65" s="1366"/>
      <c r="E65" s="1367"/>
      <c r="F65" s="1364"/>
      <c r="G65" s="1364"/>
      <c r="H65" s="1368"/>
      <c r="I65" s="1365"/>
      <c r="J65" s="1365"/>
      <c r="K65" s="418"/>
      <c r="L65" s="1369"/>
      <c r="M65" s="1368"/>
      <c r="Q65" s="9"/>
      <c r="R65" s="6"/>
      <c r="S65" s="9"/>
      <c r="T65" s="9"/>
      <c r="U65" s="6"/>
      <c r="V65" s="6"/>
      <c r="W65" s="6"/>
      <c r="X65" s="1368"/>
      <c r="Y65" s="6"/>
      <c r="Z65" s="9"/>
      <c r="AA65" s="9"/>
      <c r="AG65" s="775" t="s">
        <v>445</v>
      </c>
      <c r="AH65" s="776"/>
      <c r="AI65" s="775">
        <v>37486.235110000001</v>
      </c>
      <c r="AJ65" s="775">
        <v>1332.85304</v>
      </c>
    </row>
    <row r="66" spans="2:36" ht="16.5" thickBot="1" x14ac:dyDescent="0.3">
      <c r="B66" s="1366"/>
      <c r="C66" s="1367"/>
      <c r="D66" s="1366"/>
      <c r="E66" s="1367"/>
      <c r="F66" s="1364"/>
      <c r="G66" s="1364"/>
      <c r="H66" s="1368"/>
      <c r="I66" s="709"/>
      <c r="J66" s="709"/>
      <c r="K66" s="418"/>
      <c r="L66" s="1369"/>
      <c r="M66" s="1368"/>
      <c r="Q66" s="9"/>
      <c r="R66" s="6"/>
      <c r="S66" s="9"/>
      <c r="T66" s="9"/>
      <c r="U66" s="6"/>
      <c r="V66" s="6"/>
      <c r="W66" s="6"/>
      <c r="X66" s="561"/>
      <c r="Y66" s="6"/>
      <c r="Z66" s="9"/>
      <c r="AA66" s="9"/>
      <c r="AG66" s="771"/>
      <c r="AH66" s="774" t="s">
        <v>426</v>
      </c>
      <c r="AI66" s="780">
        <v>4.7431027247541069</v>
      </c>
      <c r="AJ66" s="780">
        <v>0.27576845513058279</v>
      </c>
    </row>
    <row r="67" spans="2:36" ht="16.5" thickBot="1" x14ac:dyDescent="0.3">
      <c r="B67" s="1373"/>
      <c r="C67" s="1374"/>
      <c r="D67" s="1366"/>
      <c r="E67" s="1367"/>
      <c r="F67" s="1364"/>
      <c r="G67" s="1364"/>
      <c r="H67" s="1368"/>
      <c r="I67" s="709"/>
      <c r="J67" s="709"/>
      <c r="K67" s="418"/>
      <c r="L67" s="1369"/>
      <c r="M67" s="1368"/>
      <c r="P67" s="420" t="s">
        <v>360</v>
      </c>
      <c r="Q67" s="421"/>
      <c r="R67" s="511"/>
      <c r="S67" s="421"/>
      <c r="T67" s="422"/>
      <c r="U67" s="222"/>
      <c r="V67" s="222"/>
      <c r="W67" s="222"/>
      <c r="X67" s="711"/>
      <c r="Y67" s="6"/>
      <c r="Z67" s="9"/>
      <c r="AA67" s="9"/>
      <c r="AG67" s="771" t="s">
        <v>446</v>
      </c>
      <c r="AH67" s="772"/>
      <c r="AI67" s="784">
        <v>227189.30369696973</v>
      </c>
      <c r="AJ67" s="784">
        <v>7957.3315820895514</v>
      </c>
    </row>
    <row r="68" spans="2:36" ht="16.5" thickBot="1" x14ac:dyDescent="0.3">
      <c r="B68" s="493"/>
      <c r="C68" s="495">
        <v>2013</v>
      </c>
      <c r="D68" s="558"/>
      <c r="E68" s="559"/>
      <c r="F68" s="560"/>
      <c r="G68" s="560"/>
      <c r="H68" s="561"/>
      <c r="I68" s="421"/>
      <c r="J68" s="421"/>
      <c r="K68" s="420"/>
      <c r="L68" s="422"/>
      <c r="M68" s="561"/>
      <c r="P68" s="420" t="s">
        <v>361</v>
      </c>
      <c r="Q68" s="421" t="s">
        <v>362</v>
      </c>
      <c r="R68" s="421" t="s">
        <v>363</v>
      </c>
      <c r="S68" s="421" t="s">
        <v>364</v>
      </c>
      <c r="T68" s="422" t="s">
        <v>365</v>
      </c>
      <c r="U68" s="222"/>
      <c r="V68" s="222"/>
      <c r="W68" s="222"/>
      <c r="X68" s="711"/>
      <c r="Y68" s="6"/>
      <c r="Z68" s="9"/>
      <c r="AA68" s="9"/>
      <c r="AG68" s="773"/>
      <c r="AH68" s="774" t="s">
        <v>426</v>
      </c>
      <c r="AI68" s="780">
        <v>4.7431027247541149</v>
      </c>
      <c r="AJ68" s="783">
        <v>1.7724217156549107</v>
      </c>
    </row>
    <row r="69" spans="2:36" ht="16.5" thickBot="1" x14ac:dyDescent="0.3">
      <c r="B69" s="562" t="s">
        <v>8</v>
      </c>
      <c r="C69" s="563">
        <v>17690.617617988632</v>
      </c>
      <c r="D69" s="564"/>
      <c r="E69" s="565">
        <v>1272.0253328464532</v>
      </c>
      <c r="F69" s="566"/>
      <c r="G69" s="567">
        <v>3168.2896279299639</v>
      </c>
      <c r="H69" s="568">
        <v>194.61987592550736</v>
      </c>
      <c r="I69" s="9"/>
      <c r="J69" s="569">
        <v>484.74831307328446</v>
      </c>
      <c r="K69" s="418"/>
      <c r="L69" s="568">
        <v>92444.441064615996</v>
      </c>
      <c r="M69" s="711">
        <v>230255.44870981012</v>
      </c>
      <c r="P69" s="500">
        <v>496.14663470488404</v>
      </c>
      <c r="Q69" s="501">
        <v>570.11209047564694</v>
      </c>
      <c r="R69" s="501">
        <v>568.95962015048667</v>
      </c>
      <c r="S69" s="501">
        <v>589.11617127231955</v>
      </c>
      <c r="T69" s="682">
        <v>484.74831307328446</v>
      </c>
      <c r="U69" s="222"/>
      <c r="V69" s="222"/>
      <c r="W69" s="222"/>
      <c r="X69" s="711"/>
      <c r="Y69" s="6"/>
      <c r="Z69" s="9"/>
      <c r="AA69" s="9"/>
    </row>
    <row r="70" spans="2:36" ht="16.5" thickBot="1" x14ac:dyDescent="0.3">
      <c r="B70" s="562" t="s">
        <v>9</v>
      </c>
      <c r="C70" s="563">
        <v>14820.620962664407</v>
      </c>
      <c r="D70" s="564"/>
      <c r="E70" s="565">
        <v>4142.021988170678</v>
      </c>
      <c r="F70" s="566"/>
      <c r="G70" s="567">
        <v>6038.2862832541887</v>
      </c>
      <c r="H70" s="568">
        <v>635.2204921058551</v>
      </c>
      <c r="I70" s="9"/>
      <c r="J70" s="569">
        <v>926.03158439986237</v>
      </c>
      <c r="K70" s="418"/>
      <c r="L70" s="568">
        <v>601553.80602424475</v>
      </c>
      <c r="M70" s="711">
        <v>876951.91042666964</v>
      </c>
      <c r="P70" s="503">
        <v>861.68300100580461</v>
      </c>
      <c r="Q70" s="21">
        <v>843.83283993160819</v>
      </c>
      <c r="R70" s="21">
        <v>930.89595998937477</v>
      </c>
      <c r="S70" s="21">
        <v>881.77547009144121</v>
      </c>
      <c r="T70" s="683">
        <v>926.03158439986237</v>
      </c>
      <c r="U70" s="222"/>
      <c r="V70" s="222"/>
      <c r="W70" s="222"/>
      <c r="X70" s="711"/>
      <c r="Y70" s="6"/>
      <c r="Z70" s="9"/>
      <c r="AA70" s="9"/>
    </row>
    <row r="71" spans="2:36" ht="16.5" thickBot="1" x14ac:dyDescent="0.3">
      <c r="B71" s="562" t="s">
        <v>10</v>
      </c>
      <c r="C71" s="563">
        <v>16680.778676689766</v>
      </c>
      <c r="D71" s="564"/>
      <c r="E71" s="565">
        <v>2281.8642741453186</v>
      </c>
      <c r="F71" s="566"/>
      <c r="G71" s="567">
        <v>4178.1285692288293</v>
      </c>
      <c r="H71" s="568">
        <v>349.94670508292609</v>
      </c>
      <c r="I71" s="9"/>
      <c r="J71" s="569">
        <v>640.75779737693324</v>
      </c>
      <c r="K71" s="418"/>
      <c r="L71" s="568">
        <v>881865.69680897379</v>
      </c>
      <c r="M71" s="711">
        <v>1614709.6493898719</v>
      </c>
      <c r="P71" s="503">
        <v>930.75783826799989</v>
      </c>
      <c r="Q71" s="21">
        <v>748.84529758787642</v>
      </c>
      <c r="R71" s="21">
        <v>800.84036305218922</v>
      </c>
      <c r="S71" s="21">
        <v>778.36034325648734</v>
      </c>
      <c r="T71" s="683">
        <v>640.75779737693324</v>
      </c>
      <c r="U71" s="222"/>
      <c r="V71" s="222"/>
      <c r="W71" s="222"/>
      <c r="X71" s="711"/>
      <c r="Y71" s="6"/>
      <c r="Z71" s="9"/>
      <c r="AA71" s="9"/>
    </row>
    <row r="72" spans="2:36" ht="16.5" thickBot="1" x14ac:dyDescent="0.3">
      <c r="B72" s="562" t="s">
        <v>11</v>
      </c>
      <c r="C72" s="563">
        <v>17016.414688597786</v>
      </c>
      <c r="D72" s="564"/>
      <c r="E72" s="565">
        <v>1946.2282622372986</v>
      </c>
      <c r="F72" s="566"/>
      <c r="G72" s="567">
        <v>3842.4925573208093</v>
      </c>
      <c r="H72" s="568">
        <v>298.47356629671214</v>
      </c>
      <c r="I72" s="9"/>
      <c r="J72" s="569">
        <v>589.28465859071935</v>
      </c>
      <c r="K72" s="418"/>
      <c r="L72" s="568">
        <v>170726.87992171934</v>
      </c>
      <c r="M72" s="711">
        <v>337070.82471389149</v>
      </c>
      <c r="P72" s="503">
        <v>760.76436518566959</v>
      </c>
      <c r="Q72" s="21">
        <v>645.67918352478807</v>
      </c>
      <c r="R72" s="21">
        <v>679.16276157651407</v>
      </c>
      <c r="S72" s="21">
        <v>678.08787716716415</v>
      </c>
      <c r="T72" s="683">
        <v>589.28465859071935</v>
      </c>
      <c r="U72" s="222"/>
      <c r="V72" s="222"/>
      <c r="W72" s="222"/>
      <c r="X72" s="711"/>
      <c r="Y72" s="6"/>
      <c r="Z72" s="9"/>
      <c r="AA72" s="9"/>
    </row>
    <row r="73" spans="2:36" ht="16.5" thickBot="1" x14ac:dyDescent="0.3">
      <c r="B73" s="562" t="s">
        <v>12</v>
      </c>
      <c r="C73" s="563">
        <v>11563.415610328639</v>
      </c>
      <c r="D73" s="564"/>
      <c r="E73" s="565">
        <v>7399.2273405064461</v>
      </c>
      <c r="F73" s="566"/>
      <c r="G73" s="567">
        <v>9295.4916355899568</v>
      </c>
      <c r="H73" s="568">
        <v>1134.7455049400685</v>
      </c>
      <c r="I73" s="9"/>
      <c r="J73" s="569">
        <v>1425.5565972340758</v>
      </c>
      <c r="K73" s="418"/>
      <c r="L73" s="568">
        <v>567372.75247003429</v>
      </c>
      <c r="M73" s="711">
        <v>712778.29861703783</v>
      </c>
      <c r="P73" s="503">
        <v>1559.6247691906981</v>
      </c>
      <c r="Q73" s="21">
        <v>1507.0766596754092</v>
      </c>
      <c r="R73" s="21">
        <v>1628.9842891397227</v>
      </c>
      <c r="S73" s="21">
        <v>1568.0848741791851</v>
      </c>
      <c r="T73" s="683">
        <v>1425.5565972340758</v>
      </c>
      <c r="U73" s="222"/>
      <c r="V73" s="222"/>
      <c r="W73" s="222"/>
      <c r="X73" s="711"/>
      <c r="Y73" s="6"/>
      <c r="Z73" s="9"/>
      <c r="AA73" s="9"/>
    </row>
    <row r="74" spans="2:36" ht="16.5" thickBot="1" x14ac:dyDescent="0.3">
      <c r="B74" s="562" t="s">
        <v>13</v>
      </c>
      <c r="C74" s="563">
        <v>15384.334110724954</v>
      </c>
      <c r="D74" s="564"/>
      <c r="E74" s="565">
        <v>3578.3088401101304</v>
      </c>
      <c r="F74" s="566"/>
      <c r="G74" s="567">
        <v>5474.5731351936411</v>
      </c>
      <c r="H74" s="568">
        <v>531.37886275635435</v>
      </c>
      <c r="I74" s="9"/>
      <c r="J74" s="569">
        <v>812.97411057625573</v>
      </c>
      <c r="K74" s="418"/>
      <c r="L74" s="568">
        <v>818323.44864478568</v>
      </c>
      <c r="M74" s="711">
        <v>1251980.1302874337</v>
      </c>
      <c r="P74" s="503">
        <v>1012.9596871356672</v>
      </c>
      <c r="Q74" s="21">
        <v>951.34018575261041</v>
      </c>
      <c r="R74" s="21">
        <v>1019.8709668013395</v>
      </c>
      <c r="S74" s="21">
        <v>985.52956874753181</v>
      </c>
      <c r="T74" s="683">
        <v>812.97411057625573</v>
      </c>
      <c r="U74" s="222"/>
      <c r="V74" s="222"/>
      <c r="W74" s="222"/>
      <c r="X74" s="711"/>
      <c r="Y74" s="6"/>
      <c r="Z74" s="9"/>
      <c r="AA74" s="9"/>
    </row>
    <row r="75" spans="2:36" ht="16.5" thickBot="1" x14ac:dyDescent="0.3">
      <c r="B75" s="562" t="s">
        <v>14</v>
      </c>
      <c r="C75" s="563">
        <v>18892.139241036937</v>
      </c>
      <c r="D75" s="564"/>
      <c r="E75" s="565">
        <v>70.503709798147611</v>
      </c>
      <c r="F75" s="566"/>
      <c r="G75" s="567">
        <v>1966.7680048816583</v>
      </c>
      <c r="H75" s="568">
        <v>10.787067599116586</v>
      </c>
      <c r="I75" s="9"/>
      <c r="J75" s="569">
        <v>300.91550474689376</v>
      </c>
      <c r="K75" s="418"/>
      <c r="L75" s="568">
        <v>47721.987058491773</v>
      </c>
      <c r="M75" s="711">
        <v>1331250.1930002579</v>
      </c>
      <c r="P75" s="503">
        <v>671.26594052331166</v>
      </c>
      <c r="Q75" s="21">
        <v>408.38049885229537</v>
      </c>
      <c r="R75" s="21">
        <v>403.54331259870588</v>
      </c>
      <c r="S75" s="21">
        <v>425.95268420981</v>
      </c>
      <c r="T75" s="683">
        <v>300.91550474689376</v>
      </c>
      <c r="U75" s="222"/>
      <c r="V75" s="222"/>
      <c r="W75" s="222"/>
      <c r="X75" s="711"/>
      <c r="Y75" s="6"/>
      <c r="Z75" s="9"/>
      <c r="AA75" s="9"/>
    </row>
    <row r="76" spans="2:36" ht="16.5" thickBot="1" x14ac:dyDescent="0.3">
      <c r="B76" s="562" t="s">
        <v>15</v>
      </c>
      <c r="C76" s="563">
        <v>16636.430857874522</v>
      </c>
      <c r="D76" s="564"/>
      <c r="E76" s="565">
        <v>2326.2120929605626</v>
      </c>
      <c r="F76" s="566"/>
      <c r="G76" s="567">
        <v>4222.4763880440732</v>
      </c>
      <c r="H76" s="568">
        <v>356.74788657643188</v>
      </c>
      <c r="I76" s="9"/>
      <c r="J76" s="569">
        <v>647.55897887043909</v>
      </c>
      <c r="K76" s="418"/>
      <c r="L76" s="568">
        <v>117726.80257022253</v>
      </c>
      <c r="M76" s="711">
        <v>213694.4630272449</v>
      </c>
      <c r="P76" s="503">
        <v>581.62953293068131</v>
      </c>
      <c r="Q76" s="21">
        <v>741.29964029710607</v>
      </c>
      <c r="R76" s="21">
        <v>728.21933303414767</v>
      </c>
      <c r="S76" s="21">
        <v>760.96985610098773</v>
      </c>
      <c r="T76" s="683">
        <v>647.55897887043909</v>
      </c>
      <c r="U76" s="222"/>
      <c r="V76" s="222"/>
      <c r="W76" s="222"/>
      <c r="X76" s="711"/>
      <c r="Y76" s="6"/>
      <c r="Z76" s="9"/>
      <c r="AA76" s="9"/>
    </row>
    <row r="77" spans="2:36" ht="16.5" thickBot="1" x14ac:dyDescent="0.3">
      <c r="B77" s="562" t="s">
        <v>16</v>
      </c>
      <c r="C77" s="563">
        <v>14583.332865720216</v>
      </c>
      <c r="D77" s="564"/>
      <c r="E77" s="565">
        <v>4379.3100851148683</v>
      </c>
      <c r="F77" s="566"/>
      <c r="G77" s="567">
        <v>6275.574380198379</v>
      </c>
      <c r="H77" s="568">
        <v>671.61099465321615</v>
      </c>
      <c r="I77" s="9"/>
      <c r="J77" s="569">
        <v>962.42208694722342</v>
      </c>
      <c r="K77" s="418"/>
      <c r="L77" s="568">
        <v>168574.35965795725</v>
      </c>
      <c r="M77" s="711">
        <v>241567.94382375307</v>
      </c>
      <c r="P77" s="503">
        <v>966.15942749973317</v>
      </c>
      <c r="Q77" s="21">
        <v>1075.3837029353658</v>
      </c>
      <c r="R77" s="21">
        <v>1074.5392389176084</v>
      </c>
      <c r="S77" s="21">
        <v>1106.2219643607307</v>
      </c>
      <c r="T77" s="683">
        <v>962.42208694722342</v>
      </c>
      <c r="U77" s="222"/>
      <c r="V77" s="222"/>
      <c r="W77" s="222"/>
      <c r="X77" s="711"/>
      <c r="Y77" s="6"/>
      <c r="Z77" s="9"/>
      <c r="AA77" s="9"/>
    </row>
    <row r="78" spans="2:36" ht="16.5" thickBot="1" x14ac:dyDescent="0.3">
      <c r="B78" s="562" t="s">
        <v>17</v>
      </c>
      <c r="C78" s="563">
        <v>17763.947086813023</v>
      </c>
      <c r="D78" s="564"/>
      <c r="E78" s="565">
        <v>1198.6958640220619</v>
      </c>
      <c r="F78" s="566"/>
      <c r="G78" s="567">
        <v>3094.9601591055725</v>
      </c>
      <c r="H78" s="568">
        <v>178.0063358072762</v>
      </c>
      <c r="I78" s="9"/>
      <c r="J78" s="569">
        <v>459.60158362717755</v>
      </c>
      <c r="K78" s="418"/>
      <c r="L78" s="568">
        <v>342840.20276481396</v>
      </c>
      <c r="M78" s="711">
        <v>885192.65006594395</v>
      </c>
      <c r="P78" s="503">
        <v>773.82722715073771</v>
      </c>
      <c r="Q78" s="21">
        <v>583.38939483047886</v>
      </c>
      <c r="R78" s="21">
        <v>618.81604627610182</v>
      </c>
      <c r="S78" s="21">
        <v>601.62670410184239</v>
      </c>
      <c r="T78" s="683">
        <v>459.60158362717755</v>
      </c>
      <c r="U78" s="222"/>
      <c r="V78" s="222"/>
      <c r="W78" s="222"/>
      <c r="X78" s="711"/>
      <c r="Y78" s="6"/>
      <c r="Z78" s="9"/>
      <c r="AA78" s="9"/>
    </row>
    <row r="79" spans="2:36" ht="16.5" thickBot="1" x14ac:dyDescent="0.3">
      <c r="B79" s="562" t="s">
        <v>18</v>
      </c>
      <c r="C79" s="563">
        <v>17172.937909945547</v>
      </c>
      <c r="D79" s="564"/>
      <c r="E79" s="565">
        <v>1789.7050408895375</v>
      </c>
      <c r="F79" s="566"/>
      <c r="G79" s="567">
        <v>3685.9693359730481</v>
      </c>
      <c r="H79" s="568">
        <v>274.46916507081949</v>
      </c>
      <c r="I79" s="9"/>
      <c r="J79" s="569">
        <v>565.28025736482664</v>
      </c>
      <c r="K79" s="418"/>
      <c r="L79" s="568">
        <v>113355.76517424844</v>
      </c>
      <c r="M79" s="711">
        <v>233460.74629167339</v>
      </c>
      <c r="P79" s="503">
        <v>716.32685825809449</v>
      </c>
      <c r="Q79" s="21">
        <v>631.73097375582802</v>
      </c>
      <c r="R79" s="21">
        <v>706.66562348164291</v>
      </c>
      <c r="S79" s="21">
        <v>655.18825913035914</v>
      </c>
      <c r="T79" s="683">
        <v>565.28025736482664</v>
      </c>
      <c r="U79" s="222"/>
      <c r="V79" s="222"/>
      <c r="W79" s="222"/>
      <c r="X79" s="711"/>
      <c r="Y79" s="6"/>
      <c r="Z79" s="9"/>
      <c r="AA79" s="9"/>
    </row>
    <row r="80" spans="2:36" ht="16.5" thickBot="1" x14ac:dyDescent="0.3">
      <c r="B80" s="562" t="s">
        <v>19</v>
      </c>
      <c r="C80" s="563">
        <v>17182.103787460928</v>
      </c>
      <c r="D80" s="564"/>
      <c r="E80" s="565">
        <v>1780.5391633741565</v>
      </c>
      <c r="F80" s="566"/>
      <c r="G80" s="567">
        <v>3676.8034584576671</v>
      </c>
      <c r="H80" s="568">
        <v>261.73925701600103</v>
      </c>
      <c r="I80" s="9"/>
      <c r="J80" s="569">
        <v>540.49010839327707</v>
      </c>
      <c r="K80" s="418"/>
      <c r="L80" s="568">
        <v>474533.27297000989</v>
      </c>
      <c r="M80" s="711">
        <v>979908.56651701138</v>
      </c>
      <c r="P80" s="503">
        <v>819.94538012249723</v>
      </c>
      <c r="Q80" s="21">
        <v>701.29057426777933</v>
      </c>
      <c r="R80" s="21">
        <v>769.95710156331165</v>
      </c>
      <c r="S80" s="21">
        <v>733.29098715180078</v>
      </c>
      <c r="T80" s="683">
        <v>540.49010839327707</v>
      </c>
      <c r="U80" s="222"/>
      <c r="V80" s="222"/>
      <c r="W80" s="222"/>
      <c r="X80" s="711"/>
      <c r="Y80" s="6"/>
      <c r="Z80" s="9"/>
      <c r="AA80" s="9"/>
    </row>
    <row r="81" spans="2:29" ht="16.5" thickBot="1" x14ac:dyDescent="0.3">
      <c r="B81" s="562" t="s">
        <v>20</v>
      </c>
      <c r="C81" s="563">
        <v>19568.634389671362</v>
      </c>
      <c r="D81" s="564"/>
      <c r="E81" s="565">
        <v>-605.99143883627767</v>
      </c>
      <c r="F81" s="566"/>
      <c r="G81" s="567">
        <v>1290.272856247233</v>
      </c>
      <c r="H81" s="568">
        <v>0</v>
      </c>
      <c r="I81" s="9"/>
      <c r="J81" s="569">
        <v>197.87624523407567</v>
      </c>
      <c r="K81" s="418"/>
      <c r="L81" s="568">
        <v>0</v>
      </c>
      <c r="M81" s="711">
        <v>19787.624523407569</v>
      </c>
      <c r="P81" s="503">
        <v>566.70136460261506</v>
      </c>
      <c r="Q81" s="21">
        <v>368.82810194446955</v>
      </c>
      <c r="R81" s="21">
        <v>353.49386740878316</v>
      </c>
      <c r="S81" s="21">
        <v>380.39426959110273</v>
      </c>
      <c r="T81" s="683">
        <v>197.87624523407567</v>
      </c>
      <c r="U81" s="222"/>
      <c r="V81" s="222"/>
      <c r="W81" s="222"/>
      <c r="X81" s="711"/>
      <c r="Y81" s="6"/>
      <c r="Z81" s="9"/>
      <c r="AA81" s="9"/>
    </row>
    <row r="82" spans="2:29" ht="16.5" thickBot="1" x14ac:dyDescent="0.3">
      <c r="B82" s="562" t="s">
        <v>21</v>
      </c>
      <c r="C82" s="563">
        <v>16042.76612053272</v>
      </c>
      <c r="D82" s="564"/>
      <c r="E82" s="565">
        <v>2919.8768303023644</v>
      </c>
      <c r="F82" s="566"/>
      <c r="G82" s="567">
        <v>4816.1411253858751</v>
      </c>
      <c r="H82" s="568">
        <v>447.79231069517061</v>
      </c>
      <c r="I82" s="9"/>
      <c r="J82" s="569">
        <v>738.60340298917788</v>
      </c>
      <c r="K82" s="418"/>
      <c r="L82" s="568">
        <v>460778.28770533059</v>
      </c>
      <c r="M82" s="711">
        <v>760022.90167586401</v>
      </c>
      <c r="P82" s="503">
        <v>920.68948472168336</v>
      </c>
      <c r="Q82" s="21">
        <v>859.52438735431554</v>
      </c>
      <c r="R82" s="21">
        <v>928.52101346002814</v>
      </c>
      <c r="S82" s="21">
        <v>887.9868118676053</v>
      </c>
      <c r="T82" s="683">
        <v>738.60340298917788</v>
      </c>
      <c r="U82" s="222"/>
      <c r="V82" s="222"/>
      <c r="W82" s="222"/>
      <c r="X82" s="711"/>
      <c r="Y82" s="6"/>
      <c r="Z82" s="9"/>
      <c r="AA82" s="9"/>
    </row>
    <row r="83" spans="2:29" ht="16.5" thickBot="1" x14ac:dyDescent="0.3">
      <c r="B83" s="562" t="s">
        <v>22</v>
      </c>
      <c r="C83" s="563">
        <v>13409.932477854038</v>
      </c>
      <c r="D83" s="564"/>
      <c r="E83" s="565">
        <v>5552.7104729810471</v>
      </c>
      <c r="F83" s="566"/>
      <c r="G83" s="567">
        <v>7448.9747680645578</v>
      </c>
      <c r="H83" s="568">
        <v>851.56367813637337</v>
      </c>
      <c r="I83" s="9"/>
      <c r="J83" s="569">
        <v>1142.3747704303807</v>
      </c>
      <c r="K83" s="418"/>
      <c r="L83" s="568">
        <v>368727.07263304968</v>
      </c>
      <c r="M83" s="711">
        <v>494648.27559635486</v>
      </c>
      <c r="P83" s="503">
        <v>1253.4736935404362</v>
      </c>
      <c r="Q83" s="21">
        <v>1246.7512549007663</v>
      </c>
      <c r="R83" s="21">
        <v>1326.2646905729323</v>
      </c>
      <c r="S83" s="21">
        <v>1291.8159768199168</v>
      </c>
      <c r="T83" s="683">
        <v>1142.3747704303807</v>
      </c>
      <c r="U83" s="6"/>
      <c r="V83" s="6"/>
      <c r="W83" s="6"/>
      <c r="X83" s="714"/>
      <c r="Y83" s="6"/>
      <c r="Z83" s="9"/>
      <c r="AA83" s="9"/>
    </row>
    <row r="84" spans="2:29" ht="16.5" thickBot="1" x14ac:dyDescent="0.3">
      <c r="B84" s="562" t="s">
        <v>23</v>
      </c>
      <c r="C84" s="563">
        <v>21982.256185228638</v>
      </c>
      <c r="D84" s="564"/>
      <c r="E84" s="565">
        <v>-3019.6132343935533</v>
      </c>
      <c r="F84" s="566"/>
      <c r="G84" s="567">
        <v>-1123.3489393100426</v>
      </c>
      <c r="H84" s="568">
        <v>0</v>
      </c>
      <c r="I84" s="9"/>
      <c r="J84" s="569">
        <v>0</v>
      </c>
      <c r="K84" s="418"/>
      <c r="L84" s="568">
        <v>0</v>
      </c>
      <c r="M84" s="711">
        <v>0</v>
      </c>
      <c r="P84" s="508">
        <v>0</v>
      </c>
      <c r="Q84" s="509">
        <v>0</v>
      </c>
      <c r="R84" s="509">
        <v>0</v>
      </c>
      <c r="S84" s="509">
        <v>0</v>
      </c>
      <c r="T84" s="684">
        <v>0</v>
      </c>
    </row>
    <row r="85" spans="2:29" ht="16.5" thickBot="1" x14ac:dyDescent="0.3">
      <c r="B85" s="493" t="s">
        <v>247</v>
      </c>
      <c r="C85" s="563">
        <v>18962.642950835085</v>
      </c>
      <c r="D85" s="574"/>
      <c r="E85" s="565">
        <v>0</v>
      </c>
      <c r="F85" s="576"/>
      <c r="G85" s="577">
        <v>1896.2642950835107</v>
      </c>
      <c r="H85" s="435"/>
      <c r="I85" s="494"/>
      <c r="J85" s="494"/>
      <c r="K85" s="420"/>
      <c r="L85" s="539">
        <v>5226544.7754684966</v>
      </c>
      <c r="M85" s="714">
        <v>10183279.626666224</v>
      </c>
      <c r="X85" s="6"/>
      <c r="Y85" s="6"/>
      <c r="Z85" s="6"/>
      <c r="AA85" s="6"/>
      <c r="AB85" s="6"/>
      <c r="AC85" s="9"/>
    </row>
    <row r="86" spans="2:29" ht="15.75" x14ac:dyDescent="0.25">
      <c r="X86" s="6"/>
      <c r="Y86" s="6"/>
      <c r="Z86" s="6"/>
      <c r="AA86" s="6"/>
      <c r="AB86" s="6"/>
      <c r="AC86" s="9"/>
    </row>
    <row r="87" spans="2:29" ht="15.75" x14ac:dyDescent="0.25">
      <c r="X87" s="222"/>
      <c r="Y87" s="222"/>
      <c r="Z87" s="222"/>
      <c r="AA87" s="222"/>
      <c r="AB87" s="6"/>
      <c r="AC87" s="9"/>
    </row>
    <row r="88" spans="2:29" ht="15.75" x14ac:dyDescent="0.25">
      <c r="X88" s="222"/>
      <c r="Y88" s="222"/>
      <c r="Z88" s="222"/>
      <c r="AA88" s="222"/>
      <c r="AB88" s="6"/>
      <c r="AC88" s="9"/>
    </row>
    <row r="89" spans="2:29" ht="15.75" x14ac:dyDescent="0.25">
      <c r="X89" s="222"/>
      <c r="Y89" s="222"/>
      <c r="Z89" s="222"/>
      <c r="AA89" s="222"/>
      <c r="AB89" s="6"/>
      <c r="AC89" s="9"/>
    </row>
    <row r="90" spans="2:29" s="716" customFormat="1" ht="15.75" x14ac:dyDescent="0.25">
      <c r="C90" s="716" t="s">
        <v>366</v>
      </c>
      <c r="X90" s="717"/>
      <c r="Y90" s="717"/>
      <c r="Z90" s="717"/>
      <c r="AA90" s="717"/>
      <c r="AB90" s="718"/>
      <c r="AC90" s="719"/>
    </row>
    <row r="91" spans="2:29" ht="15.75" x14ac:dyDescent="0.25">
      <c r="X91" s="222"/>
      <c r="Y91" s="222"/>
      <c r="Z91" s="222"/>
      <c r="AA91" s="222"/>
      <c r="AB91" s="6"/>
      <c r="AC91" s="9"/>
    </row>
    <row r="92" spans="2:29" ht="15.75" x14ac:dyDescent="0.25">
      <c r="X92" s="222"/>
      <c r="Y92" s="222"/>
      <c r="Z92" s="222"/>
      <c r="AA92" s="222"/>
      <c r="AB92" s="6"/>
      <c r="AC92" s="9"/>
    </row>
    <row r="93" spans="2:29" ht="15.75" x14ac:dyDescent="0.25">
      <c r="F93" s="1">
        <f>518*1600*O96</f>
        <v>140896</v>
      </c>
      <c r="X93" s="222"/>
      <c r="Y93" s="222"/>
      <c r="Z93" s="222"/>
      <c r="AA93" s="222"/>
      <c r="AB93" s="6"/>
      <c r="AC93" s="9"/>
    </row>
    <row r="94" spans="2:29" ht="16.5" thickBot="1" x14ac:dyDescent="0.3">
      <c r="C94" s="34" t="s">
        <v>367</v>
      </c>
      <c r="D94" s="34" t="s">
        <v>368</v>
      </c>
      <c r="E94" s="1" t="s">
        <v>369</v>
      </c>
      <c r="F94" s="1" t="s">
        <v>370</v>
      </c>
      <c r="X94" s="222"/>
      <c r="Y94" s="222"/>
      <c r="Z94" s="222"/>
      <c r="AA94" s="222"/>
      <c r="AB94" s="6"/>
      <c r="AC94" s="9"/>
    </row>
    <row r="95" spans="2:29" ht="16.5" thickBot="1" x14ac:dyDescent="0.3">
      <c r="B95" s="493" t="s">
        <v>243</v>
      </c>
      <c r="C95" s="720" t="s">
        <v>371</v>
      </c>
      <c r="D95" s="721" t="s">
        <v>372</v>
      </c>
      <c r="E95" s="495" t="s">
        <v>373</v>
      </c>
      <c r="F95" s="496" t="s">
        <v>374</v>
      </c>
      <c r="H95" s="493" t="s">
        <v>245</v>
      </c>
      <c r="I95" s="494" t="s">
        <v>375</v>
      </c>
      <c r="J95" s="494"/>
      <c r="K95" s="495"/>
      <c r="L95" s="496" t="s">
        <v>244</v>
      </c>
      <c r="N95" s="493" t="s">
        <v>246</v>
      </c>
      <c r="O95" s="493">
        <v>2011</v>
      </c>
      <c r="P95" s="494">
        <v>2010</v>
      </c>
      <c r="Q95" s="495">
        <v>2009</v>
      </c>
      <c r="R95" s="496" t="s">
        <v>244</v>
      </c>
      <c r="T95" s="435" t="s">
        <v>376</v>
      </c>
      <c r="U95" s="435" t="s">
        <v>377</v>
      </c>
      <c r="X95" s="222"/>
      <c r="Y95" s="222"/>
      <c r="Z95" s="222"/>
      <c r="AA95" s="222"/>
      <c r="AB95" s="6"/>
      <c r="AC95" s="9"/>
    </row>
    <row r="96" spans="2:29" ht="15.75" x14ac:dyDescent="0.25">
      <c r="B96" s="496" t="s">
        <v>8</v>
      </c>
      <c r="C96" s="722">
        <v>12071000</v>
      </c>
      <c r="D96" s="723">
        <v>7479967.9104477596</v>
      </c>
      <c r="E96" s="525">
        <v>7894417.9104477614</v>
      </c>
      <c r="F96" s="526">
        <v>7957000</v>
      </c>
      <c r="H96" s="496" t="s">
        <v>8</v>
      </c>
      <c r="I96" s="497">
        <v>385.24590163934425</v>
      </c>
      <c r="J96" s="498">
        <v>112.44979919678714</v>
      </c>
      <c r="K96" s="498">
        <v>137.06563706563708</v>
      </c>
      <c r="L96" s="526">
        <f>AVERAGE(I96:K96)</f>
        <v>211.58711263392283</v>
      </c>
      <c r="N96" s="496" t="s">
        <v>8</v>
      </c>
      <c r="O96" s="527">
        <v>0.17</v>
      </c>
      <c r="P96" s="528">
        <v>0.17</v>
      </c>
      <c r="Q96" s="529">
        <v>0.17</v>
      </c>
      <c r="R96" s="530">
        <f>AVERAGE(O96:Q96)</f>
        <v>0.17</v>
      </c>
      <c r="T96" s="496"/>
      <c r="U96" s="5">
        <v>475</v>
      </c>
      <c r="X96" s="222"/>
      <c r="Y96" s="222"/>
      <c r="Z96" s="222"/>
      <c r="AA96" s="222"/>
      <c r="AB96" s="6"/>
      <c r="AC96" s="9"/>
    </row>
    <row r="97" spans="2:29" ht="15.75" x14ac:dyDescent="0.25">
      <c r="B97" s="52" t="s">
        <v>9</v>
      </c>
      <c r="C97" s="724">
        <v>21606000</v>
      </c>
      <c r="D97" s="725">
        <v>13019894.444444446</v>
      </c>
      <c r="E97" s="531">
        <v>13301444.444444446</v>
      </c>
      <c r="F97" s="532">
        <v>13854000</v>
      </c>
      <c r="H97" s="52" t="s">
        <v>9</v>
      </c>
      <c r="I97" s="502">
        <v>471.898197242842</v>
      </c>
      <c r="J97" s="36">
        <v>97.402597402597408</v>
      </c>
      <c r="K97" s="36">
        <v>174.8099891422367</v>
      </c>
      <c r="L97" s="532">
        <f t="shared" ref="L97:L112" si="5">AVERAGE(I97:K97)</f>
        <v>248.03692792922539</v>
      </c>
      <c r="N97" s="52" t="s">
        <v>9</v>
      </c>
      <c r="O97" s="533">
        <v>0.18</v>
      </c>
      <c r="P97" s="534">
        <v>0.1825</v>
      </c>
      <c r="Q97" s="535">
        <v>0.1825</v>
      </c>
      <c r="R97" s="536">
        <f t="shared" ref="R97:R112" si="6">AVERAGE(O97:Q97)</f>
        <v>0.18166666666666664</v>
      </c>
      <c r="T97" s="52"/>
      <c r="U97" s="5">
        <v>947</v>
      </c>
      <c r="X97" s="222"/>
      <c r="Y97" s="222"/>
      <c r="Z97" s="222"/>
      <c r="AA97" s="222"/>
      <c r="AB97" s="6"/>
      <c r="AC97" s="9"/>
    </row>
    <row r="98" spans="2:29" ht="15.75" x14ac:dyDescent="0.25">
      <c r="B98" s="52" t="s">
        <v>10</v>
      </c>
      <c r="C98" s="724">
        <v>58808000</v>
      </c>
      <c r="D98" s="725">
        <v>38655934.615384616</v>
      </c>
      <c r="E98" s="531">
        <v>39981384.615384623</v>
      </c>
      <c r="F98" s="532">
        <v>41014000</v>
      </c>
      <c r="H98" s="52" t="s">
        <v>10</v>
      </c>
      <c r="I98" s="502">
        <v>141.08713029576339</v>
      </c>
      <c r="J98" s="36">
        <v>31.777956556717619</v>
      </c>
      <c r="K98" s="36">
        <v>74.506645187273463</v>
      </c>
      <c r="L98" s="532">
        <f t="shared" si="5"/>
        <v>82.457244013251497</v>
      </c>
      <c r="N98" s="52" t="s">
        <v>10</v>
      </c>
      <c r="O98" s="533">
        <v>0.19500000000000001</v>
      </c>
      <c r="P98" s="534">
        <v>0.19500000000000001</v>
      </c>
      <c r="Q98" s="535">
        <v>0.19500000000000001</v>
      </c>
      <c r="R98" s="536">
        <f t="shared" si="6"/>
        <v>0.19499999999999998</v>
      </c>
      <c r="T98" s="52"/>
      <c r="U98" s="5">
        <v>2520</v>
      </c>
      <c r="X98" s="222"/>
      <c r="Y98" s="222"/>
      <c r="Z98" s="222"/>
      <c r="AA98" s="222"/>
      <c r="AB98" s="6"/>
      <c r="AC98" s="9"/>
    </row>
    <row r="99" spans="2:29" ht="15.75" x14ac:dyDescent="0.25">
      <c r="B99" s="52" t="s">
        <v>11</v>
      </c>
      <c r="C99" s="724">
        <v>13169000</v>
      </c>
      <c r="D99" s="725">
        <v>8345549.2753623184</v>
      </c>
      <c r="E99" s="531">
        <v>8715449.2753623184</v>
      </c>
      <c r="F99" s="532">
        <v>8870000</v>
      </c>
      <c r="H99" s="52" t="s">
        <v>11</v>
      </c>
      <c r="I99" s="502">
        <v>494.82758620689657</v>
      </c>
      <c r="J99" s="36">
        <v>149.7326203208556</v>
      </c>
      <c r="K99" s="36">
        <v>329.86111111111109</v>
      </c>
      <c r="L99" s="532">
        <f t="shared" si="5"/>
        <v>324.80710587962108</v>
      </c>
      <c r="N99" s="52" t="s">
        <v>11</v>
      </c>
      <c r="O99" s="533">
        <v>0.17249999999999999</v>
      </c>
      <c r="P99" s="534">
        <v>0.17</v>
      </c>
      <c r="Q99" s="535">
        <v>0.17</v>
      </c>
      <c r="R99" s="536">
        <f t="shared" si="6"/>
        <v>0.17083333333333336</v>
      </c>
      <c r="T99" s="52"/>
      <c r="U99" s="5">
        <v>572</v>
      </c>
      <c r="X99" s="222"/>
      <c r="Y99" s="222"/>
      <c r="Z99" s="222"/>
      <c r="AA99" s="222"/>
      <c r="AB99" s="6"/>
      <c r="AC99" s="9"/>
    </row>
    <row r="100" spans="2:29" ht="15.75" x14ac:dyDescent="0.25">
      <c r="B100" s="52" t="s">
        <v>12</v>
      </c>
      <c r="C100" s="724">
        <v>9816000</v>
      </c>
      <c r="D100" s="725">
        <v>5395807.1428571418</v>
      </c>
      <c r="E100" s="531">
        <v>5430857.1428571427</v>
      </c>
      <c r="F100" s="532">
        <v>5761000</v>
      </c>
      <c r="H100" s="52" t="s">
        <v>12</v>
      </c>
      <c r="I100" s="502">
        <v>27.368421052631579</v>
      </c>
      <c r="J100" s="36">
        <v>8.7527352297592991</v>
      </c>
      <c r="K100" s="36">
        <v>8.7719298245614024</v>
      </c>
      <c r="L100" s="532">
        <f t="shared" si="5"/>
        <v>14.96436203565076</v>
      </c>
      <c r="N100" s="52" t="s">
        <v>12</v>
      </c>
      <c r="O100" s="533">
        <v>0.17749999999999999</v>
      </c>
      <c r="P100" s="534">
        <v>0.185</v>
      </c>
      <c r="Q100" s="535">
        <v>0.185</v>
      </c>
      <c r="R100" s="536">
        <f t="shared" si="6"/>
        <v>0.1825</v>
      </c>
      <c r="T100" s="52"/>
      <c r="U100" s="5">
        <v>500</v>
      </c>
      <c r="X100" s="222"/>
      <c r="Y100" s="222"/>
      <c r="Z100" s="222"/>
      <c r="AA100" s="222"/>
      <c r="AB100" s="6"/>
      <c r="AC100" s="9"/>
    </row>
    <row r="101" spans="2:29" ht="15.75" x14ac:dyDescent="0.25">
      <c r="B101" s="52" t="s">
        <v>13</v>
      </c>
      <c r="C101" s="724">
        <v>35354000</v>
      </c>
      <c r="D101" s="725">
        <v>21830898.484848484</v>
      </c>
      <c r="E101" s="531">
        <v>22474848.484848488</v>
      </c>
      <c r="F101" s="532">
        <v>23225000</v>
      </c>
      <c r="H101" s="52" t="s">
        <v>13</v>
      </c>
      <c r="I101" s="502">
        <v>112.06896551724138</v>
      </c>
      <c r="J101" s="36">
        <v>20.505809979494192</v>
      </c>
      <c r="K101" s="36">
        <v>34.722222222222221</v>
      </c>
      <c r="L101" s="532">
        <f t="shared" si="5"/>
        <v>55.765665906319271</v>
      </c>
      <c r="N101" s="52" t="s">
        <v>13</v>
      </c>
      <c r="O101" s="533">
        <v>0.16500000000000001</v>
      </c>
      <c r="P101" s="534">
        <v>0.16500000000000001</v>
      </c>
      <c r="Q101" s="535">
        <v>0.16500000000000001</v>
      </c>
      <c r="R101" s="536">
        <f t="shared" si="6"/>
        <v>0.16500000000000001</v>
      </c>
      <c r="T101" s="52"/>
      <c r="U101" s="5">
        <v>1540</v>
      </c>
      <c r="X101" s="222"/>
      <c r="Y101" s="222"/>
      <c r="Z101" s="222"/>
      <c r="AA101" s="222"/>
      <c r="AB101" s="6"/>
      <c r="AC101" s="9"/>
    </row>
    <row r="102" spans="2:29" ht="15.75" x14ac:dyDescent="0.25">
      <c r="B102" s="52" t="s">
        <v>14</v>
      </c>
      <c r="C102" s="724">
        <v>108419000</v>
      </c>
      <c r="D102" s="725">
        <v>75376767.6470588</v>
      </c>
      <c r="E102" s="531">
        <v>79343117.64705883</v>
      </c>
      <c r="F102" s="532">
        <v>79861000</v>
      </c>
      <c r="H102" s="52" t="s">
        <v>14</v>
      </c>
      <c r="I102" s="502">
        <v>250.85407515861397</v>
      </c>
      <c r="J102" s="36">
        <v>126.80258577821979</v>
      </c>
      <c r="K102" s="36">
        <v>136.3288230788869</v>
      </c>
      <c r="L102" s="532">
        <f t="shared" si="5"/>
        <v>171.3284946719069</v>
      </c>
      <c r="N102" s="52" t="s">
        <v>14</v>
      </c>
      <c r="O102" s="533">
        <v>0.17</v>
      </c>
      <c r="P102" s="534">
        <v>0.17</v>
      </c>
      <c r="Q102" s="535">
        <v>0.17</v>
      </c>
      <c r="R102" s="536">
        <f t="shared" si="6"/>
        <v>0.17</v>
      </c>
      <c r="T102" s="52"/>
      <c r="U102" s="5">
        <v>4424</v>
      </c>
      <c r="X102" s="222"/>
      <c r="Y102" s="222"/>
      <c r="Z102" s="222"/>
      <c r="AA102" s="222"/>
      <c r="AB102" s="6"/>
      <c r="AC102" s="9"/>
    </row>
    <row r="103" spans="2:29" ht="15.75" x14ac:dyDescent="0.25">
      <c r="B103" s="52" t="s">
        <v>15</v>
      </c>
      <c r="C103" s="724">
        <v>8486000</v>
      </c>
      <c r="D103" s="725">
        <v>5112021.6216216218</v>
      </c>
      <c r="E103" s="531">
        <v>5425621.6216216218</v>
      </c>
      <c r="F103" s="532">
        <v>5442000</v>
      </c>
      <c r="H103" s="52" t="s">
        <v>15</v>
      </c>
      <c r="I103" s="502">
        <v>87.912087912087912</v>
      </c>
      <c r="J103" s="36">
        <v>32.258064516129032</v>
      </c>
      <c r="K103" s="36">
        <v>75</v>
      </c>
      <c r="L103" s="532">
        <f t="shared" si="5"/>
        <v>65.056717476072308</v>
      </c>
      <c r="N103" s="52" t="s">
        <v>15</v>
      </c>
      <c r="O103" s="533">
        <v>0.185</v>
      </c>
      <c r="P103" s="534">
        <v>0.185</v>
      </c>
      <c r="Q103" s="535">
        <v>0.185</v>
      </c>
      <c r="R103" s="536">
        <f t="shared" si="6"/>
        <v>0.18499999999999997</v>
      </c>
      <c r="T103" s="52"/>
      <c r="U103" s="5">
        <v>330</v>
      </c>
      <c r="X103" s="6"/>
      <c r="Y103" s="6"/>
      <c r="Z103" s="6"/>
      <c r="AA103" s="6"/>
      <c r="AB103" s="6"/>
      <c r="AC103" s="9"/>
    </row>
    <row r="104" spans="2:29" ht="15.75" x14ac:dyDescent="0.25">
      <c r="B104" s="52" t="s">
        <v>16</v>
      </c>
      <c r="C104" s="724">
        <v>5870000</v>
      </c>
      <c r="D104" s="725">
        <v>3386294.871794872</v>
      </c>
      <c r="E104" s="531">
        <v>3604794.8717948711</v>
      </c>
      <c r="F104" s="532">
        <v>3619000</v>
      </c>
      <c r="H104" s="52" t="s">
        <v>16</v>
      </c>
      <c r="I104" s="502">
        <v>61.776061776061781</v>
      </c>
      <c r="J104" s="36">
        <v>19.157088122605362</v>
      </c>
      <c r="K104" s="36">
        <v>22.900763358778626</v>
      </c>
      <c r="L104" s="532">
        <f t="shared" si="5"/>
        <v>34.611304419148588</v>
      </c>
      <c r="N104" s="52" t="s">
        <v>16</v>
      </c>
      <c r="O104" s="533">
        <v>0.185</v>
      </c>
      <c r="P104" s="534">
        <v>0.185</v>
      </c>
      <c r="Q104" s="535">
        <v>0.185</v>
      </c>
      <c r="R104" s="536">
        <f t="shared" si="6"/>
        <v>0.18499999999999997</v>
      </c>
      <c r="T104" s="52"/>
      <c r="U104" s="5">
        <v>251</v>
      </c>
    </row>
    <row r="105" spans="2:29" ht="15.75" x14ac:dyDescent="0.25">
      <c r="B105" s="52" t="s">
        <v>17</v>
      </c>
      <c r="C105" s="724">
        <v>47388000</v>
      </c>
      <c r="D105" s="725">
        <v>32093130.769230772</v>
      </c>
      <c r="E105" s="531">
        <v>33314230.769230764</v>
      </c>
      <c r="F105" s="532">
        <v>34037000</v>
      </c>
      <c r="H105" s="52" t="s">
        <v>17</v>
      </c>
      <c r="I105" s="502">
        <v>60.639470782800444</v>
      </c>
      <c r="J105" s="36">
        <v>24.691358024691358</v>
      </c>
      <c r="K105" s="36">
        <v>37.016264722378011</v>
      </c>
      <c r="L105" s="532">
        <f t="shared" si="5"/>
        <v>40.782364509956601</v>
      </c>
      <c r="N105" s="52" t="s">
        <v>17</v>
      </c>
      <c r="O105" s="533">
        <v>0.16500000000000001</v>
      </c>
      <c r="P105" s="534">
        <v>0.16500000000000001</v>
      </c>
      <c r="Q105" s="535">
        <v>0.16500000000000001</v>
      </c>
      <c r="R105" s="536">
        <f t="shared" si="6"/>
        <v>0.16500000000000001</v>
      </c>
      <c r="T105" s="52"/>
      <c r="U105" s="5">
        <v>1926</v>
      </c>
    </row>
    <row r="106" spans="2:29" ht="15.75" x14ac:dyDescent="0.25">
      <c r="B106" s="52" t="s">
        <v>18</v>
      </c>
      <c r="C106" s="724">
        <v>10069000</v>
      </c>
      <c r="D106" s="725">
        <v>6504225.6756756762</v>
      </c>
      <c r="E106" s="531">
        <v>6659675.6756756762</v>
      </c>
      <c r="F106" s="532">
        <v>6907000</v>
      </c>
      <c r="H106" s="52" t="s">
        <v>18</v>
      </c>
      <c r="I106" s="502">
        <v>269.03553299492381</v>
      </c>
      <c r="J106" s="36">
        <v>58.823529411764703</v>
      </c>
      <c r="K106" s="36">
        <v>100.77519379844961</v>
      </c>
      <c r="L106" s="532">
        <f t="shared" si="5"/>
        <v>142.8780854017127</v>
      </c>
      <c r="N106" s="52" t="s">
        <v>18</v>
      </c>
      <c r="O106" s="533">
        <v>0.185</v>
      </c>
      <c r="P106" s="534">
        <v>0.185</v>
      </c>
      <c r="Q106" s="535">
        <v>0.185</v>
      </c>
      <c r="R106" s="536">
        <f t="shared" si="6"/>
        <v>0.18499999999999997</v>
      </c>
      <c r="T106" s="52"/>
      <c r="U106" s="5">
        <v>413</v>
      </c>
    </row>
    <row r="107" spans="2:29" ht="15.75" x14ac:dyDescent="0.25">
      <c r="B107" s="52" t="s">
        <v>19</v>
      </c>
      <c r="C107" s="724">
        <v>42206000</v>
      </c>
      <c r="D107" s="725">
        <v>26959884.615384612</v>
      </c>
      <c r="E107" s="531">
        <v>27716384.615384616</v>
      </c>
      <c r="F107" s="532">
        <v>28627000</v>
      </c>
      <c r="H107" s="52" t="s">
        <v>19</v>
      </c>
      <c r="I107" s="502">
        <v>340.7325194228635</v>
      </c>
      <c r="J107" s="36">
        <v>151.05970982142858</v>
      </c>
      <c r="K107" s="36">
        <v>154.02167712492871</v>
      </c>
      <c r="L107" s="532">
        <f t="shared" si="5"/>
        <v>215.27130212307361</v>
      </c>
      <c r="N107" s="52" t="s">
        <v>19</v>
      </c>
      <c r="O107" s="533">
        <v>0.16250000000000001</v>
      </c>
      <c r="P107" s="534">
        <v>0.16250000000000001</v>
      </c>
      <c r="Q107" s="535">
        <v>0.16500000000000001</v>
      </c>
      <c r="R107" s="536">
        <f t="shared" si="6"/>
        <v>0.16333333333333333</v>
      </c>
      <c r="T107" s="52"/>
      <c r="U107" s="5">
        <v>1813</v>
      </c>
    </row>
    <row r="108" spans="2:29" ht="15.75" x14ac:dyDescent="0.25">
      <c r="B108" s="52" t="s">
        <v>20</v>
      </c>
      <c r="C108" s="724">
        <v>2608000</v>
      </c>
      <c r="D108" s="725">
        <v>1818722.2222222222</v>
      </c>
      <c r="E108" s="531">
        <v>1915222.2222222222</v>
      </c>
      <c r="F108" s="532">
        <v>1924000</v>
      </c>
      <c r="H108" s="52" t="s">
        <v>20</v>
      </c>
      <c r="I108" s="502">
        <v>50.420168067226889</v>
      </c>
      <c r="J108" s="36">
        <v>8</v>
      </c>
      <c r="K108" s="36">
        <v>0</v>
      </c>
      <c r="L108" s="532">
        <f t="shared" si="5"/>
        <v>19.473389355742295</v>
      </c>
      <c r="N108" s="52" t="s">
        <v>20</v>
      </c>
      <c r="O108" s="533">
        <v>0.18</v>
      </c>
      <c r="P108" s="534">
        <v>0.17499999999999999</v>
      </c>
      <c r="Q108" s="535">
        <v>0.17499999999999999</v>
      </c>
      <c r="R108" s="536">
        <f t="shared" si="6"/>
        <v>0.17666666666666667</v>
      </c>
      <c r="T108" s="52"/>
      <c r="U108" s="5">
        <v>100</v>
      </c>
    </row>
    <row r="109" spans="2:29" ht="15.75" x14ac:dyDescent="0.25">
      <c r="B109" s="52" t="s">
        <v>21</v>
      </c>
      <c r="C109" s="724">
        <v>24506000</v>
      </c>
      <c r="D109" s="725">
        <v>15467060.526315788</v>
      </c>
      <c r="E109" s="531">
        <v>15894210.526315792</v>
      </c>
      <c r="F109" s="532">
        <v>16437000</v>
      </c>
      <c r="H109" s="52" t="s">
        <v>21</v>
      </c>
      <c r="I109" s="502">
        <v>22.571148184494604</v>
      </c>
      <c r="J109" s="36">
        <v>3.8759689922480618</v>
      </c>
      <c r="K109" s="36">
        <v>9.6993210475266736</v>
      </c>
      <c r="L109" s="532">
        <f t="shared" si="5"/>
        <v>12.048812741423113</v>
      </c>
      <c r="N109" s="52" t="s">
        <v>21</v>
      </c>
      <c r="O109" s="533">
        <v>0.185</v>
      </c>
      <c r="P109" s="534">
        <v>0.185</v>
      </c>
      <c r="Q109" s="535">
        <v>0.185</v>
      </c>
      <c r="R109" s="536">
        <f t="shared" si="6"/>
        <v>0.18499999999999997</v>
      </c>
      <c r="T109" s="52"/>
      <c r="U109" s="5">
        <v>1029</v>
      </c>
    </row>
    <row r="110" spans="2:29" ht="16.5" thickBot="1" x14ac:dyDescent="0.3">
      <c r="B110" s="52" t="s">
        <v>22</v>
      </c>
      <c r="C110" s="724">
        <v>9373000</v>
      </c>
      <c r="D110" s="725">
        <v>5415727.7777777771</v>
      </c>
      <c r="E110" s="531">
        <v>5565777.7777777771</v>
      </c>
      <c r="F110" s="532">
        <v>5777000</v>
      </c>
      <c r="H110" s="52" t="s">
        <v>22</v>
      </c>
      <c r="I110" s="502">
        <v>22.123893805309734</v>
      </c>
      <c r="J110" s="36">
        <v>2.2471910112359552</v>
      </c>
      <c r="K110" s="36">
        <v>11.135857461024498</v>
      </c>
      <c r="L110" s="532">
        <f t="shared" si="5"/>
        <v>11.835647425856729</v>
      </c>
      <c r="N110" s="52" t="s">
        <v>22</v>
      </c>
      <c r="O110" s="533">
        <v>0.17499999999999999</v>
      </c>
      <c r="P110" s="534">
        <v>0.17499999999999999</v>
      </c>
      <c r="Q110" s="535">
        <v>0.17499999999999999</v>
      </c>
      <c r="R110" s="536">
        <f t="shared" si="6"/>
        <v>0.17499999999999996</v>
      </c>
      <c r="T110" s="52"/>
      <c r="U110" s="5">
        <v>433</v>
      </c>
    </row>
    <row r="111" spans="2:29" ht="16.5" thickBot="1" x14ac:dyDescent="0.3">
      <c r="B111" s="504" t="s">
        <v>23</v>
      </c>
      <c r="C111" s="724">
        <v>310662000</v>
      </c>
      <c r="D111" s="725">
        <v>214239319.69696969</v>
      </c>
      <c r="E111" s="531">
        <v>226405969.69696972</v>
      </c>
      <c r="F111" s="537">
        <v>227189000</v>
      </c>
      <c r="H111" s="504" t="s">
        <v>23</v>
      </c>
      <c r="I111" s="502">
        <v>880.42895442359247</v>
      </c>
      <c r="J111" s="36">
        <v>413.73730108783604</v>
      </c>
      <c r="K111" s="36">
        <v>752.47614720581555</v>
      </c>
      <c r="L111" s="537">
        <f t="shared" si="5"/>
        <v>682.21413423908132</v>
      </c>
      <c r="N111" s="504" t="s">
        <v>23</v>
      </c>
      <c r="O111" s="533">
        <v>0.16500000000000001</v>
      </c>
      <c r="P111" s="534">
        <v>0.16500000000000001</v>
      </c>
      <c r="Q111" s="535">
        <v>0.16500000000000001</v>
      </c>
      <c r="R111" s="538">
        <f t="shared" si="6"/>
        <v>0.16500000000000001</v>
      </c>
      <c r="T111" s="435"/>
      <c r="U111" s="5">
        <v>11393</v>
      </c>
    </row>
    <row r="112" spans="2:29" ht="16.5" thickBot="1" x14ac:dyDescent="0.3">
      <c r="B112" s="493" t="s">
        <v>247</v>
      </c>
      <c r="C112" s="726">
        <v>720411000</v>
      </c>
      <c r="D112" s="727">
        <v>481101207.2973966</v>
      </c>
      <c r="E112" s="539">
        <v>503643407.29739666</v>
      </c>
      <c r="F112" s="540">
        <v>510502000</v>
      </c>
      <c r="H112" s="493" t="s">
        <v>247</v>
      </c>
      <c r="I112" s="510">
        <v>473.16742243010674</v>
      </c>
      <c r="J112" s="511">
        <v>209.69564433547271</v>
      </c>
      <c r="K112" s="539">
        <v>360.54050116550115</v>
      </c>
      <c r="L112" s="540">
        <f t="shared" si="5"/>
        <v>347.80118931036014</v>
      </c>
      <c r="N112" s="493" t="s">
        <v>247</v>
      </c>
      <c r="O112" s="541">
        <v>0.17030000000000001</v>
      </c>
      <c r="P112" s="542">
        <v>0.1704</v>
      </c>
      <c r="Q112" s="543">
        <v>0.17050000000000001</v>
      </c>
      <c r="R112" s="538">
        <f t="shared" si="6"/>
        <v>0.1704</v>
      </c>
      <c r="T112" s="435"/>
      <c r="U112" s="35">
        <v>28666</v>
      </c>
    </row>
    <row r="113" spans="2:37" x14ac:dyDescent="0.2">
      <c r="N113" s="9"/>
      <c r="O113" s="9"/>
      <c r="P113" s="9"/>
      <c r="Q113" s="9"/>
      <c r="AK113" s="1" t="s">
        <v>378</v>
      </c>
    </row>
    <row r="114" spans="2:37" x14ac:dyDescent="0.2">
      <c r="N114" s="9"/>
      <c r="O114" s="9"/>
      <c r="P114" s="9"/>
      <c r="Q114" s="9"/>
    </row>
    <row r="115" spans="2:37" x14ac:dyDescent="0.2">
      <c r="C115" s="1" t="s">
        <v>379</v>
      </c>
      <c r="D115" s="1" t="s">
        <v>380</v>
      </c>
      <c r="E115" s="1" t="s">
        <v>381</v>
      </c>
      <c r="F115" s="1" t="s">
        <v>382</v>
      </c>
      <c r="G115" s="1" t="s">
        <v>383</v>
      </c>
      <c r="N115" s="9"/>
      <c r="O115" s="9"/>
      <c r="P115" s="9"/>
      <c r="Q115" s="9"/>
    </row>
    <row r="116" spans="2:37" ht="15.75" thickBot="1" x14ac:dyDescent="0.25">
      <c r="C116" s="34" t="s">
        <v>367</v>
      </c>
      <c r="D116" s="34" t="s">
        <v>368</v>
      </c>
      <c r="E116" s="1" t="s">
        <v>369</v>
      </c>
      <c r="F116" s="1" t="s">
        <v>384</v>
      </c>
      <c r="N116" s="9"/>
      <c r="O116" s="9"/>
      <c r="P116" s="9"/>
      <c r="Q116" s="9"/>
    </row>
    <row r="117" spans="2:37" ht="16.5" thickBot="1" x14ac:dyDescent="0.3">
      <c r="B117" s="493" t="s">
        <v>385</v>
      </c>
      <c r="C117" s="720" t="s">
        <v>371</v>
      </c>
      <c r="D117" s="721" t="s">
        <v>372</v>
      </c>
      <c r="E117" s="495" t="s">
        <v>373</v>
      </c>
      <c r="F117" s="435" t="s">
        <v>374</v>
      </c>
      <c r="H117" s="1" t="s">
        <v>386</v>
      </c>
      <c r="I117" s="1" t="s">
        <v>387</v>
      </c>
      <c r="J117" s="1" t="s">
        <v>388</v>
      </c>
      <c r="N117" s="9"/>
      <c r="O117" s="9"/>
      <c r="P117" s="9"/>
      <c r="Q117" s="9"/>
    </row>
    <row r="118" spans="2:37" ht="15.75" x14ac:dyDescent="0.25">
      <c r="B118" s="592" t="s">
        <v>8</v>
      </c>
      <c r="C118" s="722">
        <f>C96/$U96</f>
        <v>25412.63157894737</v>
      </c>
      <c r="D118" s="723">
        <f>D96/$U96</f>
        <v>15747.300864100547</v>
      </c>
      <c r="E118" s="723">
        <f>E96/$U96</f>
        <v>16619.827179890024</v>
      </c>
      <c r="F118" s="728">
        <f>F96/$U96</f>
        <v>16751.57894736842</v>
      </c>
      <c r="G118" s="22">
        <f>F118+J118</f>
        <v>17690.617617988632</v>
      </c>
      <c r="H118" s="22">
        <v>76005.789999999994</v>
      </c>
      <c r="I118" s="22">
        <f>H118/$R$112</f>
        <v>446043.3685446009</v>
      </c>
      <c r="J118" s="729">
        <f>I118/U96</f>
        <v>939.03867062021243</v>
      </c>
      <c r="L118" s="1">
        <v>116183.19</v>
      </c>
      <c r="M118" s="1">
        <f>L118/500</f>
        <v>232.36637999999999</v>
      </c>
      <c r="N118" s="9"/>
      <c r="O118" s="9"/>
      <c r="P118" s="9"/>
      <c r="Q118" s="9"/>
    </row>
    <row r="119" spans="2:37" ht="15.75" x14ac:dyDescent="0.25">
      <c r="B119" s="562" t="s">
        <v>9</v>
      </c>
      <c r="C119" s="724">
        <f t="shared" ref="C119:F134" si="7">C97/$U97</f>
        <v>22815.205913410769</v>
      </c>
      <c r="D119" s="725">
        <f t="shared" si="7"/>
        <v>13748.568579138802</v>
      </c>
      <c r="E119" s="725">
        <f t="shared" si="7"/>
        <v>14045.875865305645</v>
      </c>
      <c r="F119" s="730">
        <f t="shared" si="7"/>
        <v>14629.355860612461</v>
      </c>
      <c r="G119" s="22">
        <f t="shared" ref="G119:G134" si="8">F119+J119</f>
        <v>14820.620962664407</v>
      </c>
      <c r="H119" s="22">
        <v>30864.22</v>
      </c>
      <c r="I119" s="22">
        <f t="shared" ref="I119:I134" si="9">H119/$R$112</f>
        <v>181128.05164319251</v>
      </c>
      <c r="J119" s="729">
        <f t="shared" ref="J119:J134" si="10">I119/U97</f>
        <v>191.26510205194563</v>
      </c>
      <c r="L119" s="1">
        <v>91779.75</v>
      </c>
      <c r="N119" s="9"/>
      <c r="O119" s="9"/>
      <c r="P119" s="9"/>
      <c r="Q119" s="9"/>
    </row>
    <row r="120" spans="2:37" ht="15.75" x14ac:dyDescent="0.25">
      <c r="B120" s="562" t="s">
        <v>10</v>
      </c>
      <c r="C120" s="724">
        <f t="shared" si="7"/>
        <v>23336.507936507936</v>
      </c>
      <c r="D120" s="725">
        <f t="shared" si="7"/>
        <v>15339.656593406593</v>
      </c>
      <c r="E120" s="725">
        <f t="shared" si="7"/>
        <v>15865.628815628819</v>
      </c>
      <c r="F120" s="730">
        <f t="shared" si="7"/>
        <v>16275.396825396825</v>
      </c>
      <c r="G120" s="22">
        <f t="shared" si="8"/>
        <v>16680.778676689766</v>
      </c>
      <c r="H120" s="22">
        <v>174074.21</v>
      </c>
      <c r="I120" s="22">
        <f t="shared" si="9"/>
        <v>1021562.2652582159</v>
      </c>
      <c r="J120" s="729">
        <f t="shared" si="10"/>
        <v>405.38185129294283</v>
      </c>
      <c r="L120" s="1">
        <v>118430.2</v>
      </c>
      <c r="N120" s="9"/>
      <c r="O120" s="9"/>
      <c r="P120" s="9"/>
      <c r="Q120" s="9"/>
    </row>
    <row r="121" spans="2:37" ht="15.75" x14ac:dyDescent="0.25">
      <c r="B121" s="562" t="s">
        <v>11</v>
      </c>
      <c r="C121" s="724">
        <f t="shared" si="7"/>
        <v>23022.727272727272</v>
      </c>
      <c r="D121" s="725">
        <f t="shared" si="7"/>
        <v>14590.121110773283</v>
      </c>
      <c r="E121" s="725">
        <f t="shared" si="7"/>
        <v>15236.799432451606</v>
      </c>
      <c r="F121" s="730">
        <f t="shared" si="7"/>
        <v>15506.993006993007</v>
      </c>
      <c r="G121" s="22">
        <f t="shared" si="8"/>
        <v>17016.414688597786</v>
      </c>
      <c r="H121" s="22">
        <v>147121.51999999999</v>
      </c>
      <c r="I121" s="22">
        <f t="shared" si="9"/>
        <v>863389.20187793428</v>
      </c>
      <c r="J121" s="729">
        <f t="shared" si="10"/>
        <v>1509.4216816047801</v>
      </c>
      <c r="L121" s="1">
        <v>107773.96</v>
      </c>
      <c r="N121" s="9"/>
      <c r="O121" s="9"/>
      <c r="P121" s="9"/>
      <c r="Q121" s="9"/>
    </row>
    <row r="122" spans="2:37" ht="15.75" x14ac:dyDescent="0.25">
      <c r="B122" s="562" t="s">
        <v>12</v>
      </c>
      <c r="C122" s="724">
        <f t="shared" si="7"/>
        <v>19632</v>
      </c>
      <c r="D122" s="725">
        <f t="shared" si="7"/>
        <v>10791.614285714284</v>
      </c>
      <c r="E122" s="725">
        <f t="shared" si="7"/>
        <v>10861.714285714286</v>
      </c>
      <c r="F122" s="730">
        <f t="shared" si="7"/>
        <v>11522</v>
      </c>
      <c r="G122" s="22">
        <f t="shared" si="8"/>
        <v>11563.415610328639</v>
      </c>
      <c r="H122" s="22">
        <v>3528.61</v>
      </c>
      <c r="I122" s="22">
        <f t="shared" si="9"/>
        <v>20707.805164319248</v>
      </c>
      <c r="J122" s="729">
        <f t="shared" si="10"/>
        <v>41.415610328638493</v>
      </c>
      <c r="L122" s="1">
        <v>5729.07</v>
      </c>
      <c r="N122" s="9"/>
      <c r="O122" s="9"/>
      <c r="P122" s="9"/>
      <c r="Q122" s="9"/>
    </row>
    <row r="123" spans="2:37" ht="15.75" x14ac:dyDescent="0.25">
      <c r="B123" s="562" t="s">
        <v>13</v>
      </c>
      <c r="C123" s="724">
        <f t="shared" si="7"/>
        <v>22957.142857142859</v>
      </c>
      <c r="D123" s="725">
        <f t="shared" si="7"/>
        <v>14175.90810704447</v>
      </c>
      <c r="E123" s="725">
        <f t="shared" si="7"/>
        <v>14594.057457693823</v>
      </c>
      <c r="F123" s="730">
        <f t="shared" si="7"/>
        <v>15081.16883116883</v>
      </c>
      <c r="G123" s="22">
        <f t="shared" si="8"/>
        <v>15384.334110724954</v>
      </c>
      <c r="H123" s="22">
        <v>79555.42</v>
      </c>
      <c r="I123" s="22">
        <f t="shared" si="9"/>
        <v>466874.5305164319</v>
      </c>
      <c r="J123" s="729">
        <f t="shared" si="10"/>
        <v>303.16527955612463</v>
      </c>
      <c r="L123" s="1">
        <v>99653.75</v>
      </c>
      <c r="N123" s="9"/>
      <c r="O123" s="9"/>
      <c r="P123" s="9"/>
      <c r="Q123" s="9"/>
    </row>
    <row r="124" spans="2:37" ht="15.75" x14ac:dyDescent="0.25">
      <c r="B124" s="562" t="s">
        <v>14</v>
      </c>
      <c r="C124" s="724">
        <f t="shared" si="7"/>
        <v>24507.007233273056</v>
      </c>
      <c r="D124" s="725">
        <f t="shared" si="7"/>
        <v>17038.148202318898</v>
      </c>
      <c r="E124" s="725">
        <f t="shared" si="7"/>
        <v>17934.701095628126</v>
      </c>
      <c r="F124" s="730">
        <f t="shared" si="7"/>
        <v>18051.763110307413</v>
      </c>
      <c r="G124" s="22">
        <f t="shared" si="8"/>
        <v>18892.139241036937</v>
      </c>
      <c r="H124" s="22">
        <v>633517.21</v>
      </c>
      <c r="I124" s="22">
        <f t="shared" si="9"/>
        <v>3717824.0023474176</v>
      </c>
      <c r="J124" s="729">
        <f t="shared" si="10"/>
        <v>840.37613072952479</v>
      </c>
      <c r="L124" s="1">
        <v>713716.77</v>
      </c>
      <c r="N124" s="9"/>
      <c r="O124" s="9"/>
      <c r="P124" s="9"/>
      <c r="Q124" s="9"/>
    </row>
    <row r="125" spans="2:37" ht="15.75" x14ac:dyDescent="0.25">
      <c r="B125" s="562" t="s">
        <v>15</v>
      </c>
      <c r="C125" s="724">
        <f t="shared" si="7"/>
        <v>25715.151515151516</v>
      </c>
      <c r="D125" s="725">
        <f t="shared" si="7"/>
        <v>15490.974610974612</v>
      </c>
      <c r="E125" s="725">
        <f t="shared" si="7"/>
        <v>16441.27764127764</v>
      </c>
      <c r="F125" s="730">
        <f t="shared" si="7"/>
        <v>16490.909090909092</v>
      </c>
      <c r="G125" s="22">
        <f t="shared" si="8"/>
        <v>16636.430857874522</v>
      </c>
      <c r="H125" s="22">
        <v>8182.98</v>
      </c>
      <c r="I125" s="22">
        <f t="shared" si="9"/>
        <v>48022.183098591551</v>
      </c>
      <c r="J125" s="729">
        <f t="shared" si="10"/>
        <v>145.52176696542895</v>
      </c>
      <c r="L125" s="1">
        <v>12490.93</v>
      </c>
      <c r="N125" s="9"/>
      <c r="O125" s="9"/>
      <c r="P125" s="9"/>
      <c r="Q125" s="9"/>
    </row>
    <row r="126" spans="2:37" ht="15.75" x14ac:dyDescent="0.25">
      <c r="B126" s="562" t="s">
        <v>16</v>
      </c>
      <c r="C126" s="724">
        <f t="shared" si="7"/>
        <v>23386.454183266931</v>
      </c>
      <c r="D126" s="725">
        <f t="shared" si="7"/>
        <v>13491.214628664829</v>
      </c>
      <c r="E126" s="725">
        <f t="shared" si="7"/>
        <v>14361.732556951678</v>
      </c>
      <c r="F126" s="730">
        <f t="shared" si="7"/>
        <v>14418.326693227091</v>
      </c>
      <c r="G126" s="22">
        <f t="shared" si="8"/>
        <v>14583.332865720216</v>
      </c>
      <c r="H126" s="22">
        <v>7057.38</v>
      </c>
      <c r="I126" s="22">
        <f t="shared" si="9"/>
        <v>41416.549295774646</v>
      </c>
      <c r="J126" s="729">
        <f t="shared" si="10"/>
        <v>165.00617249312609</v>
      </c>
      <c r="L126" s="1">
        <v>9115.4500000000007</v>
      </c>
      <c r="N126" s="9"/>
      <c r="O126" s="9"/>
      <c r="P126" s="9"/>
      <c r="Q126" s="9"/>
    </row>
    <row r="127" spans="2:37" ht="15.75" x14ac:dyDescent="0.25">
      <c r="B127" s="562" t="s">
        <v>17</v>
      </c>
      <c r="C127" s="724">
        <f t="shared" si="7"/>
        <v>24604.36137071651</v>
      </c>
      <c r="D127" s="725">
        <f t="shared" si="7"/>
        <v>16663.100087866445</v>
      </c>
      <c r="E127" s="725">
        <f t="shared" si="7"/>
        <v>17297.108395239233</v>
      </c>
      <c r="F127" s="730">
        <f t="shared" si="7"/>
        <v>17672.377985462099</v>
      </c>
      <c r="G127" s="22">
        <f t="shared" si="8"/>
        <v>17763.947086813023</v>
      </c>
      <c r="H127" s="22">
        <v>30052.1</v>
      </c>
      <c r="I127" s="22">
        <f t="shared" si="9"/>
        <v>176362.08920187794</v>
      </c>
      <c r="J127" s="729">
        <f t="shared" si="10"/>
        <v>91.56910135092312</v>
      </c>
      <c r="L127" s="1">
        <v>65709.399999999994</v>
      </c>
      <c r="N127" s="9"/>
      <c r="O127" s="9"/>
      <c r="P127" s="9"/>
      <c r="Q127" s="9"/>
    </row>
    <row r="128" spans="2:37" ht="15.75" x14ac:dyDescent="0.25">
      <c r="B128" s="562" t="s">
        <v>18</v>
      </c>
      <c r="C128" s="724">
        <f t="shared" si="7"/>
        <v>24380.145278450364</v>
      </c>
      <c r="D128" s="725">
        <f t="shared" si="7"/>
        <v>15748.730449577908</v>
      </c>
      <c r="E128" s="725">
        <f t="shared" si="7"/>
        <v>16125.12270139389</v>
      </c>
      <c r="F128" s="730">
        <f t="shared" si="7"/>
        <v>16723.970944309927</v>
      </c>
      <c r="G128" s="22">
        <f t="shared" si="8"/>
        <v>17172.937909945547</v>
      </c>
      <c r="H128" s="22">
        <v>31596.14</v>
      </c>
      <c r="I128" s="22">
        <f t="shared" si="9"/>
        <v>185423.35680751174</v>
      </c>
      <c r="J128" s="729">
        <f t="shared" si="10"/>
        <v>448.96696563562165</v>
      </c>
      <c r="L128" s="1">
        <v>39922.160000000003</v>
      </c>
      <c r="N128" s="9"/>
      <c r="O128" s="9"/>
      <c r="P128" s="9"/>
      <c r="Q128" s="9"/>
    </row>
    <row r="129" spans="2:17" ht="15.75" x14ac:dyDescent="0.25">
      <c r="B129" s="562" t="s">
        <v>19</v>
      </c>
      <c r="C129" s="724">
        <f t="shared" si="7"/>
        <v>23279.646993932707</v>
      </c>
      <c r="D129" s="725">
        <f t="shared" si="7"/>
        <v>14870.316941745512</v>
      </c>
      <c r="E129" s="725">
        <f t="shared" si="7"/>
        <v>15287.581144724003</v>
      </c>
      <c r="F129" s="730">
        <f t="shared" si="7"/>
        <v>15789.851075565361</v>
      </c>
      <c r="G129" s="22">
        <f t="shared" si="8"/>
        <v>17182.103787460928</v>
      </c>
      <c r="H129" s="22">
        <v>430115.87</v>
      </c>
      <c r="I129" s="22">
        <f t="shared" si="9"/>
        <v>2524154.1666666665</v>
      </c>
      <c r="J129" s="729">
        <f t="shared" si="10"/>
        <v>1392.2527118955691</v>
      </c>
      <c r="L129" s="1">
        <v>549176.93000000005</v>
      </c>
      <c r="N129" s="9"/>
      <c r="O129" s="9"/>
      <c r="P129" s="9"/>
      <c r="Q129" s="9"/>
    </row>
    <row r="130" spans="2:17" ht="15.75" x14ac:dyDescent="0.25">
      <c r="B130" s="562" t="s">
        <v>20</v>
      </c>
      <c r="C130" s="724">
        <f t="shared" si="7"/>
        <v>26080</v>
      </c>
      <c r="D130" s="725">
        <f t="shared" si="7"/>
        <v>18187.222222222223</v>
      </c>
      <c r="E130" s="725">
        <f t="shared" si="7"/>
        <v>19152.222222222223</v>
      </c>
      <c r="F130" s="730">
        <f t="shared" si="7"/>
        <v>19240</v>
      </c>
      <c r="G130" s="22">
        <f t="shared" si="8"/>
        <v>19568.634389671362</v>
      </c>
      <c r="H130" s="22">
        <v>5599.93</v>
      </c>
      <c r="I130" s="22">
        <f t="shared" si="9"/>
        <v>32863.43896713615</v>
      </c>
      <c r="J130" s="729">
        <f t="shared" si="10"/>
        <v>328.63438967136148</v>
      </c>
      <c r="L130" s="1">
        <v>4180.95</v>
      </c>
      <c r="N130" s="9"/>
      <c r="O130" s="9"/>
      <c r="P130" s="9"/>
      <c r="Q130" s="9"/>
    </row>
    <row r="131" spans="2:17" ht="15.75" x14ac:dyDescent="0.25">
      <c r="B131" s="562" t="s">
        <v>21</v>
      </c>
      <c r="C131" s="724">
        <f t="shared" si="7"/>
        <v>23815.354713313896</v>
      </c>
      <c r="D131" s="725">
        <f t="shared" si="7"/>
        <v>15031.156974067821</v>
      </c>
      <c r="E131" s="725">
        <f t="shared" si="7"/>
        <v>15446.268733057135</v>
      </c>
      <c r="F131" s="730">
        <f t="shared" si="7"/>
        <v>15973.760932944606</v>
      </c>
      <c r="G131" s="22">
        <f t="shared" si="8"/>
        <v>16042.76612053272</v>
      </c>
      <c r="H131" s="22">
        <v>12099.48</v>
      </c>
      <c r="I131" s="22">
        <f t="shared" si="9"/>
        <v>71006.338028169019</v>
      </c>
      <c r="J131" s="729">
        <f t="shared" si="10"/>
        <v>69.005187588113728</v>
      </c>
      <c r="L131" s="1">
        <v>9650.2999999999993</v>
      </c>
      <c r="N131" s="9"/>
      <c r="O131" s="9"/>
      <c r="P131" s="9"/>
      <c r="Q131" s="9"/>
    </row>
    <row r="132" spans="2:17" ht="15.75" x14ac:dyDescent="0.25">
      <c r="B132" s="562" t="s">
        <v>22</v>
      </c>
      <c r="C132" s="724">
        <f t="shared" si="7"/>
        <v>21646.651270207851</v>
      </c>
      <c r="D132" s="725">
        <f t="shared" si="7"/>
        <v>12507.454452142672</v>
      </c>
      <c r="E132" s="725">
        <f t="shared" si="7"/>
        <v>12853.990248909417</v>
      </c>
      <c r="F132" s="730">
        <f t="shared" si="7"/>
        <v>13341.801385681294</v>
      </c>
      <c r="G132" s="22">
        <f t="shared" si="8"/>
        <v>13409.932477854038</v>
      </c>
      <c r="H132" s="22">
        <v>5026.93</v>
      </c>
      <c r="I132" s="22">
        <f t="shared" si="9"/>
        <v>29500.762910798123</v>
      </c>
      <c r="J132" s="729">
        <f t="shared" si="10"/>
        <v>68.131092172743934</v>
      </c>
      <c r="L132" s="1">
        <v>4220.3900000000003</v>
      </c>
      <c r="N132" s="9"/>
      <c r="O132" s="9"/>
      <c r="P132" s="9"/>
      <c r="Q132" s="9"/>
    </row>
    <row r="133" spans="2:17" ht="16.5" thickBot="1" x14ac:dyDescent="0.3">
      <c r="B133" s="593" t="s">
        <v>23</v>
      </c>
      <c r="C133" s="724">
        <f t="shared" si="7"/>
        <v>27267.796015096988</v>
      </c>
      <c r="D133" s="725">
        <f t="shared" si="7"/>
        <v>18804.469384443928</v>
      </c>
      <c r="E133" s="725">
        <f t="shared" si="7"/>
        <v>19872.375116033505</v>
      </c>
      <c r="F133" s="730">
        <f t="shared" si="7"/>
        <v>19941.104186781358</v>
      </c>
      <c r="G133" s="22">
        <f t="shared" si="8"/>
        <v>21982.256185228638</v>
      </c>
      <c r="H133" s="22">
        <v>3962625.54</v>
      </c>
      <c r="I133" s="22">
        <f t="shared" si="9"/>
        <v>23254844.718309861</v>
      </c>
      <c r="J133" s="729">
        <f t="shared" si="10"/>
        <v>2041.15199844728</v>
      </c>
      <c r="N133" s="9"/>
      <c r="O133" s="9"/>
      <c r="P133" s="9"/>
      <c r="Q133" s="9"/>
    </row>
    <row r="134" spans="2:17" ht="16.5" thickBot="1" x14ac:dyDescent="0.3">
      <c r="B134" s="493" t="s">
        <v>247</v>
      </c>
      <c r="C134" s="726">
        <f t="shared" si="7"/>
        <v>25131.200725598268</v>
      </c>
      <c r="D134" s="727">
        <f t="shared" si="7"/>
        <v>16782.990556666315</v>
      </c>
      <c r="E134" s="727">
        <f t="shared" si="7"/>
        <v>17569.364658389615</v>
      </c>
      <c r="F134" s="731">
        <f t="shared" si="7"/>
        <v>17808.623456359452</v>
      </c>
      <c r="G134" s="22">
        <f t="shared" si="8"/>
        <v>18962.642950835085</v>
      </c>
      <c r="H134" s="22">
        <v>5637023.3300000001</v>
      </c>
      <c r="I134" s="22">
        <f t="shared" si="9"/>
        <v>33081122.828638498</v>
      </c>
      <c r="J134" s="729">
        <f t="shared" si="10"/>
        <v>1154.0194944756331</v>
      </c>
      <c r="N134" s="9"/>
      <c r="O134" s="9"/>
      <c r="P134" s="9"/>
      <c r="Q134" s="9"/>
    </row>
    <row r="135" spans="2:17" ht="15.75" x14ac:dyDescent="0.25">
      <c r="B135" s="6"/>
      <c r="C135" s="732"/>
      <c r="D135" s="732"/>
      <c r="E135" s="222"/>
      <c r="F135" s="222"/>
      <c r="N135" s="9"/>
      <c r="O135" s="9"/>
      <c r="P135" s="9"/>
      <c r="Q135" s="9"/>
    </row>
    <row r="136" spans="2:17" ht="15.75" thickBot="1" x14ac:dyDescent="0.25">
      <c r="L136" s="1">
        <v>9389914.2699999996</v>
      </c>
      <c r="N136" s="9"/>
      <c r="O136" s="9"/>
      <c r="P136" s="9"/>
      <c r="Q136" s="9"/>
    </row>
    <row r="137" spans="2:17" x14ac:dyDescent="0.2">
      <c r="B137" s="544"/>
      <c r="C137" s="3"/>
      <c r="D137" s="3"/>
      <c r="E137" s="3"/>
      <c r="F137" s="499"/>
      <c r="G137" s="9"/>
      <c r="N137" s="9"/>
      <c r="O137" s="9"/>
      <c r="P137" s="9"/>
      <c r="Q137" s="9"/>
    </row>
    <row r="138" spans="2:17" ht="15.75" x14ac:dyDescent="0.25">
      <c r="B138" s="545" t="s">
        <v>248</v>
      </c>
      <c r="C138" s="546"/>
      <c r="D138" s="546"/>
      <c r="E138" s="547">
        <f>C134</f>
        <v>25131.200725598268</v>
      </c>
      <c r="F138" s="419" t="s">
        <v>249</v>
      </c>
      <c r="G138" s="9"/>
      <c r="N138" s="9"/>
      <c r="O138" s="9"/>
      <c r="P138" s="9"/>
      <c r="Q138" s="9"/>
    </row>
    <row r="139" spans="2:17" ht="15.75" x14ac:dyDescent="0.25">
      <c r="B139" s="545" t="s">
        <v>250</v>
      </c>
      <c r="C139" s="546"/>
      <c r="D139" s="546"/>
      <c r="E139" s="547">
        <f>E138*1.1</f>
        <v>27644.320798158096</v>
      </c>
      <c r="F139" s="419"/>
      <c r="G139" s="9"/>
      <c r="N139" s="9"/>
      <c r="O139" s="9"/>
      <c r="P139" s="9"/>
      <c r="Q139" s="9"/>
    </row>
    <row r="140" spans="2:17" x14ac:dyDescent="0.2">
      <c r="B140" s="418"/>
      <c r="C140" s="9"/>
      <c r="D140" s="9"/>
      <c r="E140" s="9"/>
      <c r="F140" s="419"/>
      <c r="G140" s="9"/>
      <c r="N140" s="9"/>
      <c r="O140" s="9"/>
      <c r="P140" s="9"/>
      <c r="Q140" s="9"/>
    </row>
    <row r="141" spans="2:17" x14ac:dyDescent="0.2">
      <c r="B141" s="418"/>
      <c r="C141" s="9"/>
      <c r="D141" s="9"/>
      <c r="E141" s="9"/>
      <c r="F141" s="419"/>
      <c r="G141" s="9"/>
      <c r="N141" s="9"/>
      <c r="O141" s="9"/>
      <c r="P141" s="9"/>
      <c r="Q141" s="9"/>
    </row>
    <row r="142" spans="2:17" ht="15.75" x14ac:dyDescent="0.25">
      <c r="B142" s="545" t="s">
        <v>251</v>
      </c>
      <c r="C142" s="546"/>
      <c r="D142" s="546"/>
      <c r="E142" s="547">
        <f>AVERAGE(I112:K112)</f>
        <v>347.80118931036014</v>
      </c>
      <c r="F142" s="419" t="s">
        <v>249</v>
      </c>
      <c r="G142" s="9"/>
      <c r="N142" s="9"/>
      <c r="O142" s="9"/>
      <c r="P142" s="9"/>
      <c r="Q142" s="9"/>
    </row>
    <row r="143" spans="2:17" x14ac:dyDescent="0.2">
      <c r="B143" s="418"/>
      <c r="C143" s="9"/>
      <c r="D143" s="9"/>
      <c r="E143" s="9"/>
      <c r="F143" s="419"/>
      <c r="G143" s="9"/>
      <c r="N143" s="9"/>
      <c r="O143" s="9"/>
      <c r="P143" s="9"/>
      <c r="Q143" s="9"/>
    </row>
    <row r="144" spans="2:17" ht="15.75" x14ac:dyDescent="0.25">
      <c r="B144" s="545" t="s">
        <v>252</v>
      </c>
      <c r="C144" s="546"/>
      <c r="D144" s="546"/>
      <c r="E144" s="548">
        <f>AVERAGE(O112:Q112)</f>
        <v>0.1704</v>
      </c>
      <c r="F144" s="419" t="s">
        <v>249</v>
      </c>
      <c r="G144" s="9"/>
      <c r="H144" s="1">
        <v>0.14000000000000001</v>
      </c>
      <c r="N144" s="9"/>
      <c r="O144" s="9"/>
      <c r="P144" s="9"/>
      <c r="Q144" s="9"/>
    </row>
    <row r="145" spans="1:44" x14ac:dyDescent="0.2">
      <c r="B145" s="418"/>
      <c r="C145" s="9"/>
      <c r="D145" s="9"/>
      <c r="E145" s="9"/>
      <c r="F145" s="419"/>
      <c r="G145" s="9"/>
      <c r="N145" s="9"/>
      <c r="O145" s="9"/>
      <c r="P145" s="9"/>
      <c r="Q145" s="9"/>
    </row>
    <row r="146" spans="1:44" ht="15.75" x14ac:dyDescent="0.25">
      <c r="B146" s="545" t="s">
        <v>253</v>
      </c>
      <c r="C146" s="546"/>
      <c r="D146" s="546"/>
      <c r="E146" s="549">
        <f>C134</f>
        <v>25131.200725598268</v>
      </c>
      <c r="F146" s="419"/>
      <c r="G146" s="9"/>
      <c r="N146" s="9"/>
      <c r="O146" s="9"/>
      <c r="P146" s="9"/>
      <c r="Q146" s="9"/>
      <c r="R146" s="9"/>
      <c r="S146" s="9"/>
      <c r="T146" s="9"/>
      <c r="U146" s="9"/>
      <c r="V146" s="9"/>
      <c r="W146" s="9"/>
      <c r="X146" s="9"/>
      <c r="Y146" s="9"/>
      <c r="Z146" s="9"/>
      <c r="AA146" s="9"/>
      <c r="AB146" s="9"/>
    </row>
    <row r="147" spans="1:44" ht="16.5" thickBot="1" x14ac:dyDescent="0.3">
      <c r="B147" s="550" t="s">
        <v>254</v>
      </c>
      <c r="C147" s="551"/>
      <c r="D147" s="551"/>
      <c r="E147" s="552">
        <f>E146*1.1</f>
        <v>27644.320798158096</v>
      </c>
      <c r="F147" s="507"/>
      <c r="G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row>
    <row r="148" spans="1:44" ht="15.75" x14ac:dyDescent="0.25">
      <c r="B148" s="733"/>
      <c r="C148" s="733"/>
      <c r="D148" s="733"/>
      <c r="E148" s="734"/>
      <c r="F148" s="9"/>
      <c r="G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row>
    <row r="149" spans="1:44" ht="15.75" x14ac:dyDescent="0.25">
      <c r="B149" s="733" t="s">
        <v>389</v>
      </c>
      <c r="C149" s="733"/>
      <c r="D149" s="733"/>
      <c r="E149" s="734"/>
      <c r="F149" s="9"/>
      <c r="G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row>
    <row r="150" spans="1:44" ht="15.75" thickBot="1" x14ac:dyDescent="0.25">
      <c r="A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row>
    <row r="151" spans="1:44" ht="15.75" thickBot="1" x14ac:dyDescent="0.25">
      <c r="A151" s="9"/>
      <c r="D151" s="553" t="s">
        <v>390</v>
      </c>
      <c r="E151" s="554"/>
      <c r="F151" s="554"/>
      <c r="G151" s="554"/>
      <c r="H151" s="554"/>
      <c r="I151" s="554"/>
      <c r="J151" s="554"/>
      <c r="K151" s="554"/>
      <c r="L151" s="554"/>
      <c r="M151" s="555"/>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row>
    <row r="152" spans="1:44" ht="15" customHeight="1" x14ac:dyDescent="0.25">
      <c r="A152" s="556"/>
      <c r="B152" s="1371" t="s">
        <v>257</v>
      </c>
      <c r="C152" s="1372"/>
      <c r="D152" s="544"/>
      <c r="E152" s="499"/>
      <c r="F152" s="3"/>
      <c r="G152" s="3"/>
      <c r="H152" s="2"/>
      <c r="I152" s="3"/>
      <c r="J152" s="3"/>
      <c r="K152" s="544"/>
      <c r="L152" s="499"/>
      <c r="M152" s="2"/>
      <c r="O152" s="1375"/>
      <c r="P152" s="1375"/>
      <c r="Q152" s="1370"/>
      <c r="R152" s="1370"/>
      <c r="S152" s="1375"/>
      <c r="T152" s="1375"/>
      <c r="U152" s="1370"/>
      <c r="V152" s="9"/>
      <c r="W152" s="9"/>
      <c r="X152" s="9"/>
      <c r="Y152" s="1364"/>
      <c r="Z152" s="1364"/>
      <c r="AA152" s="9"/>
      <c r="AB152" s="9"/>
      <c r="AC152" s="9"/>
      <c r="AD152" s="9"/>
      <c r="AE152" s="9"/>
      <c r="AF152" s="9"/>
      <c r="AG152" s="9"/>
      <c r="AH152" s="9"/>
      <c r="AI152" s="9"/>
      <c r="AJ152" s="9"/>
      <c r="AK152" s="9"/>
      <c r="AL152" s="9"/>
      <c r="AM152" s="9"/>
      <c r="AN152" s="9"/>
      <c r="AO152" s="9"/>
      <c r="AP152" s="9"/>
      <c r="AQ152" s="9"/>
      <c r="AR152" s="9"/>
    </row>
    <row r="153" spans="1:44" ht="15" customHeight="1" x14ac:dyDescent="0.25">
      <c r="A153" s="556"/>
      <c r="B153" s="1366"/>
      <c r="C153" s="1367"/>
      <c r="D153" s="1366" t="s">
        <v>262</v>
      </c>
      <c r="E153" s="1367"/>
      <c r="F153" s="1364" t="s">
        <v>263</v>
      </c>
      <c r="G153" s="1364"/>
      <c r="H153" s="1368" t="s">
        <v>264</v>
      </c>
      <c r="I153" s="1365" t="s">
        <v>265</v>
      </c>
      <c r="J153" s="1365"/>
      <c r="K153" s="418"/>
      <c r="L153" s="1369" t="s">
        <v>266</v>
      </c>
      <c r="M153" s="1368" t="s">
        <v>267</v>
      </c>
      <c r="O153" s="1375"/>
      <c r="P153" s="1375"/>
      <c r="Q153" s="1370"/>
      <c r="R153" s="1370"/>
      <c r="S153" s="1375"/>
      <c r="T153" s="1375"/>
      <c r="U153" s="1370"/>
      <c r="V153" s="9"/>
      <c r="W153" s="9"/>
      <c r="X153" s="9"/>
      <c r="Y153" s="1364"/>
      <c r="Z153" s="1364"/>
      <c r="AA153" s="1364"/>
      <c r="AB153" s="1364"/>
      <c r="AC153" s="1364"/>
      <c r="AD153" s="1364"/>
      <c r="AE153" s="1363"/>
      <c r="AF153" s="1365"/>
      <c r="AG153" s="1365"/>
      <c r="AH153" s="9"/>
      <c r="AI153" s="1363"/>
      <c r="AJ153" s="1363"/>
      <c r="AK153" s="9"/>
      <c r="AL153" s="9"/>
      <c r="AM153" s="9"/>
      <c r="AN153" s="9"/>
      <c r="AO153" s="9"/>
      <c r="AP153" s="9"/>
      <c r="AQ153" s="9"/>
      <c r="AR153" s="9"/>
    </row>
    <row r="154" spans="1:44" ht="16.5" customHeight="1" x14ac:dyDescent="0.25">
      <c r="A154" s="556"/>
      <c r="B154" s="1366"/>
      <c r="C154" s="1367"/>
      <c r="D154" s="1366"/>
      <c r="E154" s="1367"/>
      <c r="F154" s="1364"/>
      <c r="G154" s="1364"/>
      <c r="H154" s="1368"/>
      <c r="I154" s="1365"/>
      <c r="J154" s="1365"/>
      <c r="K154" s="418"/>
      <c r="L154" s="1369"/>
      <c r="M154" s="1368"/>
      <c r="O154" s="1375"/>
      <c r="P154" s="1375"/>
      <c r="Q154" s="1370"/>
      <c r="R154" s="1370"/>
      <c r="S154" s="1375"/>
      <c r="T154" s="1375"/>
      <c r="U154" s="1370"/>
      <c r="V154" s="1363"/>
      <c r="W154" s="1363"/>
      <c r="X154" s="9"/>
      <c r="Y154" s="1364"/>
      <c r="Z154" s="1364"/>
      <c r="AA154" s="1364"/>
      <c r="AB154" s="1364"/>
      <c r="AC154" s="1364"/>
      <c r="AD154" s="1364"/>
      <c r="AE154" s="1363"/>
      <c r="AF154" s="1365"/>
      <c r="AG154" s="1365"/>
      <c r="AH154" s="9"/>
      <c r="AI154" s="1363"/>
      <c r="AJ154" s="1363"/>
      <c r="AK154" s="9"/>
      <c r="AL154" s="9"/>
      <c r="AM154" s="9"/>
      <c r="AN154" s="9"/>
      <c r="AO154" s="9"/>
      <c r="AP154" s="9"/>
      <c r="AQ154" s="9"/>
      <c r="AR154" s="9"/>
    </row>
    <row r="155" spans="1:44" ht="16.5" customHeight="1" x14ac:dyDescent="0.25">
      <c r="A155" s="138"/>
      <c r="B155" s="1366"/>
      <c r="C155" s="1367"/>
      <c r="D155" s="1366"/>
      <c r="E155" s="1367"/>
      <c r="F155" s="1364"/>
      <c r="G155" s="1364"/>
      <c r="H155" s="1368"/>
      <c r="I155" s="709"/>
      <c r="J155" s="709"/>
      <c r="K155" s="418"/>
      <c r="L155" s="1369"/>
      <c r="M155" s="1368"/>
      <c r="O155" s="1375"/>
      <c r="P155" s="1375"/>
      <c r="Q155" s="1370"/>
      <c r="R155" s="1370"/>
      <c r="S155" s="1375"/>
      <c r="T155" s="1375"/>
      <c r="U155" s="1370"/>
      <c r="V155" s="1363"/>
      <c r="W155" s="1363"/>
      <c r="X155" s="9"/>
      <c r="Y155" s="1364"/>
      <c r="Z155" s="1364"/>
      <c r="AA155" s="1364"/>
      <c r="AB155" s="1364"/>
      <c r="AC155" s="1364"/>
      <c r="AD155" s="1364"/>
      <c r="AE155" s="1363"/>
      <c r="AF155" s="709"/>
      <c r="AG155" s="709"/>
      <c r="AH155" s="9"/>
      <c r="AI155" s="1363"/>
      <c r="AJ155" s="1363"/>
      <c r="AK155" s="9"/>
      <c r="AL155" s="9"/>
      <c r="AM155" s="9"/>
      <c r="AN155" s="9"/>
      <c r="AO155" s="9"/>
      <c r="AP155" s="9"/>
      <c r="AQ155" s="9"/>
      <c r="AR155" s="9"/>
    </row>
    <row r="156" spans="1:44" ht="16.5" customHeight="1" thickBot="1" x14ac:dyDescent="0.3">
      <c r="A156" s="138"/>
      <c r="B156" s="1373"/>
      <c r="C156" s="1374"/>
      <c r="D156" s="1366"/>
      <c r="E156" s="1367"/>
      <c r="F156" s="1364"/>
      <c r="G156" s="1364"/>
      <c r="H156" s="1368"/>
      <c r="I156" s="709"/>
      <c r="J156" s="709"/>
      <c r="K156" s="418"/>
      <c r="L156" s="1369"/>
      <c r="M156" s="1368"/>
      <c r="O156" s="1375"/>
      <c r="P156" s="1375"/>
      <c r="Q156" s="1370"/>
      <c r="R156" s="1370"/>
      <c r="S156" s="1375"/>
      <c r="T156" s="1375"/>
      <c r="U156" s="9"/>
      <c r="V156" s="1363"/>
      <c r="W156" s="1363"/>
      <c r="X156" s="9"/>
      <c r="Y156" s="1364"/>
      <c r="Z156" s="1364"/>
      <c r="AA156" s="1364"/>
      <c r="AB156" s="1364"/>
      <c r="AC156" s="1364"/>
      <c r="AD156" s="1364"/>
      <c r="AE156" s="1363"/>
      <c r="AF156" s="709"/>
      <c r="AG156" s="709"/>
      <c r="AH156" s="9"/>
      <c r="AI156" s="1363"/>
      <c r="AJ156" s="1363"/>
      <c r="AK156" s="9"/>
      <c r="AL156" s="9"/>
      <c r="AM156" s="6"/>
      <c r="AN156" s="6"/>
      <c r="AO156" s="6"/>
      <c r="AP156" s="6"/>
      <c r="AQ156" s="6"/>
      <c r="AR156" s="9"/>
    </row>
    <row r="157" spans="1:44" ht="16.5" thickBot="1" x14ac:dyDescent="0.3">
      <c r="A157" s="9"/>
      <c r="B157" s="493"/>
      <c r="C157" s="495">
        <v>2013</v>
      </c>
      <c r="D157" s="558"/>
      <c r="E157" s="559"/>
      <c r="F157" s="560"/>
      <c r="G157" s="560"/>
      <c r="H157" s="561"/>
      <c r="I157" s="421"/>
      <c r="J157" s="421"/>
      <c r="K157" s="420"/>
      <c r="L157" s="422"/>
      <c r="M157" s="561"/>
      <c r="O157" s="9"/>
      <c r="P157" s="9"/>
      <c r="Q157" s="9"/>
      <c r="R157" s="9"/>
      <c r="S157" s="9"/>
      <c r="T157" s="9"/>
      <c r="U157" s="9"/>
      <c r="V157" s="9"/>
      <c r="W157" s="9"/>
      <c r="X157" s="9"/>
      <c r="Y157" s="6"/>
      <c r="Z157" s="6"/>
      <c r="AA157" s="566"/>
      <c r="AB157" s="566"/>
      <c r="AC157" s="566"/>
      <c r="AD157" s="566"/>
      <c r="AE157" s="9"/>
      <c r="AF157" s="9"/>
      <c r="AG157" s="9"/>
      <c r="AH157" s="9"/>
      <c r="AI157" s="9"/>
      <c r="AJ157" s="9"/>
      <c r="AK157" s="9"/>
      <c r="AL157" s="9"/>
      <c r="AM157" s="6"/>
      <c r="AN157" s="6"/>
      <c r="AO157" s="6"/>
      <c r="AP157" s="6"/>
      <c r="AQ157" s="6"/>
      <c r="AR157" s="9"/>
    </row>
    <row r="158" spans="1:44" ht="16.5" thickBot="1" x14ac:dyDescent="0.3">
      <c r="B158" s="562" t="s">
        <v>8</v>
      </c>
      <c r="C158" s="563">
        <f>C118*E144+L96</f>
        <v>4541.8995336865546</v>
      </c>
      <c r="D158" s="564"/>
      <c r="E158" s="565">
        <f>$E$146-C158</f>
        <v>20589.301191911713</v>
      </c>
      <c r="F158" s="566"/>
      <c r="G158" s="567">
        <f>$E$147-C158</f>
        <v>23102.421264471541</v>
      </c>
      <c r="H158" s="568">
        <f t="shared" ref="H158:H173" si="11">IF(E158&gt;0,IF(R96&lt;$R$112,R96,$R$112)*E158*0.9,0)</f>
        <v>3150.1630823624923</v>
      </c>
      <c r="I158" s="9"/>
      <c r="J158" s="569">
        <f t="shared" ref="J158:J173" si="12">IF(G158&gt;0,IF(R96&lt;$R$112,R96,$R$112)*G158*0.9,0)</f>
        <v>3534.6704534641462</v>
      </c>
      <c r="K158" s="418"/>
      <c r="L158" s="568">
        <f t="shared" ref="L158:L173" si="13">H158*U96</f>
        <v>1496327.4641221839</v>
      </c>
      <c r="M158" s="568">
        <f t="shared" ref="M158:M173" si="14">J158*U96</f>
        <v>1678968.4653954695</v>
      </c>
      <c r="O158" s="9"/>
      <c r="P158" s="36"/>
      <c r="Q158" s="9"/>
      <c r="R158" s="36"/>
      <c r="S158" s="9"/>
      <c r="T158" s="36"/>
      <c r="U158" s="36"/>
      <c r="V158" s="36"/>
      <c r="W158" s="36"/>
      <c r="X158" s="9"/>
      <c r="Y158" s="6"/>
      <c r="Z158" s="36"/>
      <c r="AA158" s="566"/>
      <c r="AB158" s="567"/>
      <c r="AC158" s="566"/>
      <c r="AD158" s="567"/>
      <c r="AE158" s="569"/>
      <c r="AF158" s="9"/>
      <c r="AG158" s="569"/>
      <c r="AH158" s="9"/>
      <c r="AI158" s="569"/>
      <c r="AJ158" s="569"/>
      <c r="AK158" s="9"/>
      <c r="AL158" s="9"/>
      <c r="AM158" s="222"/>
      <c r="AN158" s="222"/>
      <c r="AO158" s="222"/>
      <c r="AP158" s="222"/>
      <c r="AQ158" s="6"/>
      <c r="AR158" s="9"/>
    </row>
    <row r="159" spans="1:44" ht="16.5" thickBot="1" x14ac:dyDescent="0.3">
      <c r="B159" s="562" t="s">
        <v>9</v>
      </c>
      <c r="C159" s="563">
        <f t="shared" ref="C159:C174" si="15">C119</f>
        <v>22815.205913410769</v>
      </c>
      <c r="D159" s="564"/>
      <c r="E159" s="565">
        <f t="shared" ref="E159:E174" si="16">$E$146-C159</f>
        <v>2315.9948121874986</v>
      </c>
      <c r="F159" s="566"/>
      <c r="G159" s="567">
        <f t="shared" ref="G159:G174" si="17">$E$147-C159</f>
        <v>4829.1148847473269</v>
      </c>
      <c r="H159" s="568">
        <f t="shared" si="11"/>
        <v>355.18096439707477</v>
      </c>
      <c r="I159" s="9"/>
      <c r="J159" s="569">
        <f t="shared" si="12"/>
        <v>740.59305872485004</v>
      </c>
      <c r="K159" s="418"/>
      <c r="L159" s="568">
        <f t="shared" si="13"/>
        <v>336356.37328402983</v>
      </c>
      <c r="M159" s="568">
        <f t="shared" si="14"/>
        <v>701341.626612433</v>
      </c>
      <c r="O159" s="9"/>
      <c r="P159" s="36"/>
      <c r="Q159" s="9"/>
      <c r="R159" s="36"/>
      <c r="S159" s="9"/>
      <c r="T159" s="36"/>
      <c r="U159" s="36"/>
      <c r="V159" s="36"/>
      <c r="W159" s="36"/>
      <c r="X159" s="9"/>
      <c r="Y159" s="6"/>
      <c r="Z159" s="36"/>
      <c r="AA159" s="566"/>
      <c r="AB159" s="567"/>
      <c r="AC159" s="566"/>
      <c r="AD159" s="567"/>
      <c r="AE159" s="569"/>
      <c r="AF159" s="9"/>
      <c r="AG159" s="569"/>
      <c r="AH159" s="9"/>
      <c r="AI159" s="569"/>
      <c r="AJ159" s="569"/>
      <c r="AK159" s="9"/>
      <c r="AL159" s="9"/>
      <c r="AM159" s="222"/>
      <c r="AN159" s="222"/>
      <c r="AO159" s="222"/>
      <c r="AP159" s="222"/>
      <c r="AQ159" s="6"/>
      <c r="AR159" s="9"/>
    </row>
    <row r="160" spans="1:44" ht="16.5" thickBot="1" x14ac:dyDescent="0.3">
      <c r="B160" s="562" t="s">
        <v>10</v>
      </c>
      <c r="C160" s="563">
        <f t="shared" si="15"/>
        <v>23336.507936507936</v>
      </c>
      <c r="D160" s="564"/>
      <c r="E160" s="565">
        <f t="shared" si="16"/>
        <v>1794.6927890903316</v>
      </c>
      <c r="F160" s="566"/>
      <c r="G160" s="567">
        <f t="shared" si="17"/>
        <v>4307.8128616501599</v>
      </c>
      <c r="H160" s="568">
        <f t="shared" si="11"/>
        <v>275.23408613489329</v>
      </c>
      <c r="I160" s="9"/>
      <c r="J160" s="569">
        <f t="shared" si="12"/>
        <v>660.64618046266855</v>
      </c>
      <c r="K160" s="418"/>
      <c r="L160" s="568">
        <f t="shared" si="13"/>
        <v>693589.89705993107</v>
      </c>
      <c r="M160" s="568">
        <f t="shared" si="14"/>
        <v>1664828.3747659246</v>
      </c>
      <c r="O160" s="9"/>
      <c r="P160" s="36"/>
      <c r="Q160" s="9"/>
      <c r="R160" s="36"/>
      <c r="S160" s="9"/>
      <c r="T160" s="36"/>
      <c r="U160" s="36"/>
      <c r="V160" s="36"/>
      <c r="W160" s="36"/>
      <c r="X160" s="9"/>
      <c r="Y160" s="6"/>
      <c r="Z160" s="36"/>
      <c r="AA160" s="566"/>
      <c r="AB160" s="567"/>
      <c r="AC160" s="566"/>
      <c r="AD160" s="567"/>
      <c r="AE160" s="569"/>
      <c r="AF160" s="9"/>
      <c r="AG160" s="569"/>
      <c r="AH160" s="9"/>
      <c r="AI160" s="569"/>
      <c r="AJ160" s="569"/>
      <c r="AK160" s="9"/>
      <c r="AL160" s="9"/>
      <c r="AM160" s="222"/>
      <c r="AN160" s="222"/>
      <c r="AO160" s="222"/>
      <c r="AP160" s="222"/>
      <c r="AQ160" s="6"/>
      <c r="AR160" s="9"/>
    </row>
    <row r="161" spans="2:44" ht="16.5" thickBot="1" x14ac:dyDescent="0.3">
      <c r="B161" s="562" t="s">
        <v>11</v>
      </c>
      <c r="C161" s="563">
        <f t="shared" si="15"/>
        <v>23022.727272727272</v>
      </c>
      <c r="D161" s="564"/>
      <c r="E161" s="565">
        <f t="shared" si="16"/>
        <v>2108.473452870996</v>
      </c>
      <c r="F161" s="566"/>
      <c r="G161" s="567">
        <f t="shared" si="17"/>
        <v>4621.5935254308242</v>
      </c>
      <c r="H161" s="568">
        <f t="shared" si="11"/>
        <v>323.35548873229595</v>
      </c>
      <c r="I161" s="9"/>
      <c r="J161" s="569">
        <f t="shared" si="12"/>
        <v>708.76758306007127</v>
      </c>
      <c r="K161" s="418"/>
      <c r="L161" s="568">
        <f t="shared" si="13"/>
        <v>184959.3395548733</v>
      </c>
      <c r="M161" s="568">
        <f t="shared" si="14"/>
        <v>405415.05751036078</v>
      </c>
      <c r="O161" s="9"/>
      <c r="P161" s="36"/>
      <c r="Q161" s="9"/>
      <c r="R161" s="36"/>
      <c r="S161" s="9"/>
      <c r="T161" s="36"/>
      <c r="U161" s="36"/>
      <c r="V161" s="36"/>
      <c r="W161" s="36"/>
      <c r="X161" s="9"/>
      <c r="Y161" s="6"/>
      <c r="Z161" s="36"/>
      <c r="AA161" s="566"/>
      <c r="AB161" s="567"/>
      <c r="AC161" s="566"/>
      <c r="AD161" s="567"/>
      <c r="AE161" s="569"/>
      <c r="AF161" s="9"/>
      <c r="AG161" s="569"/>
      <c r="AH161" s="9"/>
      <c r="AI161" s="569"/>
      <c r="AJ161" s="569"/>
      <c r="AK161" s="9"/>
      <c r="AL161" s="9"/>
      <c r="AM161" s="222"/>
      <c r="AN161" s="222"/>
      <c r="AO161" s="222"/>
      <c r="AP161" s="222"/>
      <c r="AQ161" s="6"/>
      <c r="AR161" s="9"/>
    </row>
    <row r="162" spans="2:44" ht="16.5" thickBot="1" x14ac:dyDescent="0.3">
      <c r="B162" s="562" t="s">
        <v>12</v>
      </c>
      <c r="C162" s="563">
        <f t="shared" si="15"/>
        <v>19632</v>
      </c>
      <c r="D162" s="564"/>
      <c r="E162" s="565">
        <f t="shared" si="16"/>
        <v>5499.200725598268</v>
      </c>
      <c r="F162" s="566"/>
      <c r="G162" s="567">
        <f t="shared" si="17"/>
        <v>8012.3207981580963</v>
      </c>
      <c r="H162" s="568">
        <f t="shared" si="11"/>
        <v>843.3574232777504</v>
      </c>
      <c r="I162" s="9"/>
      <c r="J162" s="569">
        <f t="shared" si="12"/>
        <v>1228.7695176055256</v>
      </c>
      <c r="K162" s="418"/>
      <c r="L162" s="568">
        <f t="shared" si="13"/>
        <v>421678.71163887519</v>
      </c>
      <c r="M162" s="568">
        <f t="shared" si="14"/>
        <v>614384.75880276284</v>
      </c>
      <c r="O162" s="9"/>
      <c r="P162" s="36"/>
      <c r="Q162" s="9"/>
      <c r="R162" s="36"/>
      <c r="S162" s="9"/>
      <c r="T162" s="36"/>
      <c r="U162" s="36"/>
      <c r="V162" s="36"/>
      <c r="W162" s="36"/>
      <c r="X162" s="9"/>
      <c r="Y162" s="6"/>
      <c r="Z162" s="36"/>
      <c r="AA162" s="566"/>
      <c r="AB162" s="567"/>
      <c r="AC162" s="566"/>
      <c r="AD162" s="567"/>
      <c r="AE162" s="569"/>
      <c r="AF162" s="9"/>
      <c r="AG162" s="569"/>
      <c r="AH162" s="9"/>
      <c r="AI162" s="569"/>
      <c r="AJ162" s="569"/>
      <c r="AK162" s="9"/>
      <c r="AL162" s="9"/>
      <c r="AM162" s="222"/>
      <c r="AN162" s="222"/>
      <c r="AO162" s="222"/>
      <c r="AP162" s="222"/>
      <c r="AQ162" s="6"/>
      <c r="AR162" s="9"/>
    </row>
    <row r="163" spans="2:44" ht="16.5" thickBot="1" x14ac:dyDescent="0.3">
      <c r="B163" s="562" t="s">
        <v>13</v>
      </c>
      <c r="C163" s="563">
        <f t="shared" si="15"/>
        <v>22957.142857142859</v>
      </c>
      <c r="D163" s="564"/>
      <c r="E163" s="565">
        <f t="shared" si="16"/>
        <v>2174.0578684554093</v>
      </c>
      <c r="F163" s="566"/>
      <c r="G163" s="567">
        <f t="shared" si="17"/>
        <v>4687.1779410152376</v>
      </c>
      <c r="H163" s="568">
        <f t="shared" si="11"/>
        <v>322.84759346562828</v>
      </c>
      <c r="I163" s="9"/>
      <c r="J163" s="569">
        <f t="shared" si="12"/>
        <v>696.04592424076282</v>
      </c>
      <c r="K163" s="418"/>
      <c r="L163" s="568">
        <f t="shared" si="13"/>
        <v>497185.29393706756</v>
      </c>
      <c r="M163" s="568">
        <f t="shared" si="14"/>
        <v>1071910.7233307748</v>
      </c>
      <c r="O163" s="9"/>
      <c r="P163" s="36"/>
      <c r="Q163" s="9"/>
      <c r="R163" s="36"/>
      <c r="S163" s="9"/>
      <c r="T163" s="36"/>
      <c r="U163" s="36"/>
      <c r="V163" s="36"/>
      <c r="W163" s="36"/>
      <c r="X163" s="9"/>
      <c r="Y163" s="6"/>
      <c r="Z163" s="36"/>
      <c r="AA163" s="566"/>
      <c r="AB163" s="567"/>
      <c r="AC163" s="566"/>
      <c r="AD163" s="567"/>
      <c r="AE163" s="569"/>
      <c r="AF163" s="9"/>
      <c r="AG163" s="569"/>
      <c r="AH163" s="9"/>
      <c r="AI163" s="569"/>
      <c r="AJ163" s="569"/>
      <c r="AK163" s="9"/>
      <c r="AL163" s="9"/>
      <c r="AM163" s="222"/>
      <c r="AN163" s="222"/>
      <c r="AO163" s="222"/>
      <c r="AP163" s="222"/>
      <c r="AQ163" s="6"/>
      <c r="AR163" s="9"/>
    </row>
    <row r="164" spans="2:44" ht="16.5" thickBot="1" x14ac:dyDescent="0.3">
      <c r="B164" s="562" t="s">
        <v>14</v>
      </c>
      <c r="C164" s="563">
        <f t="shared" si="15"/>
        <v>24507.007233273056</v>
      </c>
      <c r="D164" s="564"/>
      <c r="E164" s="565">
        <f t="shared" si="16"/>
        <v>624.19349232521199</v>
      </c>
      <c r="F164" s="566"/>
      <c r="G164" s="567">
        <f t="shared" si="17"/>
        <v>3137.3135648850403</v>
      </c>
      <c r="H164" s="568">
        <f t="shared" si="11"/>
        <v>95.501604325757441</v>
      </c>
      <c r="I164" s="9"/>
      <c r="J164" s="569">
        <f t="shared" si="12"/>
        <v>480.00897542741126</v>
      </c>
      <c r="K164" s="418"/>
      <c r="L164" s="568">
        <f t="shared" si="13"/>
        <v>422499.0975371509</v>
      </c>
      <c r="M164" s="568">
        <f t="shared" si="14"/>
        <v>2123559.7072908673</v>
      </c>
      <c r="O164" s="9"/>
      <c r="P164" s="36"/>
      <c r="Q164" s="9"/>
      <c r="R164" s="36"/>
      <c r="S164" s="9"/>
      <c r="T164" s="36"/>
      <c r="U164" s="36"/>
      <c r="V164" s="36"/>
      <c r="W164" s="36"/>
      <c r="X164" s="9"/>
      <c r="Y164" s="6"/>
      <c r="Z164" s="36"/>
      <c r="AA164" s="566"/>
      <c r="AB164" s="567"/>
      <c r="AC164" s="566"/>
      <c r="AD164" s="567"/>
      <c r="AE164" s="569"/>
      <c r="AF164" s="9"/>
      <c r="AG164" s="569"/>
      <c r="AH164" s="9"/>
      <c r="AI164" s="569"/>
      <c r="AJ164" s="569"/>
      <c r="AK164" s="9"/>
      <c r="AL164" s="9"/>
      <c r="AM164" s="222"/>
      <c r="AN164" s="222"/>
      <c r="AO164" s="222"/>
      <c r="AP164" s="222"/>
      <c r="AQ164" s="6"/>
      <c r="AR164" s="9"/>
    </row>
    <row r="165" spans="2:44" ht="16.5" thickBot="1" x14ac:dyDescent="0.3">
      <c r="B165" s="562" t="s">
        <v>15</v>
      </c>
      <c r="C165" s="563">
        <f t="shared" si="15"/>
        <v>25715.151515151516</v>
      </c>
      <c r="D165" s="564"/>
      <c r="E165" s="565">
        <f t="shared" si="16"/>
        <v>-583.95078955324789</v>
      </c>
      <c r="F165" s="566"/>
      <c r="G165" s="567">
        <f t="shared" si="17"/>
        <v>1929.1692830065804</v>
      </c>
      <c r="H165" s="568">
        <f t="shared" si="11"/>
        <v>0</v>
      </c>
      <c r="I165" s="9"/>
      <c r="J165" s="569">
        <f t="shared" si="12"/>
        <v>295.85740124188919</v>
      </c>
      <c r="K165" s="418"/>
      <c r="L165" s="568">
        <f t="shared" si="13"/>
        <v>0</v>
      </c>
      <c r="M165" s="568">
        <f t="shared" si="14"/>
        <v>97632.94240982343</v>
      </c>
      <c r="O165" s="9"/>
      <c r="P165" s="36"/>
      <c r="Q165" s="9"/>
      <c r="R165" s="36"/>
      <c r="S165" s="9"/>
      <c r="T165" s="36"/>
      <c r="U165" s="36"/>
      <c r="V165" s="36"/>
      <c r="W165" s="36"/>
      <c r="X165" s="9"/>
      <c r="Y165" s="6"/>
      <c r="Z165" s="36"/>
      <c r="AA165" s="566"/>
      <c r="AB165" s="567"/>
      <c r="AC165" s="566"/>
      <c r="AD165" s="567"/>
      <c r="AE165" s="569"/>
      <c r="AF165" s="9"/>
      <c r="AG165" s="569"/>
      <c r="AH165" s="9"/>
      <c r="AI165" s="569"/>
      <c r="AJ165" s="569"/>
      <c r="AK165" s="9"/>
      <c r="AL165" s="9"/>
      <c r="AM165" s="222"/>
      <c r="AN165" s="222"/>
      <c r="AO165" s="222"/>
      <c r="AP165" s="222"/>
      <c r="AQ165" s="6"/>
      <c r="AR165" s="9"/>
    </row>
    <row r="166" spans="2:44" ht="16.5" thickBot="1" x14ac:dyDescent="0.3">
      <c r="B166" s="562" t="s">
        <v>16</v>
      </c>
      <c r="C166" s="563">
        <f t="shared" si="15"/>
        <v>23386.454183266931</v>
      </c>
      <c r="D166" s="564"/>
      <c r="E166" s="565">
        <f t="shared" si="16"/>
        <v>1744.746542331337</v>
      </c>
      <c r="F166" s="566"/>
      <c r="G166" s="567">
        <f t="shared" si="17"/>
        <v>4257.8666148911652</v>
      </c>
      <c r="H166" s="568">
        <f t="shared" si="11"/>
        <v>267.5743297319338</v>
      </c>
      <c r="I166" s="9"/>
      <c r="J166" s="569">
        <f t="shared" si="12"/>
        <v>652.98642405970907</v>
      </c>
      <c r="K166" s="418"/>
      <c r="L166" s="568">
        <f t="shared" si="13"/>
        <v>67161.156762715385</v>
      </c>
      <c r="M166" s="568">
        <f t="shared" si="14"/>
        <v>163899.59243898696</v>
      </c>
      <c r="O166" s="9"/>
      <c r="P166" s="36"/>
      <c r="Q166" s="9"/>
      <c r="R166" s="36"/>
      <c r="S166" s="9"/>
      <c r="T166" s="36"/>
      <c r="U166" s="36"/>
      <c r="V166" s="36"/>
      <c r="W166" s="36"/>
      <c r="X166" s="9"/>
      <c r="Y166" s="6"/>
      <c r="Z166" s="36"/>
      <c r="AA166" s="566"/>
      <c r="AB166" s="567"/>
      <c r="AC166" s="566"/>
      <c r="AD166" s="567"/>
      <c r="AE166" s="569"/>
      <c r="AF166" s="9"/>
      <c r="AG166" s="569"/>
      <c r="AH166" s="9"/>
      <c r="AI166" s="569"/>
      <c r="AJ166" s="569"/>
      <c r="AK166" s="9"/>
      <c r="AL166" s="9"/>
      <c r="AM166" s="222"/>
      <c r="AN166" s="222"/>
      <c r="AO166" s="222"/>
      <c r="AP166" s="222"/>
      <c r="AQ166" s="6"/>
      <c r="AR166" s="9"/>
    </row>
    <row r="167" spans="2:44" ht="16.5" thickBot="1" x14ac:dyDescent="0.3">
      <c r="B167" s="562" t="s">
        <v>17</v>
      </c>
      <c r="C167" s="563">
        <f t="shared" si="15"/>
        <v>24604.36137071651</v>
      </c>
      <c r="D167" s="564"/>
      <c r="E167" s="565">
        <f t="shared" si="16"/>
        <v>526.83935488175848</v>
      </c>
      <c r="F167" s="566"/>
      <c r="G167" s="567">
        <f t="shared" si="17"/>
        <v>3039.9594274415867</v>
      </c>
      <c r="H167" s="568">
        <f t="shared" si="11"/>
        <v>78.235644199941135</v>
      </c>
      <c r="I167" s="9"/>
      <c r="J167" s="569">
        <f t="shared" si="12"/>
        <v>451.43397497507567</v>
      </c>
      <c r="K167" s="418"/>
      <c r="L167" s="568">
        <f t="shared" si="13"/>
        <v>150681.85072908661</v>
      </c>
      <c r="M167" s="568">
        <f t="shared" si="14"/>
        <v>869461.83580199571</v>
      </c>
      <c r="O167" s="9"/>
      <c r="P167" s="36"/>
      <c r="Q167" s="9"/>
      <c r="R167" s="36"/>
      <c r="S167" s="9"/>
      <c r="T167" s="36"/>
      <c r="U167" s="36"/>
      <c r="V167" s="36"/>
      <c r="W167" s="36"/>
      <c r="X167" s="9"/>
      <c r="Y167" s="6"/>
      <c r="Z167" s="36"/>
      <c r="AA167" s="566"/>
      <c r="AB167" s="567"/>
      <c r="AC167" s="566"/>
      <c r="AD167" s="567"/>
      <c r="AE167" s="569"/>
      <c r="AF167" s="9"/>
      <c r="AG167" s="569"/>
      <c r="AH167" s="9"/>
      <c r="AI167" s="569"/>
      <c r="AJ167" s="569"/>
      <c r="AK167" s="9"/>
      <c r="AL167" s="9"/>
      <c r="AM167" s="222"/>
      <c r="AN167" s="222"/>
      <c r="AO167" s="222"/>
      <c r="AP167" s="222"/>
      <c r="AQ167" s="6"/>
      <c r="AR167" s="9"/>
    </row>
    <row r="168" spans="2:44" ht="16.5" thickBot="1" x14ac:dyDescent="0.3">
      <c r="B168" s="562" t="s">
        <v>18</v>
      </c>
      <c r="C168" s="563">
        <f t="shared" si="15"/>
        <v>24380.145278450364</v>
      </c>
      <c r="D168" s="564"/>
      <c r="E168" s="565">
        <f t="shared" si="16"/>
        <v>751.05544714790449</v>
      </c>
      <c r="F168" s="566"/>
      <c r="G168" s="567">
        <f t="shared" si="17"/>
        <v>3264.1755197077327</v>
      </c>
      <c r="H168" s="568">
        <f t="shared" si="11"/>
        <v>115.18186337460264</v>
      </c>
      <c r="I168" s="9"/>
      <c r="J168" s="569">
        <f t="shared" si="12"/>
        <v>500.59395770237785</v>
      </c>
      <c r="K168" s="418"/>
      <c r="L168" s="568">
        <f t="shared" si="13"/>
        <v>47570.109573710892</v>
      </c>
      <c r="M168" s="568">
        <f t="shared" si="14"/>
        <v>206745.30453108205</v>
      </c>
      <c r="O168" s="9"/>
      <c r="P168" s="36"/>
      <c r="Q168" s="9"/>
      <c r="R168" s="36"/>
      <c r="S168" s="9"/>
      <c r="T168" s="36"/>
      <c r="U168" s="36"/>
      <c r="V168" s="36"/>
      <c r="W168" s="36"/>
      <c r="X168" s="9"/>
      <c r="Y168" s="6"/>
      <c r="Z168" s="36"/>
      <c r="AA168" s="566"/>
      <c r="AB168" s="567"/>
      <c r="AC168" s="566"/>
      <c r="AD168" s="567"/>
      <c r="AE168" s="569"/>
      <c r="AF168" s="9"/>
      <c r="AG168" s="569"/>
      <c r="AH168" s="9"/>
      <c r="AI168" s="569"/>
      <c r="AJ168" s="569"/>
      <c r="AK168" s="9"/>
      <c r="AL168" s="9"/>
      <c r="AM168" s="222"/>
      <c r="AN168" s="222"/>
      <c r="AO168" s="222"/>
      <c r="AP168" s="222"/>
      <c r="AQ168" s="6"/>
      <c r="AR168" s="9"/>
    </row>
    <row r="169" spans="2:44" ht="16.5" thickBot="1" x14ac:dyDescent="0.3">
      <c r="B169" s="562" t="s">
        <v>19</v>
      </c>
      <c r="C169" s="563">
        <f t="shared" si="15"/>
        <v>23279.646993932707</v>
      </c>
      <c r="D169" s="564"/>
      <c r="E169" s="565">
        <f t="shared" si="16"/>
        <v>1851.5537316655609</v>
      </c>
      <c r="F169" s="566"/>
      <c r="G169" s="567">
        <f t="shared" si="17"/>
        <v>4364.6738042253892</v>
      </c>
      <c r="H169" s="568">
        <f t="shared" si="11"/>
        <v>272.17839855483743</v>
      </c>
      <c r="I169" s="9"/>
      <c r="J169" s="569">
        <f t="shared" si="12"/>
        <v>641.60704922113223</v>
      </c>
      <c r="K169" s="418"/>
      <c r="L169" s="568">
        <f t="shared" si="13"/>
        <v>493459.43657992024</v>
      </c>
      <c r="M169" s="568">
        <f t="shared" si="14"/>
        <v>1163233.5802379127</v>
      </c>
      <c r="O169" s="9"/>
      <c r="P169" s="36"/>
      <c r="Q169" s="9"/>
      <c r="R169" s="36"/>
      <c r="S169" s="9"/>
      <c r="T169" s="36"/>
      <c r="U169" s="36"/>
      <c r="V169" s="36"/>
      <c r="W169" s="36"/>
      <c r="X169" s="9"/>
      <c r="Y169" s="6"/>
      <c r="Z169" s="36"/>
      <c r="AA169" s="566"/>
      <c r="AB169" s="567"/>
      <c r="AC169" s="566"/>
      <c r="AD169" s="567"/>
      <c r="AE169" s="569"/>
      <c r="AF169" s="9"/>
      <c r="AG169" s="569"/>
      <c r="AH169" s="9"/>
      <c r="AI169" s="569"/>
      <c r="AJ169" s="569"/>
      <c r="AK169" s="9"/>
      <c r="AL169" s="9"/>
      <c r="AM169" s="222"/>
      <c r="AN169" s="222"/>
      <c r="AO169" s="222"/>
      <c r="AP169" s="222"/>
      <c r="AQ169" s="6"/>
      <c r="AR169" s="9"/>
    </row>
    <row r="170" spans="2:44" ht="16.5" thickBot="1" x14ac:dyDescent="0.3">
      <c r="B170" s="562" t="s">
        <v>20</v>
      </c>
      <c r="C170" s="563">
        <f t="shared" si="15"/>
        <v>26080</v>
      </c>
      <c r="D170" s="564"/>
      <c r="E170" s="565">
        <f t="shared" si="16"/>
        <v>-948.79927440173196</v>
      </c>
      <c r="F170" s="566"/>
      <c r="G170" s="567">
        <f t="shared" si="17"/>
        <v>1564.3207981580963</v>
      </c>
      <c r="H170" s="568">
        <f t="shared" si="11"/>
        <v>0</v>
      </c>
      <c r="I170" s="9"/>
      <c r="J170" s="569">
        <f t="shared" si="12"/>
        <v>239.90423760552565</v>
      </c>
      <c r="K170" s="418"/>
      <c r="L170" s="568">
        <f t="shared" si="13"/>
        <v>0</v>
      </c>
      <c r="M170" s="568">
        <f t="shared" si="14"/>
        <v>23990.423760552567</v>
      </c>
      <c r="O170" s="9"/>
      <c r="P170" s="36"/>
      <c r="Q170" s="9"/>
      <c r="R170" s="36"/>
      <c r="S170" s="9"/>
      <c r="T170" s="36"/>
      <c r="U170" s="36"/>
      <c r="V170" s="36"/>
      <c r="W170" s="36"/>
      <c r="X170" s="9"/>
      <c r="Y170" s="6"/>
      <c r="Z170" s="36"/>
      <c r="AA170" s="566"/>
      <c r="AB170" s="567"/>
      <c r="AC170" s="566"/>
      <c r="AD170" s="567"/>
      <c r="AE170" s="569"/>
      <c r="AF170" s="9"/>
      <c r="AG170" s="569"/>
      <c r="AH170" s="9"/>
      <c r="AI170" s="569"/>
      <c r="AJ170" s="569"/>
      <c r="AK170" s="9"/>
      <c r="AL170" s="9"/>
      <c r="AM170" s="222"/>
      <c r="AN170" s="222"/>
      <c r="AO170" s="222"/>
      <c r="AP170" s="222"/>
      <c r="AQ170" s="6"/>
      <c r="AR170" s="9"/>
    </row>
    <row r="171" spans="2:44" ht="16.5" thickBot="1" x14ac:dyDescent="0.3">
      <c r="B171" s="562" t="s">
        <v>21</v>
      </c>
      <c r="C171" s="563">
        <f t="shared" si="15"/>
        <v>23815.354713313896</v>
      </c>
      <c r="D171" s="564"/>
      <c r="E171" s="565">
        <f t="shared" si="16"/>
        <v>1315.8460122843717</v>
      </c>
      <c r="F171" s="566"/>
      <c r="G171" s="567">
        <f t="shared" si="17"/>
        <v>3828.9660848441999</v>
      </c>
      <c r="H171" s="568">
        <f t="shared" si="11"/>
        <v>201.79814444393125</v>
      </c>
      <c r="I171" s="9"/>
      <c r="J171" s="569">
        <f t="shared" si="12"/>
        <v>587.21023877170649</v>
      </c>
      <c r="K171" s="418"/>
      <c r="L171" s="568">
        <f t="shared" si="13"/>
        <v>207650.29063280526</v>
      </c>
      <c r="M171" s="568">
        <f t="shared" si="14"/>
        <v>604239.33569608594</v>
      </c>
      <c r="O171" s="9"/>
      <c r="P171" s="36"/>
      <c r="Q171" s="9"/>
      <c r="R171" s="36"/>
      <c r="S171" s="9"/>
      <c r="T171" s="36"/>
      <c r="U171" s="36"/>
      <c r="V171" s="36"/>
      <c r="W171" s="36"/>
      <c r="X171" s="9"/>
      <c r="Y171" s="6"/>
      <c r="Z171" s="36"/>
      <c r="AA171" s="566"/>
      <c r="AB171" s="567"/>
      <c r="AC171" s="566"/>
      <c r="AD171" s="567"/>
      <c r="AE171" s="569"/>
      <c r="AF171" s="9"/>
      <c r="AG171" s="569"/>
      <c r="AH171" s="9"/>
      <c r="AI171" s="569"/>
      <c r="AJ171" s="569"/>
      <c r="AK171" s="9"/>
      <c r="AL171" s="9"/>
      <c r="AM171" s="222"/>
      <c r="AN171" s="222"/>
      <c r="AO171" s="222"/>
      <c r="AP171" s="222"/>
      <c r="AQ171" s="6"/>
      <c r="AR171" s="9"/>
    </row>
    <row r="172" spans="2:44" ht="16.5" thickBot="1" x14ac:dyDescent="0.3">
      <c r="B172" s="562" t="s">
        <v>22</v>
      </c>
      <c r="C172" s="563">
        <f t="shared" si="15"/>
        <v>21646.651270207851</v>
      </c>
      <c r="D172" s="564"/>
      <c r="E172" s="565">
        <f t="shared" si="16"/>
        <v>3484.5494553904173</v>
      </c>
      <c r="F172" s="566"/>
      <c r="G172" s="567">
        <f t="shared" si="17"/>
        <v>5997.6695279502455</v>
      </c>
      <c r="H172" s="568">
        <f t="shared" si="11"/>
        <v>534.39050447867442</v>
      </c>
      <c r="I172" s="9"/>
      <c r="J172" s="569">
        <f t="shared" si="12"/>
        <v>919.80259880644974</v>
      </c>
      <c r="K172" s="418"/>
      <c r="L172" s="568">
        <f t="shared" si="13"/>
        <v>231391.08843926602</v>
      </c>
      <c r="M172" s="568">
        <f t="shared" si="14"/>
        <v>398274.52528319275</v>
      </c>
      <c r="O172" s="9"/>
      <c r="P172" s="36"/>
      <c r="Q172" s="9"/>
      <c r="R172" s="36"/>
      <c r="S172" s="9"/>
      <c r="T172" s="36"/>
      <c r="U172" s="36"/>
      <c r="V172" s="36"/>
      <c r="W172" s="36"/>
      <c r="X172" s="9"/>
      <c r="Y172" s="6"/>
      <c r="Z172" s="36"/>
      <c r="AA172" s="566"/>
      <c r="AB172" s="567"/>
      <c r="AC172" s="566"/>
      <c r="AD172" s="567"/>
      <c r="AE172" s="569"/>
      <c r="AF172" s="9"/>
      <c r="AG172" s="569"/>
      <c r="AH172" s="9"/>
      <c r="AI172" s="569"/>
      <c r="AJ172" s="569"/>
      <c r="AK172" s="9"/>
      <c r="AL172" s="9"/>
      <c r="AM172" s="222"/>
      <c r="AN172" s="222"/>
      <c r="AO172" s="222"/>
      <c r="AP172" s="222"/>
      <c r="AQ172" s="6"/>
      <c r="AR172" s="9"/>
    </row>
    <row r="173" spans="2:44" ht="16.5" thickBot="1" x14ac:dyDescent="0.3">
      <c r="B173" s="562" t="s">
        <v>23</v>
      </c>
      <c r="C173" s="563">
        <f t="shared" si="15"/>
        <v>27267.796015096988</v>
      </c>
      <c r="D173" s="564"/>
      <c r="E173" s="565">
        <f t="shared" si="16"/>
        <v>-2136.5952894987204</v>
      </c>
      <c r="F173" s="566"/>
      <c r="G173" s="567">
        <f t="shared" si="17"/>
        <v>376.52478306110788</v>
      </c>
      <c r="H173" s="568">
        <f t="shared" si="11"/>
        <v>0</v>
      </c>
      <c r="I173" s="9"/>
      <c r="J173" s="569">
        <f t="shared" si="12"/>
        <v>55.913930284574519</v>
      </c>
      <c r="K173" s="418"/>
      <c r="L173" s="568">
        <f t="shared" si="13"/>
        <v>0</v>
      </c>
      <c r="M173" s="568">
        <f t="shared" si="14"/>
        <v>637027.4077321575</v>
      </c>
      <c r="O173" s="9"/>
      <c r="P173" s="36"/>
      <c r="Q173" s="9"/>
      <c r="R173" s="36"/>
      <c r="S173" s="9"/>
      <c r="T173" s="36"/>
      <c r="U173" s="36"/>
      <c r="V173" s="36"/>
      <c r="W173" s="36"/>
      <c r="X173" s="9"/>
      <c r="Y173" s="6"/>
      <c r="Z173" s="36"/>
      <c r="AA173" s="566"/>
      <c r="AB173" s="567"/>
      <c r="AC173" s="566"/>
      <c r="AD173" s="567"/>
      <c r="AE173" s="569"/>
      <c r="AF173" s="9"/>
      <c r="AG173" s="569"/>
      <c r="AH173" s="9"/>
      <c r="AI173" s="569"/>
      <c r="AJ173" s="569"/>
      <c r="AK173" s="9"/>
      <c r="AL173" s="9"/>
      <c r="AM173" s="222"/>
      <c r="AN173" s="222"/>
      <c r="AO173" s="222"/>
      <c r="AP173" s="222"/>
      <c r="AQ173" s="6"/>
      <c r="AR173" s="9"/>
    </row>
    <row r="174" spans="2:44" ht="16.5" thickBot="1" x14ac:dyDescent="0.3">
      <c r="B174" s="493" t="s">
        <v>247</v>
      </c>
      <c r="C174" s="563">
        <f t="shared" si="15"/>
        <v>25131.200725598268</v>
      </c>
      <c r="D174" s="574"/>
      <c r="E174" s="565">
        <f t="shared" si="16"/>
        <v>0</v>
      </c>
      <c r="F174" s="576"/>
      <c r="G174" s="577">
        <f t="shared" si="17"/>
        <v>2513.1200725598283</v>
      </c>
      <c r="H174" s="435"/>
      <c r="I174" s="494"/>
      <c r="J174" s="494"/>
      <c r="K174" s="420"/>
      <c r="L174" s="539">
        <f>SUM(L158:L173)</f>
        <v>5250510.1098516164</v>
      </c>
      <c r="M174" s="578">
        <f>SUM(M158:M173)</f>
        <v>12424913.661600383</v>
      </c>
      <c r="O174" s="9"/>
      <c r="P174" s="36"/>
      <c r="Q174" s="9"/>
      <c r="R174" s="9"/>
      <c r="S174" s="9"/>
      <c r="T174" s="9"/>
      <c r="U174" s="9"/>
      <c r="V174" s="36"/>
      <c r="W174" s="36"/>
      <c r="X174" s="9"/>
      <c r="Y174" s="6"/>
      <c r="Z174" s="36"/>
      <c r="AA174" s="138"/>
      <c r="AB174" s="735"/>
      <c r="AC174" s="138"/>
      <c r="AD174" s="735"/>
      <c r="AE174" s="6"/>
      <c r="AF174" s="6"/>
      <c r="AG174" s="6"/>
      <c r="AH174" s="9"/>
      <c r="AI174" s="222"/>
      <c r="AJ174" s="736"/>
      <c r="AK174" s="9"/>
      <c r="AL174" s="9"/>
      <c r="AM174" s="6"/>
      <c r="AN174" s="6"/>
      <c r="AO174" s="6"/>
      <c r="AP174" s="6"/>
      <c r="AQ174" s="6"/>
      <c r="AR174" s="9"/>
    </row>
    <row r="175" spans="2:44" x14ac:dyDescent="0.2">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row>
    <row r="176" spans="2:44" x14ac:dyDescent="0.2">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row>
    <row r="177" spans="1:44" x14ac:dyDescent="0.2">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row>
    <row r="178" spans="1:44" x14ac:dyDescent="0.2">
      <c r="O178" s="9"/>
      <c r="P178" s="9"/>
      <c r="Q178" s="9"/>
      <c r="R178" s="9"/>
      <c r="S178" s="9"/>
      <c r="T178" s="9"/>
      <c r="U178" s="9"/>
      <c r="V178" s="9"/>
      <c r="W178" s="9"/>
      <c r="X178" s="9"/>
      <c r="Y178" s="1364"/>
      <c r="Z178" s="1364"/>
      <c r="AA178" s="9"/>
      <c r="AB178" s="9"/>
      <c r="AC178" s="9"/>
      <c r="AD178" s="9"/>
      <c r="AE178" s="9"/>
      <c r="AF178" s="9"/>
      <c r="AG178" s="9"/>
      <c r="AH178" s="9"/>
      <c r="AI178" s="9"/>
      <c r="AJ178" s="9"/>
      <c r="AK178" s="9"/>
      <c r="AL178" s="9"/>
      <c r="AM178" s="9"/>
      <c r="AN178" s="9"/>
      <c r="AO178" s="9"/>
      <c r="AP178" s="9"/>
      <c r="AQ178" s="9"/>
      <c r="AR178" s="9"/>
    </row>
    <row r="179" spans="1:44"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1364"/>
      <c r="Z179" s="1364"/>
      <c r="AA179" s="1364"/>
      <c r="AB179" s="1364"/>
      <c r="AC179" s="1364"/>
      <c r="AD179" s="1364"/>
      <c r="AE179" s="1363"/>
      <c r="AF179" s="1365"/>
      <c r="AG179" s="1365"/>
      <c r="AH179" s="9"/>
      <c r="AI179" s="1363"/>
      <c r="AJ179" s="1363"/>
      <c r="AK179" s="9"/>
      <c r="AL179" s="9"/>
      <c r="AM179" s="9"/>
      <c r="AN179" s="9"/>
      <c r="AO179" s="9"/>
      <c r="AP179" s="9"/>
      <c r="AQ179" s="9"/>
      <c r="AR179" s="9"/>
    </row>
    <row r="180" spans="1:44" x14ac:dyDescent="0.2">
      <c r="A180" s="9"/>
      <c r="B180" s="1364"/>
      <c r="C180" s="1364"/>
      <c r="D180" s="9"/>
      <c r="E180" s="9"/>
      <c r="F180" s="9"/>
      <c r="G180" s="9"/>
      <c r="H180" s="9"/>
      <c r="I180" s="9"/>
      <c r="J180" s="9"/>
      <c r="K180" s="9"/>
      <c r="L180" s="9"/>
      <c r="M180" s="9"/>
      <c r="N180" s="9"/>
      <c r="O180" s="9"/>
      <c r="P180" s="9"/>
      <c r="Q180" s="9"/>
      <c r="R180" s="9"/>
      <c r="S180" s="9"/>
      <c r="T180" s="9"/>
      <c r="U180" s="9"/>
      <c r="V180" s="9"/>
      <c r="W180" s="9"/>
      <c r="X180" s="9"/>
      <c r="Y180" s="1364"/>
      <c r="Z180" s="1364"/>
      <c r="AA180" s="1364"/>
      <c r="AB180" s="1364"/>
      <c r="AC180" s="1364"/>
      <c r="AD180" s="1364"/>
      <c r="AE180" s="1363"/>
      <c r="AF180" s="1365"/>
      <c r="AG180" s="1365"/>
      <c r="AH180" s="9"/>
      <c r="AI180" s="1363"/>
      <c r="AJ180" s="1363"/>
      <c r="AK180" s="9"/>
      <c r="AL180" s="9"/>
      <c r="AM180" s="9"/>
      <c r="AN180" s="9"/>
      <c r="AO180" s="9"/>
      <c r="AP180" s="9"/>
      <c r="AQ180" s="9"/>
      <c r="AR180" s="9"/>
    </row>
    <row r="181" spans="1:44" ht="15.75" x14ac:dyDescent="0.25">
      <c r="A181" s="9"/>
      <c r="B181" s="1364"/>
      <c r="C181" s="1364"/>
      <c r="D181" s="1364"/>
      <c r="E181" s="1364"/>
      <c r="F181" s="1364"/>
      <c r="G181" s="1364"/>
      <c r="H181" s="1363"/>
      <c r="I181" s="1365"/>
      <c r="J181" s="1365"/>
      <c r="K181" s="9"/>
      <c r="L181" s="1363"/>
      <c r="M181" s="1363"/>
      <c r="N181" s="9"/>
      <c r="O181" s="9"/>
      <c r="P181" s="9"/>
      <c r="Q181" s="9"/>
      <c r="R181" s="9"/>
      <c r="S181" s="9"/>
      <c r="T181" s="9"/>
      <c r="U181" s="9"/>
      <c r="V181" s="9"/>
      <c r="W181" s="9"/>
      <c r="X181" s="9"/>
      <c r="Y181" s="1364"/>
      <c r="Z181" s="1364"/>
      <c r="AA181" s="1364"/>
      <c r="AB181" s="1364"/>
      <c r="AC181" s="1364"/>
      <c r="AD181" s="1364"/>
      <c r="AE181" s="1363"/>
      <c r="AF181" s="709"/>
      <c r="AG181" s="709"/>
      <c r="AH181" s="9"/>
      <c r="AI181" s="1363"/>
      <c r="AJ181" s="1363"/>
      <c r="AK181" s="9"/>
      <c r="AL181" s="9"/>
      <c r="AM181" s="9"/>
      <c r="AN181" s="9"/>
      <c r="AO181" s="9"/>
      <c r="AP181" s="9"/>
      <c r="AQ181" s="9"/>
      <c r="AR181" s="9"/>
    </row>
    <row r="182" spans="1:44" ht="15.75" x14ac:dyDescent="0.25">
      <c r="A182" s="9"/>
      <c r="B182" s="1364"/>
      <c r="C182" s="1364"/>
      <c r="D182" s="1364"/>
      <c r="E182" s="1364"/>
      <c r="F182" s="1364"/>
      <c r="G182" s="1364"/>
      <c r="H182" s="1363"/>
      <c r="I182" s="1365"/>
      <c r="J182" s="1365"/>
      <c r="K182" s="9"/>
      <c r="L182" s="1363"/>
      <c r="M182" s="1363"/>
      <c r="N182" s="9"/>
      <c r="O182" s="9"/>
      <c r="P182" s="9"/>
      <c r="Q182" s="9"/>
      <c r="R182" s="9"/>
      <c r="S182" s="9"/>
      <c r="T182" s="9"/>
      <c r="U182" s="9"/>
      <c r="V182" s="9"/>
      <c r="W182" s="9"/>
      <c r="X182" s="9"/>
      <c r="Y182" s="1364"/>
      <c r="Z182" s="1364"/>
      <c r="AA182" s="1364"/>
      <c r="AB182" s="1364"/>
      <c r="AC182" s="1364"/>
      <c r="AD182" s="1364"/>
      <c r="AE182" s="1363"/>
      <c r="AF182" s="709"/>
      <c r="AG182" s="709"/>
      <c r="AH182" s="9"/>
      <c r="AI182" s="1363"/>
      <c r="AJ182" s="1363"/>
      <c r="AK182" s="9"/>
      <c r="AL182" s="9"/>
      <c r="AM182" s="9"/>
      <c r="AN182" s="9"/>
      <c r="AO182" s="9"/>
      <c r="AP182" s="9"/>
      <c r="AQ182" s="9"/>
      <c r="AR182" s="9"/>
    </row>
    <row r="183" spans="1:44" ht="15.75" x14ac:dyDescent="0.25">
      <c r="A183" s="9"/>
      <c r="B183" s="1364"/>
      <c r="C183" s="1364"/>
      <c r="D183" s="1364"/>
      <c r="E183" s="1364"/>
      <c r="F183" s="1364"/>
      <c r="G183" s="1364"/>
      <c r="H183" s="1363"/>
      <c r="I183" s="709"/>
      <c r="J183" s="709"/>
      <c r="K183" s="9"/>
      <c r="L183" s="1363"/>
      <c r="M183" s="1363"/>
      <c r="N183" s="9"/>
      <c r="O183" s="9"/>
      <c r="P183" s="9"/>
      <c r="Q183" s="9"/>
      <c r="R183" s="9"/>
      <c r="S183" s="9"/>
      <c r="T183" s="9"/>
      <c r="U183" s="9"/>
      <c r="V183" s="9"/>
      <c r="W183" s="9"/>
      <c r="X183" s="9"/>
      <c r="Y183" s="6"/>
      <c r="Z183" s="6"/>
      <c r="AA183" s="566"/>
      <c r="AB183" s="566"/>
      <c r="AC183" s="566"/>
      <c r="AD183" s="566"/>
      <c r="AE183" s="9"/>
      <c r="AF183" s="9"/>
      <c r="AG183" s="9"/>
      <c r="AH183" s="9"/>
      <c r="AI183" s="9"/>
      <c r="AJ183" s="9"/>
      <c r="AK183" s="9"/>
      <c r="AL183" s="737"/>
      <c r="AM183" s="9"/>
      <c r="AN183" s="9"/>
      <c r="AO183" s="9"/>
      <c r="AP183" s="9"/>
      <c r="AQ183" s="9"/>
      <c r="AR183" s="9"/>
    </row>
    <row r="184" spans="1:44" ht="15.75" x14ac:dyDescent="0.25">
      <c r="A184" s="9"/>
      <c r="B184" s="1364"/>
      <c r="C184" s="1364"/>
      <c r="D184" s="1364"/>
      <c r="E184" s="1364"/>
      <c r="F184" s="1364"/>
      <c r="G184" s="1364"/>
      <c r="H184" s="1363"/>
      <c r="I184" s="709"/>
      <c r="J184" s="709"/>
      <c r="K184" s="9"/>
      <c r="L184" s="1363"/>
      <c r="M184" s="1363"/>
      <c r="N184" s="9"/>
      <c r="O184" s="9"/>
      <c r="P184" s="9"/>
      <c r="Q184" s="9"/>
      <c r="R184" s="9"/>
      <c r="S184" s="9"/>
      <c r="T184" s="9"/>
      <c r="U184" s="9"/>
      <c r="V184" s="9"/>
      <c r="W184" s="9"/>
      <c r="X184" s="9"/>
      <c r="Y184" s="6"/>
      <c r="Z184" s="36"/>
      <c r="AA184" s="566"/>
      <c r="AB184" s="567"/>
      <c r="AC184" s="566"/>
      <c r="AD184" s="567"/>
      <c r="AE184" s="569"/>
      <c r="AF184" s="9"/>
      <c r="AG184" s="569"/>
      <c r="AH184" s="9"/>
      <c r="AI184" s="36"/>
      <c r="AJ184" s="569"/>
      <c r="AK184" s="9"/>
      <c r="AL184" s="736"/>
      <c r="AM184" s="37"/>
      <c r="AN184" s="9"/>
      <c r="AO184" s="9"/>
      <c r="AP184" s="9"/>
      <c r="AQ184" s="9"/>
      <c r="AR184" s="9"/>
    </row>
    <row r="185" spans="1:44" ht="15.75" x14ac:dyDescent="0.25">
      <c r="A185" s="9"/>
      <c r="B185" s="6"/>
      <c r="C185" s="6"/>
      <c r="D185" s="566"/>
      <c r="E185" s="566"/>
      <c r="F185" s="566"/>
      <c r="G185" s="566"/>
      <c r="H185" s="9"/>
      <c r="I185" s="9"/>
      <c r="J185" s="9"/>
      <c r="K185" s="9"/>
      <c r="L185" s="9"/>
      <c r="M185" s="9"/>
      <c r="N185" s="9"/>
      <c r="O185" s="9"/>
      <c r="P185" s="9"/>
      <c r="Q185" s="9"/>
      <c r="R185" s="9"/>
      <c r="S185" s="9"/>
      <c r="T185" s="9"/>
      <c r="U185" s="9"/>
      <c r="V185" s="9"/>
      <c r="W185" s="9"/>
      <c r="X185" s="9"/>
      <c r="Y185" s="6"/>
      <c r="Z185" s="36"/>
      <c r="AA185" s="566"/>
      <c r="AB185" s="567"/>
      <c r="AC185" s="566"/>
      <c r="AD185" s="567"/>
      <c r="AE185" s="569"/>
      <c r="AF185" s="9"/>
      <c r="AG185" s="569"/>
      <c r="AH185" s="9"/>
      <c r="AI185" s="36"/>
      <c r="AJ185" s="569"/>
      <c r="AK185" s="9"/>
      <c r="AL185" s="736"/>
      <c r="AM185" s="37"/>
      <c r="AN185" s="9"/>
      <c r="AO185" s="9"/>
      <c r="AP185" s="9"/>
      <c r="AQ185" s="9"/>
      <c r="AR185" s="9"/>
    </row>
    <row r="186" spans="1:44" ht="15.75" x14ac:dyDescent="0.25">
      <c r="A186" s="9"/>
      <c r="B186" s="6"/>
      <c r="C186" s="36"/>
      <c r="D186" s="566"/>
      <c r="E186" s="567"/>
      <c r="F186" s="566"/>
      <c r="G186" s="567"/>
      <c r="H186" s="569"/>
      <c r="I186" s="9"/>
      <c r="J186" s="569"/>
      <c r="K186" s="9"/>
      <c r="L186" s="36"/>
      <c r="M186" s="569"/>
      <c r="N186" s="9"/>
      <c r="O186" s="9"/>
      <c r="P186" s="9"/>
      <c r="Q186" s="9"/>
      <c r="R186" s="9"/>
      <c r="S186" s="9"/>
      <c r="T186" s="9"/>
      <c r="U186" s="9"/>
      <c r="V186" s="9"/>
      <c r="W186" s="9"/>
      <c r="X186" s="9"/>
      <c r="Y186" s="6"/>
      <c r="Z186" s="36"/>
      <c r="AA186" s="566"/>
      <c r="AB186" s="567"/>
      <c r="AC186" s="566"/>
      <c r="AD186" s="567"/>
      <c r="AE186" s="569"/>
      <c r="AF186" s="9"/>
      <c r="AG186" s="569"/>
      <c r="AH186" s="9"/>
      <c r="AI186" s="36"/>
      <c r="AJ186" s="569"/>
      <c r="AK186" s="9"/>
      <c r="AL186" s="736"/>
      <c r="AM186" s="37"/>
      <c r="AN186" s="9"/>
      <c r="AO186" s="9"/>
      <c r="AP186" s="9"/>
      <c r="AQ186" s="9"/>
      <c r="AR186" s="9"/>
    </row>
    <row r="187" spans="1:44" ht="15.75" x14ac:dyDescent="0.25">
      <c r="A187" s="9"/>
      <c r="B187" s="6"/>
      <c r="C187" s="36"/>
      <c r="D187" s="566"/>
      <c r="E187" s="567"/>
      <c r="F187" s="566"/>
      <c r="G187" s="567"/>
      <c r="H187" s="569"/>
      <c r="I187" s="9"/>
      <c r="J187" s="569"/>
      <c r="K187" s="9"/>
      <c r="L187" s="36"/>
      <c r="M187" s="569"/>
      <c r="N187" s="9"/>
      <c r="Y187" s="6"/>
      <c r="Z187" s="36"/>
      <c r="AA187" s="566"/>
      <c r="AB187" s="567"/>
      <c r="AC187" s="566"/>
      <c r="AD187" s="567"/>
      <c r="AE187" s="569"/>
      <c r="AF187" s="9"/>
      <c r="AG187" s="569"/>
      <c r="AH187" s="9"/>
      <c r="AI187" s="36"/>
      <c r="AJ187" s="569"/>
      <c r="AK187" s="9"/>
      <c r="AL187" s="736"/>
      <c r="AM187" s="37"/>
      <c r="AN187" s="9"/>
      <c r="AO187" s="9"/>
      <c r="AP187" s="9"/>
      <c r="AQ187" s="9"/>
      <c r="AR187" s="9"/>
    </row>
    <row r="188" spans="1:44" ht="15.75" x14ac:dyDescent="0.25">
      <c r="A188" s="9"/>
      <c r="B188" s="6"/>
      <c r="C188" s="36"/>
      <c r="D188" s="566"/>
      <c r="E188" s="567"/>
      <c r="F188" s="566"/>
      <c r="G188" s="567"/>
      <c r="H188" s="569"/>
      <c r="I188" s="9"/>
      <c r="J188" s="569"/>
      <c r="K188" s="9"/>
      <c r="L188" s="36"/>
      <c r="M188" s="569"/>
      <c r="N188" s="9"/>
      <c r="Y188" s="6"/>
      <c r="Z188" s="36"/>
      <c r="AA188" s="566"/>
      <c r="AB188" s="567"/>
      <c r="AC188" s="566"/>
      <c r="AD188" s="567"/>
      <c r="AE188" s="569"/>
      <c r="AF188" s="9"/>
      <c r="AG188" s="569"/>
      <c r="AH188" s="9"/>
      <c r="AI188" s="36"/>
      <c r="AJ188" s="569"/>
      <c r="AK188" s="9"/>
      <c r="AL188" s="736"/>
      <c r="AM188" s="37"/>
      <c r="AN188" s="9"/>
      <c r="AO188" s="9"/>
      <c r="AP188" s="9"/>
      <c r="AQ188" s="9"/>
      <c r="AR188" s="9"/>
    </row>
    <row r="189" spans="1:44" ht="15.75" x14ac:dyDescent="0.25">
      <c r="A189" s="9"/>
      <c r="B189" s="6"/>
      <c r="C189" s="36"/>
      <c r="D189" s="566"/>
      <c r="E189" s="567"/>
      <c r="F189" s="566"/>
      <c r="G189" s="567"/>
      <c r="H189" s="569"/>
      <c r="I189" s="9"/>
      <c r="J189" s="569"/>
      <c r="K189" s="9"/>
      <c r="L189" s="36"/>
      <c r="M189" s="569"/>
      <c r="N189" s="9"/>
      <c r="Y189" s="6"/>
      <c r="Z189" s="36"/>
      <c r="AA189" s="566"/>
      <c r="AB189" s="567"/>
      <c r="AC189" s="566"/>
      <c r="AD189" s="567"/>
      <c r="AE189" s="569"/>
      <c r="AF189" s="9"/>
      <c r="AG189" s="569"/>
      <c r="AH189" s="9"/>
      <c r="AI189" s="36"/>
      <c r="AJ189" s="569"/>
      <c r="AK189" s="9"/>
      <c r="AL189" s="736"/>
      <c r="AM189" s="37"/>
      <c r="AN189" s="9"/>
      <c r="AO189" s="9"/>
      <c r="AP189" s="9"/>
      <c r="AQ189" s="9"/>
      <c r="AR189" s="9"/>
    </row>
    <row r="190" spans="1:44" ht="15.75" x14ac:dyDescent="0.25">
      <c r="A190" s="9"/>
      <c r="B190" s="6"/>
      <c r="C190" s="36"/>
      <c r="D190" s="566"/>
      <c r="E190" s="567"/>
      <c r="F190" s="566"/>
      <c r="G190" s="567"/>
      <c r="H190" s="569"/>
      <c r="I190" s="9"/>
      <c r="J190" s="569"/>
      <c r="K190" s="9"/>
      <c r="L190" s="36"/>
      <c r="M190" s="569"/>
      <c r="N190" s="9"/>
      <c r="Y190" s="6"/>
      <c r="Z190" s="36"/>
      <c r="AA190" s="566"/>
      <c r="AB190" s="567"/>
      <c r="AC190" s="566"/>
      <c r="AD190" s="567"/>
      <c r="AE190" s="569"/>
      <c r="AF190" s="9"/>
      <c r="AG190" s="569"/>
      <c r="AH190" s="9"/>
      <c r="AI190" s="36"/>
      <c r="AJ190" s="569"/>
      <c r="AK190" s="9"/>
      <c r="AL190" s="736"/>
      <c r="AM190" s="37"/>
      <c r="AN190" s="9"/>
      <c r="AO190" s="9"/>
      <c r="AP190" s="9"/>
      <c r="AQ190" s="9"/>
      <c r="AR190" s="9"/>
    </row>
    <row r="191" spans="1:44" ht="15.75" x14ac:dyDescent="0.25">
      <c r="A191" s="9"/>
      <c r="B191" s="6"/>
      <c r="C191" s="36"/>
      <c r="D191" s="566"/>
      <c r="E191" s="567"/>
      <c r="F191" s="566"/>
      <c r="G191" s="567"/>
      <c r="H191" s="569"/>
      <c r="I191" s="9"/>
      <c r="J191" s="569"/>
      <c r="K191" s="9"/>
      <c r="L191" s="36"/>
      <c r="M191" s="569"/>
      <c r="N191" s="9"/>
      <c r="Y191" s="6"/>
      <c r="Z191" s="36"/>
      <c r="AA191" s="566"/>
      <c r="AB191" s="567"/>
      <c r="AC191" s="566"/>
      <c r="AD191" s="567"/>
      <c r="AE191" s="569"/>
      <c r="AF191" s="9"/>
      <c r="AG191" s="569"/>
      <c r="AH191" s="9"/>
      <c r="AI191" s="36"/>
      <c r="AJ191" s="569"/>
      <c r="AK191" s="9"/>
      <c r="AL191" s="736"/>
      <c r="AM191" s="37"/>
      <c r="AN191" s="9"/>
      <c r="AO191" s="9"/>
      <c r="AP191" s="9"/>
      <c r="AQ191" s="9"/>
      <c r="AR191" s="9"/>
    </row>
    <row r="192" spans="1:44" ht="15.75" x14ac:dyDescent="0.25">
      <c r="A192" s="9"/>
      <c r="B192" s="6"/>
      <c r="C192" s="36"/>
      <c r="D192" s="566"/>
      <c r="E192" s="567"/>
      <c r="F192" s="566"/>
      <c r="G192" s="567"/>
      <c r="H192" s="569"/>
      <c r="I192" s="9"/>
      <c r="J192" s="569"/>
      <c r="K192" s="9"/>
      <c r="L192" s="36"/>
      <c r="M192" s="569"/>
      <c r="N192" s="9"/>
      <c r="Y192" s="6"/>
      <c r="Z192" s="36"/>
      <c r="AA192" s="566"/>
      <c r="AB192" s="567"/>
      <c r="AC192" s="566"/>
      <c r="AD192" s="567"/>
      <c r="AE192" s="569"/>
      <c r="AF192" s="9"/>
      <c r="AG192" s="569"/>
      <c r="AH192" s="9"/>
      <c r="AI192" s="36"/>
      <c r="AJ192" s="569"/>
      <c r="AK192" s="9"/>
      <c r="AL192" s="736"/>
      <c r="AM192" s="37"/>
      <c r="AN192" s="9"/>
      <c r="AO192" s="9"/>
      <c r="AP192" s="9"/>
      <c r="AQ192" s="9"/>
      <c r="AR192" s="9"/>
    </row>
    <row r="193" spans="1:44" ht="15.75" x14ac:dyDescent="0.25">
      <c r="A193" s="9"/>
      <c r="B193" s="6"/>
      <c r="C193" s="36"/>
      <c r="D193" s="566"/>
      <c r="E193" s="567"/>
      <c r="F193" s="566"/>
      <c r="G193" s="567"/>
      <c r="H193" s="569"/>
      <c r="I193" s="9"/>
      <c r="J193" s="569"/>
      <c r="K193" s="9"/>
      <c r="L193" s="36"/>
      <c r="M193" s="569"/>
      <c r="N193" s="9"/>
      <c r="Y193" s="6"/>
      <c r="Z193" s="36"/>
      <c r="AA193" s="566"/>
      <c r="AB193" s="567"/>
      <c r="AC193" s="566"/>
      <c r="AD193" s="567"/>
      <c r="AE193" s="569"/>
      <c r="AF193" s="9"/>
      <c r="AG193" s="569"/>
      <c r="AH193" s="9"/>
      <c r="AI193" s="36"/>
      <c r="AJ193" s="569"/>
      <c r="AK193" s="9"/>
      <c r="AL193" s="736"/>
      <c r="AM193" s="37"/>
      <c r="AN193" s="9"/>
      <c r="AO193" s="9"/>
      <c r="AP193" s="9"/>
      <c r="AQ193" s="9"/>
      <c r="AR193" s="9"/>
    </row>
    <row r="194" spans="1:44" ht="15.75" x14ac:dyDescent="0.25">
      <c r="A194" s="9"/>
      <c r="B194" s="6"/>
      <c r="C194" s="36"/>
      <c r="D194" s="566"/>
      <c r="E194" s="567"/>
      <c r="F194" s="566"/>
      <c r="G194" s="567"/>
      <c r="H194" s="569"/>
      <c r="I194" s="9"/>
      <c r="J194" s="569"/>
      <c r="K194" s="9"/>
      <c r="L194" s="36"/>
      <c r="M194" s="569"/>
      <c r="N194" s="9"/>
      <c r="Y194" s="6"/>
      <c r="Z194" s="36"/>
      <c r="AA194" s="566"/>
      <c r="AB194" s="567"/>
      <c r="AC194" s="566"/>
      <c r="AD194" s="567"/>
      <c r="AE194" s="569"/>
      <c r="AF194" s="9"/>
      <c r="AG194" s="569"/>
      <c r="AH194" s="9"/>
      <c r="AI194" s="36"/>
      <c r="AJ194" s="569"/>
      <c r="AK194" s="9"/>
      <c r="AL194" s="736"/>
      <c r="AM194" s="37"/>
      <c r="AN194" s="9"/>
      <c r="AO194" s="9"/>
      <c r="AP194" s="9"/>
      <c r="AQ194" s="9"/>
      <c r="AR194" s="9"/>
    </row>
    <row r="195" spans="1:44" ht="15.75" x14ac:dyDescent="0.25">
      <c r="A195" s="9"/>
      <c r="B195" s="6"/>
      <c r="C195" s="36"/>
      <c r="D195" s="566"/>
      <c r="E195" s="567"/>
      <c r="F195" s="566"/>
      <c r="G195" s="567"/>
      <c r="H195" s="569"/>
      <c r="I195" s="9"/>
      <c r="J195" s="569"/>
      <c r="K195" s="9"/>
      <c r="L195" s="36"/>
      <c r="M195" s="569"/>
      <c r="N195" s="9"/>
      <c r="Y195" s="6"/>
      <c r="Z195" s="36"/>
      <c r="AA195" s="566"/>
      <c r="AB195" s="567"/>
      <c r="AC195" s="566"/>
      <c r="AD195" s="567"/>
      <c r="AE195" s="569"/>
      <c r="AF195" s="9"/>
      <c r="AG195" s="569"/>
      <c r="AH195" s="9"/>
      <c r="AI195" s="36"/>
      <c r="AJ195" s="569"/>
      <c r="AK195" s="9"/>
      <c r="AL195" s="736"/>
      <c r="AM195" s="37"/>
      <c r="AN195" s="9"/>
      <c r="AO195" s="9"/>
      <c r="AP195" s="9"/>
      <c r="AQ195" s="9"/>
      <c r="AR195" s="9"/>
    </row>
    <row r="196" spans="1:44" ht="15.75" x14ac:dyDescent="0.25">
      <c r="A196" s="9"/>
      <c r="B196" s="6"/>
      <c r="C196" s="36"/>
      <c r="D196" s="566"/>
      <c r="E196" s="567"/>
      <c r="F196" s="566"/>
      <c r="G196" s="567"/>
      <c r="H196" s="569"/>
      <c r="I196" s="9"/>
      <c r="J196" s="569"/>
      <c r="K196" s="9"/>
      <c r="L196" s="36"/>
      <c r="M196" s="569"/>
      <c r="N196" s="9"/>
      <c r="Y196" s="6"/>
      <c r="Z196" s="36"/>
      <c r="AA196" s="566"/>
      <c r="AB196" s="567"/>
      <c r="AC196" s="566"/>
      <c r="AD196" s="567"/>
      <c r="AE196" s="569"/>
      <c r="AF196" s="9"/>
      <c r="AG196" s="569"/>
      <c r="AH196" s="9"/>
      <c r="AI196" s="36"/>
      <c r="AJ196" s="569"/>
      <c r="AK196" s="9"/>
      <c r="AL196" s="736"/>
      <c r="AM196" s="37"/>
      <c r="AN196" s="9"/>
      <c r="AO196" s="9"/>
      <c r="AP196" s="9"/>
      <c r="AQ196" s="9"/>
      <c r="AR196" s="9"/>
    </row>
    <row r="197" spans="1:44" ht="15.75" x14ac:dyDescent="0.25">
      <c r="A197" s="9"/>
      <c r="B197" s="6"/>
      <c r="C197" s="36"/>
      <c r="D197" s="566"/>
      <c r="E197" s="567"/>
      <c r="F197" s="566"/>
      <c r="G197" s="567"/>
      <c r="H197" s="569"/>
      <c r="I197" s="9"/>
      <c r="J197" s="569"/>
      <c r="K197" s="9"/>
      <c r="L197" s="36"/>
      <c r="M197" s="569"/>
      <c r="N197" s="9"/>
      <c r="Y197" s="6"/>
      <c r="Z197" s="36"/>
      <c r="AA197" s="566"/>
      <c r="AB197" s="567"/>
      <c r="AC197" s="566"/>
      <c r="AD197" s="567"/>
      <c r="AE197" s="569"/>
      <c r="AF197" s="9"/>
      <c r="AG197" s="569"/>
      <c r="AH197" s="9"/>
      <c r="AI197" s="36"/>
      <c r="AJ197" s="569"/>
      <c r="AK197" s="9"/>
      <c r="AL197" s="736"/>
      <c r="AM197" s="37"/>
      <c r="AN197" s="9"/>
      <c r="AO197" s="9"/>
      <c r="AP197" s="9"/>
      <c r="AQ197" s="9"/>
      <c r="AR197" s="9"/>
    </row>
    <row r="198" spans="1:44" ht="15.75" x14ac:dyDescent="0.25">
      <c r="A198" s="9"/>
      <c r="B198" s="6"/>
      <c r="C198" s="36"/>
      <c r="D198" s="566"/>
      <c r="E198" s="567"/>
      <c r="F198" s="566"/>
      <c r="G198" s="567"/>
      <c r="H198" s="569"/>
      <c r="I198" s="9"/>
      <c r="J198" s="569"/>
      <c r="K198" s="9"/>
      <c r="L198" s="36"/>
      <c r="M198" s="569"/>
      <c r="N198" s="9"/>
      <c r="Y198" s="6"/>
      <c r="Z198" s="36"/>
      <c r="AA198" s="566"/>
      <c r="AB198" s="567"/>
      <c r="AC198" s="566"/>
      <c r="AD198" s="567"/>
      <c r="AE198" s="569"/>
      <c r="AF198" s="9"/>
      <c r="AG198" s="569"/>
      <c r="AH198" s="9"/>
      <c r="AI198" s="36"/>
      <c r="AJ198" s="569"/>
      <c r="AK198" s="9"/>
      <c r="AL198" s="736"/>
      <c r="AM198" s="37"/>
      <c r="AN198" s="9"/>
      <c r="AO198" s="9"/>
      <c r="AP198" s="9"/>
      <c r="AQ198" s="9"/>
      <c r="AR198" s="9"/>
    </row>
    <row r="199" spans="1:44" ht="15.75" x14ac:dyDescent="0.25">
      <c r="A199" s="9"/>
      <c r="B199" s="6"/>
      <c r="C199" s="36"/>
      <c r="D199" s="566"/>
      <c r="E199" s="567"/>
      <c r="F199" s="566"/>
      <c r="G199" s="567"/>
      <c r="H199" s="569"/>
      <c r="I199" s="9"/>
      <c r="J199" s="569"/>
      <c r="K199" s="9"/>
      <c r="L199" s="36"/>
      <c r="M199" s="569"/>
      <c r="N199" s="9"/>
      <c r="Y199" s="6"/>
      <c r="Z199" s="36"/>
      <c r="AA199" s="566"/>
      <c r="AB199" s="567"/>
      <c r="AC199" s="566"/>
      <c r="AD199" s="567"/>
      <c r="AE199" s="569"/>
      <c r="AF199" s="9"/>
      <c r="AG199" s="569"/>
      <c r="AH199" s="9"/>
      <c r="AI199" s="36"/>
      <c r="AJ199" s="569"/>
      <c r="AK199" s="9"/>
      <c r="AL199" s="736"/>
      <c r="AM199" s="37"/>
      <c r="AN199" s="9"/>
      <c r="AO199" s="9"/>
      <c r="AP199" s="9"/>
      <c r="AQ199" s="9"/>
      <c r="AR199" s="9"/>
    </row>
    <row r="200" spans="1:44" ht="15.75" x14ac:dyDescent="0.25">
      <c r="A200" s="9"/>
      <c r="B200" s="6"/>
      <c r="C200" s="36"/>
      <c r="D200" s="566"/>
      <c r="E200" s="567"/>
      <c r="F200" s="566"/>
      <c r="G200" s="567"/>
      <c r="H200" s="569"/>
      <c r="I200" s="9"/>
      <c r="J200" s="569"/>
      <c r="K200" s="9"/>
      <c r="L200" s="36"/>
      <c r="M200" s="569"/>
      <c r="N200" s="9"/>
      <c r="Y200" s="6"/>
      <c r="Z200" s="36"/>
      <c r="AA200" s="138"/>
      <c r="AB200" s="735"/>
      <c r="AC200" s="138"/>
      <c r="AD200" s="735"/>
      <c r="AE200" s="6"/>
      <c r="AF200" s="6"/>
      <c r="AG200" s="6"/>
      <c r="AH200" s="9"/>
      <c r="AI200" s="222"/>
      <c r="AJ200" s="736"/>
      <c r="AK200" s="9"/>
      <c r="AL200" s="736"/>
      <c r="AM200" s="37"/>
      <c r="AN200" s="9"/>
      <c r="AO200" s="9"/>
      <c r="AP200" s="9"/>
      <c r="AQ200" s="9"/>
      <c r="AR200" s="9"/>
    </row>
    <row r="201" spans="1:44" ht="15.75" x14ac:dyDescent="0.25">
      <c r="A201" s="9"/>
      <c r="B201" s="6"/>
      <c r="C201" s="36"/>
      <c r="D201" s="566"/>
      <c r="E201" s="567"/>
      <c r="F201" s="566"/>
      <c r="G201" s="567"/>
      <c r="H201" s="569"/>
      <c r="I201" s="9"/>
      <c r="J201" s="569"/>
      <c r="K201" s="9"/>
      <c r="L201" s="36"/>
      <c r="M201" s="569"/>
      <c r="N201" s="9"/>
      <c r="Y201" s="9"/>
      <c r="Z201" s="9"/>
      <c r="AA201" s="9"/>
      <c r="AB201" s="9"/>
      <c r="AC201" s="9"/>
      <c r="AD201" s="9"/>
      <c r="AE201" s="9"/>
      <c r="AF201" s="9"/>
      <c r="AG201" s="9"/>
      <c r="AH201" s="9"/>
      <c r="AI201" s="9"/>
      <c r="AJ201" s="9"/>
      <c r="AK201" s="9"/>
      <c r="AL201" s="9"/>
      <c r="AM201" s="9"/>
      <c r="AN201" s="9"/>
      <c r="AO201" s="9"/>
      <c r="AP201" s="9"/>
      <c r="AQ201" s="9"/>
      <c r="AR201" s="9"/>
    </row>
    <row r="202" spans="1:44" ht="15.75" x14ac:dyDescent="0.25">
      <c r="A202" s="9"/>
      <c r="B202" s="6"/>
      <c r="C202" s="36"/>
      <c r="D202" s="138"/>
      <c r="E202" s="735"/>
      <c r="F202" s="138"/>
      <c r="G202" s="735"/>
      <c r="H202" s="6"/>
      <c r="I202" s="6"/>
      <c r="J202" s="6"/>
      <c r="K202" s="9"/>
      <c r="L202" s="222"/>
      <c r="M202" s="736"/>
      <c r="N202" s="9"/>
      <c r="Y202" s="9"/>
      <c r="Z202" s="9"/>
      <c r="AA202" s="9"/>
      <c r="AB202" s="9"/>
      <c r="AC202" s="9"/>
      <c r="AD202" s="9"/>
      <c r="AE202" s="9"/>
      <c r="AF202" s="9"/>
      <c r="AG202" s="9"/>
      <c r="AH202" s="9"/>
      <c r="AI202" s="9"/>
      <c r="AJ202" s="9"/>
      <c r="AK202" s="9"/>
      <c r="AL202" s="9"/>
      <c r="AM202" s="9"/>
      <c r="AN202" s="9"/>
      <c r="AO202" s="9"/>
      <c r="AP202" s="9"/>
      <c r="AQ202" s="9"/>
      <c r="AR202" s="9"/>
    </row>
    <row r="203" spans="1:44" ht="15" customHeight="1" x14ac:dyDescent="0.2">
      <c r="A203" s="9"/>
      <c r="B203" s="9"/>
      <c r="C203" s="9"/>
      <c r="D203" s="9"/>
      <c r="E203" s="9"/>
      <c r="F203" s="9"/>
      <c r="G203" s="9"/>
      <c r="H203" s="9"/>
      <c r="I203" s="9"/>
      <c r="J203" s="9"/>
      <c r="K203" s="9"/>
      <c r="L203" s="9"/>
      <c r="M203" s="9"/>
      <c r="N203" s="9"/>
      <c r="Y203" s="1364"/>
      <c r="Z203" s="1364"/>
      <c r="AA203" s="9"/>
      <c r="AB203" s="9"/>
      <c r="AC203" s="9"/>
      <c r="AD203" s="9"/>
      <c r="AE203" s="9"/>
      <c r="AF203" s="9"/>
      <c r="AG203" s="9"/>
      <c r="AH203" s="9"/>
      <c r="AI203" s="9"/>
      <c r="AJ203" s="9"/>
      <c r="AK203" s="9"/>
      <c r="AL203" s="9"/>
      <c r="AM203" s="9"/>
      <c r="AN203" s="9"/>
      <c r="AO203" s="9"/>
      <c r="AP203" s="9"/>
      <c r="AQ203" s="9"/>
      <c r="AR203" s="9"/>
    </row>
    <row r="204" spans="1:44" ht="15" customHeight="1" x14ac:dyDescent="0.2">
      <c r="A204" s="9"/>
      <c r="B204" s="9"/>
      <c r="C204" s="9"/>
      <c r="D204" s="9"/>
      <c r="E204" s="9"/>
      <c r="F204" s="9"/>
      <c r="G204" s="9"/>
      <c r="H204" s="9"/>
      <c r="I204" s="9"/>
      <c r="J204" s="9"/>
      <c r="K204" s="9"/>
      <c r="L204" s="9"/>
      <c r="M204" s="9"/>
      <c r="N204" s="9"/>
      <c r="Y204" s="1364"/>
      <c r="Z204" s="1364"/>
      <c r="AA204" s="1364"/>
      <c r="AB204" s="1364"/>
      <c r="AC204" s="1364"/>
      <c r="AD204" s="1364"/>
      <c r="AE204" s="1363"/>
      <c r="AF204" s="1365"/>
      <c r="AG204" s="1365"/>
      <c r="AH204" s="9"/>
      <c r="AI204" s="1363"/>
      <c r="AJ204" s="1363"/>
      <c r="AK204" s="9"/>
      <c r="AL204" s="9"/>
      <c r="AM204" s="9"/>
      <c r="AN204" s="9"/>
      <c r="AO204" s="9"/>
      <c r="AP204" s="9"/>
      <c r="AQ204" s="9"/>
      <c r="AR204" s="9"/>
    </row>
    <row r="205" spans="1:44" ht="15" customHeight="1" x14ac:dyDescent="0.2">
      <c r="A205" s="9"/>
      <c r="B205" s="9"/>
      <c r="C205" s="9"/>
      <c r="D205" s="9"/>
      <c r="E205" s="9"/>
      <c r="F205" s="9"/>
      <c r="G205" s="9"/>
      <c r="H205" s="9"/>
      <c r="I205" s="9"/>
      <c r="J205" s="9"/>
      <c r="K205" s="9"/>
      <c r="L205" s="9"/>
      <c r="M205" s="9"/>
      <c r="N205" s="9"/>
      <c r="Y205" s="1364"/>
      <c r="Z205" s="1364"/>
      <c r="AA205" s="1364"/>
      <c r="AB205" s="1364"/>
      <c r="AC205" s="1364"/>
      <c r="AD205" s="1364"/>
      <c r="AE205" s="1363"/>
      <c r="AF205" s="1365"/>
      <c r="AG205" s="1365"/>
      <c r="AH205" s="9"/>
      <c r="AI205" s="1363"/>
      <c r="AJ205" s="1363"/>
      <c r="AK205" s="9"/>
      <c r="AL205" s="9"/>
      <c r="AM205" s="9"/>
      <c r="AN205" s="9"/>
      <c r="AO205" s="9"/>
      <c r="AP205" s="9"/>
      <c r="AQ205" s="9"/>
      <c r="AR205" s="9"/>
    </row>
    <row r="206" spans="1:44" ht="15.75" x14ac:dyDescent="0.25">
      <c r="A206" s="9"/>
      <c r="B206" s="9"/>
      <c r="C206" s="9"/>
      <c r="D206" s="9"/>
      <c r="E206" s="9"/>
      <c r="F206" s="9"/>
      <c r="G206" s="9"/>
      <c r="H206" s="9"/>
      <c r="I206" s="9"/>
      <c r="J206" s="9"/>
      <c r="K206" s="9"/>
      <c r="L206" s="9"/>
      <c r="M206" s="9"/>
      <c r="N206" s="9"/>
      <c r="Y206" s="1364"/>
      <c r="Z206" s="1364"/>
      <c r="AA206" s="1364"/>
      <c r="AB206" s="1364"/>
      <c r="AC206" s="1364"/>
      <c r="AD206" s="1364"/>
      <c r="AE206" s="1363"/>
      <c r="AF206" s="709"/>
      <c r="AG206" s="709"/>
      <c r="AH206" s="9"/>
      <c r="AI206" s="1363"/>
      <c r="AJ206" s="1363"/>
      <c r="AK206" s="9"/>
      <c r="AL206" s="9"/>
      <c r="AM206" s="9"/>
      <c r="AN206" s="9"/>
      <c r="AO206" s="9"/>
      <c r="AP206" s="9"/>
      <c r="AQ206" s="9"/>
      <c r="AR206" s="9"/>
    </row>
    <row r="207" spans="1:44" ht="15.75" x14ac:dyDescent="0.25">
      <c r="A207" s="9"/>
      <c r="B207" s="9"/>
      <c r="C207" s="9"/>
      <c r="D207" s="9"/>
      <c r="E207" s="9"/>
      <c r="F207" s="9"/>
      <c r="G207" s="9"/>
      <c r="H207" s="9"/>
      <c r="I207" s="9"/>
      <c r="J207" s="9"/>
      <c r="K207" s="9"/>
      <c r="L207" s="9"/>
      <c r="M207" s="9"/>
      <c r="N207" s="9"/>
      <c r="Y207" s="1364"/>
      <c r="Z207" s="1364"/>
      <c r="AA207" s="1364"/>
      <c r="AB207" s="1364"/>
      <c r="AC207" s="1364"/>
      <c r="AD207" s="1364"/>
      <c r="AE207" s="1363"/>
      <c r="AF207" s="709"/>
      <c r="AG207" s="709"/>
      <c r="AH207" s="9"/>
      <c r="AI207" s="1363"/>
      <c r="AJ207" s="1363"/>
      <c r="AK207" s="9"/>
      <c r="AL207" s="9"/>
      <c r="AM207" s="9"/>
      <c r="AN207" s="9"/>
      <c r="AO207" s="9"/>
      <c r="AP207" s="9"/>
      <c r="AQ207" s="9"/>
      <c r="AR207" s="9"/>
    </row>
    <row r="208" spans="1:44" ht="15.75" x14ac:dyDescent="0.25">
      <c r="A208" s="9"/>
      <c r="B208" s="9"/>
      <c r="C208" s="9"/>
      <c r="D208" s="9"/>
      <c r="E208" s="9"/>
      <c r="F208" s="9"/>
      <c r="G208" s="9"/>
      <c r="H208" s="9"/>
      <c r="I208" s="9"/>
      <c r="J208" s="9"/>
      <c r="K208" s="9"/>
      <c r="L208" s="9"/>
      <c r="M208" s="9"/>
      <c r="N208" s="9"/>
      <c r="Y208" s="6"/>
      <c r="Z208" s="6"/>
      <c r="AA208" s="566"/>
      <c r="AB208" s="566"/>
      <c r="AC208" s="566"/>
      <c r="AD208" s="566"/>
      <c r="AE208" s="9"/>
      <c r="AF208" s="9"/>
      <c r="AG208" s="9"/>
      <c r="AH208" s="9"/>
      <c r="AI208" s="9"/>
      <c r="AJ208" s="9"/>
      <c r="AK208" s="9"/>
      <c r="AL208" s="737"/>
      <c r="AM208" s="9"/>
      <c r="AN208" s="9"/>
      <c r="AO208" s="9"/>
      <c r="AP208" s="9"/>
      <c r="AQ208" s="9"/>
      <c r="AR208" s="9"/>
    </row>
    <row r="209" spans="1:44" ht="15.75" x14ac:dyDescent="0.25">
      <c r="A209" s="9"/>
      <c r="B209" s="9"/>
      <c r="C209" s="9"/>
      <c r="D209" s="9"/>
      <c r="E209" s="9"/>
      <c r="F209" s="9"/>
      <c r="G209" s="9"/>
      <c r="H209" s="9"/>
      <c r="I209" s="9"/>
      <c r="J209" s="9"/>
      <c r="K209" s="9"/>
      <c r="L209" s="9"/>
      <c r="M209" s="9"/>
      <c r="N209" s="9"/>
      <c r="Y209" s="6"/>
      <c r="Z209" s="36"/>
      <c r="AA209" s="566"/>
      <c r="AB209" s="567"/>
      <c r="AC209" s="566"/>
      <c r="AD209" s="567"/>
      <c r="AE209" s="569"/>
      <c r="AF209" s="9"/>
      <c r="AG209" s="569"/>
      <c r="AH209" s="9"/>
      <c r="AI209" s="569"/>
      <c r="AJ209" s="569"/>
      <c r="AK209" s="9"/>
      <c r="AL209" s="736"/>
      <c r="AM209" s="37"/>
      <c r="AN209" s="9"/>
      <c r="AO209" s="9"/>
      <c r="AP209" s="9"/>
      <c r="AQ209" s="9"/>
      <c r="AR209" s="9"/>
    </row>
    <row r="210" spans="1:44" ht="15.75" x14ac:dyDescent="0.25">
      <c r="A210" s="9"/>
      <c r="B210" s="9"/>
      <c r="C210" s="9"/>
      <c r="D210" s="9"/>
      <c r="E210" s="9"/>
      <c r="F210" s="9"/>
      <c r="G210" s="9"/>
      <c r="H210" s="9"/>
      <c r="I210" s="9"/>
      <c r="J210" s="9"/>
      <c r="K210" s="9"/>
      <c r="L210" s="9"/>
      <c r="M210" s="9"/>
      <c r="N210" s="9"/>
      <c r="Y210" s="6"/>
      <c r="Z210" s="36"/>
      <c r="AA210" s="566"/>
      <c r="AB210" s="567"/>
      <c r="AC210" s="566"/>
      <c r="AD210" s="567"/>
      <c r="AE210" s="569"/>
      <c r="AF210" s="9"/>
      <c r="AG210" s="569"/>
      <c r="AH210" s="9"/>
      <c r="AI210" s="569"/>
      <c r="AJ210" s="569"/>
      <c r="AK210" s="9"/>
      <c r="AL210" s="736"/>
      <c r="AM210" s="37"/>
      <c r="AN210" s="9"/>
      <c r="AO210" s="9"/>
      <c r="AP210" s="9"/>
      <c r="AQ210" s="9"/>
      <c r="AR210" s="9"/>
    </row>
    <row r="211" spans="1:44" ht="15.75" x14ac:dyDescent="0.25">
      <c r="Y211" s="6"/>
      <c r="Z211" s="36"/>
      <c r="AA211" s="566"/>
      <c r="AB211" s="567"/>
      <c r="AC211" s="566"/>
      <c r="AD211" s="567"/>
      <c r="AE211" s="569"/>
      <c r="AF211" s="9"/>
      <c r="AG211" s="569"/>
      <c r="AH211" s="9"/>
      <c r="AI211" s="569"/>
      <c r="AJ211" s="569"/>
      <c r="AK211" s="9"/>
      <c r="AL211" s="736"/>
      <c r="AM211" s="37"/>
      <c r="AN211" s="9"/>
      <c r="AO211" s="9"/>
      <c r="AP211" s="9"/>
      <c r="AQ211" s="9"/>
      <c r="AR211" s="9"/>
    </row>
    <row r="212" spans="1:44" ht="15.75" x14ac:dyDescent="0.25">
      <c r="Y212" s="6"/>
      <c r="Z212" s="36"/>
      <c r="AA212" s="566"/>
      <c r="AB212" s="567"/>
      <c r="AC212" s="566"/>
      <c r="AD212" s="567"/>
      <c r="AE212" s="569"/>
      <c r="AF212" s="9"/>
      <c r="AG212" s="569"/>
      <c r="AH212" s="9"/>
      <c r="AI212" s="569"/>
      <c r="AJ212" s="569"/>
      <c r="AK212" s="9"/>
      <c r="AL212" s="736"/>
      <c r="AM212" s="37"/>
      <c r="AN212" s="9"/>
      <c r="AO212" s="9"/>
      <c r="AP212" s="9"/>
      <c r="AQ212" s="9"/>
      <c r="AR212" s="9"/>
    </row>
    <row r="213" spans="1:44" ht="15.75" x14ac:dyDescent="0.25">
      <c r="Y213" s="6"/>
      <c r="Z213" s="36"/>
      <c r="AA213" s="566"/>
      <c r="AB213" s="567"/>
      <c r="AC213" s="566"/>
      <c r="AD213" s="567"/>
      <c r="AE213" s="569"/>
      <c r="AF213" s="9"/>
      <c r="AG213" s="569"/>
      <c r="AH213" s="9"/>
      <c r="AI213" s="569"/>
      <c r="AJ213" s="569"/>
      <c r="AK213" s="9"/>
      <c r="AL213" s="736"/>
      <c r="AM213" s="37"/>
      <c r="AN213" s="9"/>
      <c r="AO213" s="9"/>
      <c r="AP213" s="9"/>
      <c r="AQ213" s="9"/>
      <c r="AR213" s="9"/>
    </row>
    <row r="214" spans="1:44" ht="15.75" x14ac:dyDescent="0.25">
      <c r="Y214" s="6"/>
      <c r="Z214" s="36"/>
      <c r="AA214" s="566"/>
      <c r="AB214" s="567"/>
      <c r="AC214" s="566"/>
      <c r="AD214" s="567"/>
      <c r="AE214" s="569"/>
      <c r="AF214" s="9"/>
      <c r="AG214" s="569"/>
      <c r="AH214" s="9"/>
      <c r="AI214" s="569"/>
      <c r="AJ214" s="569"/>
      <c r="AK214" s="9"/>
      <c r="AL214" s="736"/>
      <c r="AM214" s="37"/>
      <c r="AN214" s="9"/>
      <c r="AO214" s="9"/>
      <c r="AP214" s="9"/>
      <c r="AQ214" s="9"/>
      <c r="AR214" s="9"/>
    </row>
    <row r="215" spans="1:44" ht="15.75" x14ac:dyDescent="0.25">
      <c r="Y215" s="6"/>
      <c r="Z215" s="36"/>
      <c r="AA215" s="566"/>
      <c r="AB215" s="567"/>
      <c r="AC215" s="566"/>
      <c r="AD215" s="567"/>
      <c r="AE215" s="569"/>
      <c r="AF215" s="9"/>
      <c r="AG215" s="569"/>
      <c r="AH215" s="9"/>
      <c r="AI215" s="569"/>
      <c r="AJ215" s="569"/>
      <c r="AK215" s="9"/>
      <c r="AL215" s="736"/>
      <c r="AM215" s="37"/>
      <c r="AN215" s="9"/>
      <c r="AO215" s="9"/>
      <c r="AP215" s="9"/>
      <c r="AQ215" s="9"/>
      <c r="AR215" s="9"/>
    </row>
    <row r="216" spans="1:44" ht="15.75" x14ac:dyDescent="0.25">
      <c r="Y216" s="6"/>
      <c r="Z216" s="36"/>
      <c r="AA216" s="566"/>
      <c r="AB216" s="567"/>
      <c r="AC216" s="566"/>
      <c r="AD216" s="567"/>
      <c r="AE216" s="569"/>
      <c r="AF216" s="9"/>
      <c r="AG216" s="569"/>
      <c r="AH216" s="9"/>
      <c r="AI216" s="569"/>
      <c r="AJ216" s="569"/>
      <c r="AK216" s="9"/>
      <c r="AL216" s="736"/>
      <c r="AM216" s="37"/>
      <c r="AN216" s="9"/>
      <c r="AO216" s="9"/>
      <c r="AP216" s="9"/>
      <c r="AQ216" s="9"/>
      <c r="AR216" s="9"/>
    </row>
    <row r="217" spans="1:44" ht="15.75" x14ac:dyDescent="0.25">
      <c r="Y217" s="6"/>
      <c r="Z217" s="36"/>
      <c r="AA217" s="566"/>
      <c r="AB217" s="567"/>
      <c r="AC217" s="566"/>
      <c r="AD217" s="567"/>
      <c r="AE217" s="569"/>
      <c r="AF217" s="9"/>
      <c r="AG217" s="569"/>
      <c r="AH217" s="9"/>
      <c r="AI217" s="569"/>
      <c r="AJ217" s="569"/>
      <c r="AK217" s="9"/>
      <c r="AL217" s="736"/>
      <c r="AM217" s="37"/>
      <c r="AN217" s="9"/>
      <c r="AO217" s="9"/>
      <c r="AP217" s="9"/>
      <c r="AQ217" s="9"/>
      <c r="AR217" s="9"/>
    </row>
    <row r="218" spans="1:44" ht="15.75" x14ac:dyDescent="0.25">
      <c r="Y218" s="6"/>
      <c r="Z218" s="36"/>
      <c r="AA218" s="566"/>
      <c r="AB218" s="567"/>
      <c r="AC218" s="566"/>
      <c r="AD218" s="567"/>
      <c r="AE218" s="569"/>
      <c r="AF218" s="9"/>
      <c r="AG218" s="569"/>
      <c r="AH218" s="9"/>
      <c r="AI218" s="569"/>
      <c r="AJ218" s="569"/>
      <c r="AK218" s="9"/>
      <c r="AL218" s="736"/>
      <c r="AM218" s="37"/>
      <c r="AN218" s="9"/>
      <c r="AO218" s="9"/>
      <c r="AP218" s="9"/>
      <c r="AQ218" s="9"/>
      <c r="AR218" s="9"/>
    </row>
    <row r="219" spans="1:44" ht="15.75" x14ac:dyDescent="0.25">
      <c r="Y219" s="6"/>
      <c r="Z219" s="36"/>
      <c r="AA219" s="566"/>
      <c r="AB219" s="567"/>
      <c r="AC219" s="566"/>
      <c r="AD219" s="567"/>
      <c r="AE219" s="569"/>
      <c r="AF219" s="9"/>
      <c r="AG219" s="569"/>
      <c r="AH219" s="9"/>
      <c r="AI219" s="569"/>
      <c r="AJ219" s="569"/>
      <c r="AK219" s="9"/>
      <c r="AL219" s="736"/>
      <c r="AM219" s="37"/>
      <c r="AN219" s="9"/>
      <c r="AO219" s="9"/>
      <c r="AP219" s="9"/>
      <c r="AQ219" s="9"/>
      <c r="AR219" s="9"/>
    </row>
    <row r="220" spans="1:44" ht="15.75" x14ac:dyDescent="0.25">
      <c r="Y220" s="6"/>
      <c r="Z220" s="36"/>
      <c r="AA220" s="566"/>
      <c r="AB220" s="567"/>
      <c r="AC220" s="566"/>
      <c r="AD220" s="567"/>
      <c r="AE220" s="569"/>
      <c r="AF220" s="9"/>
      <c r="AG220" s="569"/>
      <c r="AH220" s="9"/>
      <c r="AI220" s="569"/>
      <c r="AJ220" s="569"/>
      <c r="AK220" s="9"/>
      <c r="AL220" s="736"/>
      <c r="AM220" s="37"/>
      <c r="AN220" s="9"/>
      <c r="AO220" s="9"/>
      <c r="AP220" s="9"/>
      <c r="AQ220" s="9"/>
      <c r="AR220" s="9"/>
    </row>
    <row r="221" spans="1:44" ht="15.75" x14ac:dyDescent="0.25">
      <c r="Y221" s="6"/>
      <c r="Z221" s="36"/>
      <c r="AA221" s="566"/>
      <c r="AB221" s="567"/>
      <c r="AC221" s="566"/>
      <c r="AD221" s="567"/>
      <c r="AE221" s="569"/>
      <c r="AF221" s="9"/>
      <c r="AG221" s="569"/>
      <c r="AH221" s="9"/>
      <c r="AI221" s="569"/>
      <c r="AJ221" s="569"/>
      <c r="AK221" s="9"/>
      <c r="AL221" s="736"/>
      <c r="AM221" s="37"/>
      <c r="AN221" s="9"/>
      <c r="AO221" s="9"/>
      <c r="AP221" s="9"/>
      <c r="AQ221" s="9"/>
      <c r="AR221" s="9"/>
    </row>
    <row r="222" spans="1:44" ht="15.75" x14ac:dyDescent="0.25">
      <c r="Y222" s="6"/>
      <c r="Z222" s="36"/>
      <c r="AA222" s="566"/>
      <c r="AB222" s="567"/>
      <c r="AC222" s="566"/>
      <c r="AD222" s="567"/>
      <c r="AE222" s="569"/>
      <c r="AF222" s="9"/>
      <c r="AG222" s="569"/>
      <c r="AH222" s="9"/>
      <c r="AI222" s="569"/>
      <c r="AJ222" s="569"/>
      <c r="AK222" s="9"/>
      <c r="AL222" s="736"/>
      <c r="AM222" s="37"/>
      <c r="AN222" s="9"/>
      <c r="AO222" s="9"/>
      <c r="AP222" s="9"/>
      <c r="AQ222" s="9"/>
      <c r="AR222" s="9"/>
    </row>
    <row r="223" spans="1:44" ht="15.75" x14ac:dyDescent="0.25">
      <c r="Y223" s="6"/>
      <c r="Z223" s="36"/>
      <c r="AA223" s="566"/>
      <c r="AB223" s="567"/>
      <c r="AC223" s="566"/>
      <c r="AD223" s="567"/>
      <c r="AE223" s="569"/>
      <c r="AF223" s="9"/>
      <c r="AG223" s="569"/>
      <c r="AH223" s="9"/>
      <c r="AI223" s="569"/>
      <c r="AJ223" s="569"/>
      <c r="AK223" s="9"/>
      <c r="AL223" s="736"/>
      <c r="AM223" s="37"/>
      <c r="AN223" s="9"/>
      <c r="AO223" s="9"/>
      <c r="AP223" s="9"/>
      <c r="AQ223" s="9"/>
      <c r="AR223" s="9"/>
    </row>
    <row r="224" spans="1:44" ht="15.75" x14ac:dyDescent="0.25">
      <c r="Y224" s="6"/>
      <c r="Z224" s="36"/>
      <c r="AA224" s="566"/>
      <c r="AB224" s="567"/>
      <c r="AC224" s="566"/>
      <c r="AD224" s="567"/>
      <c r="AE224" s="569"/>
      <c r="AF224" s="9"/>
      <c r="AG224" s="569"/>
      <c r="AH224" s="9"/>
      <c r="AI224" s="569"/>
      <c r="AJ224" s="569"/>
      <c r="AK224" s="9"/>
      <c r="AL224" s="736"/>
      <c r="AM224" s="37"/>
      <c r="AN224" s="9"/>
      <c r="AO224" s="9"/>
      <c r="AP224" s="9"/>
      <c r="AQ224" s="9"/>
      <c r="AR224" s="9"/>
    </row>
    <row r="225" spans="24:44" ht="15.75" x14ac:dyDescent="0.25">
      <c r="Y225" s="6"/>
      <c r="Z225" s="36"/>
      <c r="AA225" s="138"/>
      <c r="AB225" s="735"/>
      <c r="AC225" s="138"/>
      <c r="AD225" s="735"/>
      <c r="AE225" s="6"/>
      <c r="AF225" s="6"/>
      <c r="AG225" s="6"/>
      <c r="AH225" s="9"/>
      <c r="AI225" s="222"/>
      <c r="AJ225" s="736"/>
      <c r="AK225" s="9"/>
      <c r="AL225" s="736"/>
      <c r="AM225" s="37"/>
      <c r="AN225" s="9"/>
      <c r="AO225" s="9"/>
      <c r="AP225" s="9"/>
      <c r="AQ225" s="9"/>
      <c r="AR225" s="9"/>
    </row>
    <row r="226" spans="24:44" x14ac:dyDescent="0.2">
      <c r="Y226" s="9"/>
      <c r="Z226" s="9"/>
      <c r="AA226" s="9"/>
      <c r="AB226" s="9"/>
      <c r="AC226" s="9"/>
      <c r="AD226" s="9"/>
      <c r="AE226" s="9"/>
      <c r="AF226" s="9"/>
      <c r="AG226" s="9"/>
      <c r="AH226" s="9"/>
      <c r="AI226" s="9"/>
      <c r="AJ226" s="9"/>
      <c r="AK226" s="9"/>
      <c r="AL226" s="9"/>
      <c r="AM226" s="9"/>
      <c r="AN226" s="9"/>
      <c r="AO226" s="9"/>
      <c r="AP226" s="9"/>
      <c r="AQ226" s="9"/>
      <c r="AR226" s="9"/>
    </row>
    <row r="227" spans="24:44" x14ac:dyDescent="0.2">
      <c r="X227" s="9"/>
      <c r="Y227" s="9"/>
      <c r="Z227" s="9"/>
      <c r="AA227" s="9"/>
      <c r="AB227" s="9"/>
      <c r="AC227" s="9"/>
      <c r="AD227" s="9"/>
      <c r="AE227" s="9"/>
      <c r="AF227" s="9"/>
      <c r="AG227" s="9"/>
      <c r="AH227" s="9"/>
      <c r="AI227" s="9"/>
      <c r="AJ227" s="9"/>
      <c r="AK227" s="9"/>
      <c r="AL227" s="9"/>
      <c r="AM227" s="9"/>
      <c r="AN227" s="9"/>
      <c r="AO227" s="9"/>
      <c r="AP227" s="9"/>
      <c r="AQ227" s="9"/>
      <c r="AR227" s="9"/>
    </row>
    <row r="228" spans="24:44" ht="15.75" x14ac:dyDescent="0.25">
      <c r="X228" s="9"/>
      <c r="Y228" s="6"/>
      <c r="Z228" s="36"/>
      <c r="AA228" s="138"/>
      <c r="AB228" s="567"/>
      <c r="AC228" s="138"/>
      <c r="AD228" s="735"/>
      <c r="AE228" s="6"/>
      <c r="AF228" s="6"/>
      <c r="AG228" s="6"/>
      <c r="AH228" s="9"/>
      <c r="AI228" s="222"/>
      <c r="AJ228" s="736"/>
      <c r="AK228" s="9"/>
      <c r="AL228" s="9"/>
      <c r="AM228" s="9"/>
      <c r="AN228" s="9"/>
      <c r="AO228" s="9"/>
      <c r="AP228" s="9"/>
      <c r="AQ228" s="9"/>
      <c r="AR228" s="9"/>
    </row>
    <row r="229" spans="24:44" x14ac:dyDescent="0.2">
      <c r="X229" s="9"/>
      <c r="Y229" s="9"/>
      <c r="Z229" s="9"/>
      <c r="AA229" s="9"/>
      <c r="AB229" s="9"/>
      <c r="AC229" s="9"/>
      <c r="AD229" s="9"/>
      <c r="AE229" s="9"/>
      <c r="AF229" s="9"/>
      <c r="AG229" s="9"/>
      <c r="AH229" s="9"/>
      <c r="AI229" s="9"/>
      <c r="AJ229" s="9"/>
      <c r="AK229" s="9"/>
      <c r="AL229" s="9"/>
      <c r="AM229" s="9"/>
      <c r="AN229" s="9"/>
      <c r="AO229" s="9"/>
      <c r="AP229" s="9"/>
      <c r="AQ229" s="9"/>
      <c r="AR229" s="9"/>
    </row>
    <row r="230" spans="24:44" x14ac:dyDescent="0.2">
      <c r="X230" s="9"/>
      <c r="Y230" s="1364"/>
      <c r="Z230" s="1364"/>
      <c r="AA230" s="9"/>
      <c r="AB230" s="9"/>
      <c r="AC230" s="9"/>
      <c r="AD230" s="9"/>
      <c r="AE230" s="9"/>
      <c r="AF230" s="9"/>
      <c r="AG230" s="9"/>
      <c r="AH230" s="9"/>
      <c r="AI230" s="9"/>
      <c r="AJ230" s="9"/>
      <c r="AK230" s="9"/>
      <c r="AL230" s="9"/>
      <c r="AM230" s="9"/>
      <c r="AN230" s="9"/>
      <c r="AO230" s="9"/>
      <c r="AP230" s="9"/>
      <c r="AQ230" s="9"/>
      <c r="AR230" s="9"/>
    </row>
    <row r="231" spans="24:44" x14ac:dyDescent="0.2">
      <c r="X231" s="9"/>
      <c r="Y231" s="1364"/>
      <c r="Z231" s="1364"/>
      <c r="AA231" s="1364"/>
      <c r="AB231" s="1364"/>
      <c r="AC231" s="1364"/>
      <c r="AD231" s="1364"/>
      <c r="AE231" s="1363"/>
      <c r="AF231" s="1365"/>
      <c r="AG231" s="1365"/>
      <c r="AH231" s="9"/>
      <c r="AI231" s="1363"/>
      <c r="AJ231" s="1363"/>
      <c r="AK231" s="9"/>
      <c r="AL231" s="9"/>
      <c r="AM231" s="9"/>
      <c r="AN231" s="9"/>
      <c r="AO231" s="9"/>
      <c r="AP231" s="9"/>
      <c r="AQ231" s="9"/>
      <c r="AR231" s="9"/>
    </row>
    <row r="232" spans="24:44" x14ac:dyDescent="0.2">
      <c r="Y232" s="1364"/>
      <c r="Z232" s="1364"/>
      <c r="AA232" s="1364"/>
      <c r="AB232" s="1364"/>
      <c r="AC232" s="1364"/>
      <c r="AD232" s="1364"/>
      <c r="AE232" s="1363"/>
      <c r="AF232" s="1365"/>
      <c r="AG232" s="1365"/>
      <c r="AH232" s="9"/>
      <c r="AI232" s="1363"/>
      <c r="AJ232" s="1363"/>
      <c r="AK232" s="9"/>
      <c r="AL232" s="9"/>
      <c r="AM232" s="9"/>
      <c r="AN232" s="9"/>
      <c r="AO232" s="9"/>
      <c r="AP232" s="9"/>
      <c r="AQ232" s="9"/>
      <c r="AR232" s="9"/>
    </row>
    <row r="233" spans="24:44" ht="15.75" x14ac:dyDescent="0.25">
      <c r="Y233" s="1364"/>
      <c r="Z233" s="1364"/>
      <c r="AA233" s="1364"/>
      <c r="AB233" s="1364"/>
      <c r="AC233" s="1364"/>
      <c r="AD233" s="1364"/>
      <c r="AE233" s="1363"/>
      <c r="AF233" s="709"/>
      <c r="AG233" s="709"/>
      <c r="AH233" s="9"/>
      <c r="AI233" s="1363"/>
      <c r="AJ233" s="1363"/>
      <c r="AK233" s="9"/>
      <c r="AL233" s="9"/>
      <c r="AM233" s="9"/>
      <c r="AN233" s="9"/>
      <c r="AO233" s="9"/>
      <c r="AP233" s="9"/>
      <c r="AQ233" s="9"/>
      <c r="AR233" s="9"/>
    </row>
    <row r="234" spans="24:44" ht="15.75" x14ac:dyDescent="0.25">
      <c r="Y234" s="1364"/>
      <c r="Z234" s="1364"/>
      <c r="AA234" s="1364"/>
      <c r="AB234" s="1364"/>
      <c r="AC234" s="1364"/>
      <c r="AD234" s="1364"/>
      <c r="AE234" s="1363"/>
      <c r="AF234" s="709"/>
      <c r="AG234" s="709"/>
      <c r="AH234" s="9"/>
      <c r="AI234" s="1363"/>
      <c r="AJ234" s="1363"/>
      <c r="AK234" s="9"/>
      <c r="AL234" s="9"/>
      <c r="AM234" s="9"/>
      <c r="AN234" s="9"/>
      <c r="AO234" s="9"/>
      <c r="AP234" s="9"/>
      <c r="AQ234" s="9"/>
      <c r="AR234" s="9"/>
    </row>
    <row r="235" spans="24:44" ht="15.75" x14ac:dyDescent="0.25">
      <c r="Y235" s="6"/>
      <c r="Z235" s="6"/>
      <c r="AA235" s="566"/>
      <c r="AB235" s="566"/>
      <c r="AC235" s="566"/>
      <c r="AD235" s="566"/>
      <c r="AE235" s="9"/>
      <c r="AF235" s="9"/>
      <c r="AG235" s="9"/>
      <c r="AH235" s="9"/>
      <c r="AI235" s="9"/>
      <c r="AJ235" s="9"/>
      <c r="AK235" s="9"/>
      <c r="AL235" s="737"/>
      <c r="AM235" s="6"/>
      <c r="AN235" s="9"/>
      <c r="AO235" s="9"/>
      <c r="AP235" s="9"/>
      <c r="AQ235" s="9"/>
      <c r="AR235" s="9"/>
    </row>
    <row r="236" spans="24:44" ht="15.75" x14ac:dyDescent="0.25">
      <c r="Y236" s="6"/>
      <c r="Z236" s="36"/>
      <c r="AA236" s="566"/>
      <c r="AB236" s="567"/>
      <c r="AC236" s="566"/>
      <c r="AD236" s="567"/>
      <c r="AE236" s="569"/>
      <c r="AF236" s="9"/>
      <c r="AG236" s="569"/>
      <c r="AH236" s="9"/>
      <c r="AI236" s="569"/>
      <c r="AJ236" s="569"/>
      <c r="AK236" s="9"/>
      <c r="AL236" s="736"/>
      <c r="AM236" s="197"/>
      <c r="AN236" s="9"/>
      <c r="AO236" s="9"/>
      <c r="AP236" s="9"/>
      <c r="AQ236" s="9"/>
      <c r="AR236" s="9"/>
    </row>
    <row r="237" spans="24:44" ht="15.75" x14ac:dyDescent="0.25">
      <c r="Y237" s="6"/>
      <c r="Z237" s="36"/>
      <c r="AA237" s="566"/>
      <c r="AB237" s="567"/>
      <c r="AC237" s="566"/>
      <c r="AD237" s="567"/>
      <c r="AE237" s="569"/>
      <c r="AF237" s="9"/>
      <c r="AG237" s="569"/>
      <c r="AH237" s="9"/>
      <c r="AI237" s="569"/>
      <c r="AJ237" s="569"/>
      <c r="AK237" s="9"/>
      <c r="AL237" s="736"/>
      <c r="AM237" s="197"/>
      <c r="AN237" s="9"/>
      <c r="AO237" s="9"/>
      <c r="AP237" s="9"/>
      <c r="AQ237" s="9"/>
      <c r="AR237" s="9"/>
    </row>
    <row r="238" spans="24:44" ht="15.75" x14ac:dyDescent="0.25">
      <c r="Y238" s="6"/>
      <c r="Z238" s="36"/>
      <c r="AA238" s="566"/>
      <c r="AB238" s="567"/>
      <c r="AC238" s="566"/>
      <c r="AD238" s="567"/>
      <c r="AE238" s="569"/>
      <c r="AF238" s="9"/>
      <c r="AG238" s="569"/>
      <c r="AH238" s="9"/>
      <c r="AI238" s="569"/>
      <c r="AJ238" s="569"/>
      <c r="AK238" s="9"/>
      <c r="AL238" s="736"/>
      <c r="AM238" s="197"/>
      <c r="AN238" s="9"/>
      <c r="AO238" s="9"/>
      <c r="AP238" s="9"/>
      <c r="AQ238" s="9"/>
      <c r="AR238" s="9"/>
    </row>
    <row r="239" spans="24:44" ht="15.75" x14ac:dyDescent="0.25">
      <c r="Y239" s="6"/>
      <c r="Z239" s="36"/>
      <c r="AA239" s="566"/>
      <c r="AB239" s="567"/>
      <c r="AC239" s="566"/>
      <c r="AD239" s="567"/>
      <c r="AE239" s="569"/>
      <c r="AF239" s="9"/>
      <c r="AG239" s="569"/>
      <c r="AH239" s="9"/>
      <c r="AI239" s="569"/>
      <c r="AJ239" s="569"/>
      <c r="AK239" s="9"/>
      <c r="AL239" s="736"/>
      <c r="AM239" s="197"/>
      <c r="AN239" s="9"/>
      <c r="AO239" s="9"/>
      <c r="AP239" s="9"/>
      <c r="AQ239" s="9"/>
      <c r="AR239" s="9"/>
    </row>
    <row r="240" spans="24:44" ht="15.75" x14ac:dyDescent="0.25">
      <c r="Y240" s="6"/>
      <c r="Z240" s="36"/>
      <c r="AA240" s="566"/>
      <c r="AB240" s="567"/>
      <c r="AC240" s="566"/>
      <c r="AD240" s="567"/>
      <c r="AE240" s="569"/>
      <c r="AF240" s="9"/>
      <c r="AG240" s="569"/>
      <c r="AH240" s="9"/>
      <c r="AI240" s="569"/>
      <c r="AJ240" s="569"/>
      <c r="AK240" s="9"/>
      <c r="AL240" s="736"/>
      <c r="AM240" s="197"/>
      <c r="AN240" s="9"/>
      <c r="AO240" s="9"/>
      <c r="AP240" s="9"/>
      <c r="AQ240" s="9"/>
      <c r="AR240" s="9"/>
    </row>
    <row r="241" spans="25:44" ht="15.75" x14ac:dyDescent="0.25">
      <c r="Y241" s="6"/>
      <c r="Z241" s="36"/>
      <c r="AA241" s="566"/>
      <c r="AB241" s="567"/>
      <c r="AC241" s="566"/>
      <c r="AD241" s="567"/>
      <c r="AE241" s="569"/>
      <c r="AF241" s="9"/>
      <c r="AG241" s="569"/>
      <c r="AH241" s="9"/>
      <c r="AI241" s="569"/>
      <c r="AJ241" s="569"/>
      <c r="AK241" s="9"/>
      <c r="AL241" s="736"/>
      <c r="AM241" s="197"/>
      <c r="AN241" s="9"/>
      <c r="AO241" s="9"/>
      <c r="AP241" s="9"/>
      <c r="AQ241" s="9"/>
      <c r="AR241" s="9"/>
    </row>
    <row r="242" spans="25:44" ht="15.75" x14ac:dyDescent="0.25">
      <c r="Y242" s="6"/>
      <c r="Z242" s="36"/>
      <c r="AA242" s="566"/>
      <c r="AB242" s="567"/>
      <c r="AC242" s="566"/>
      <c r="AD242" s="567"/>
      <c r="AE242" s="569"/>
      <c r="AF242" s="9"/>
      <c r="AG242" s="569"/>
      <c r="AH242" s="9"/>
      <c r="AI242" s="569"/>
      <c r="AJ242" s="569"/>
      <c r="AK242" s="9"/>
      <c r="AL242" s="736"/>
      <c r="AM242" s="197"/>
      <c r="AN242" s="9"/>
      <c r="AO242" s="9"/>
      <c r="AP242" s="9"/>
      <c r="AQ242" s="9"/>
      <c r="AR242" s="9"/>
    </row>
    <row r="243" spans="25:44" ht="15.75" x14ac:dyDescent="0.25">
      <c r="Y243" s="6"/>
      <c r="Z243" s="36"/>
      <c r="AA243" s="566"/>
      <c r="AB243" s="567"/>
      <c r="AC243" s="566"/>
      <c r="AD243" s="567"/>
      <c r="AE243" s="569"/>
      <c r="AF243" s="9"/>
      <c r="AG243" s="569"/>
      <c r="AH243" s="9"/>
      <c r="AI243" s="569"/>
      <c r="AJ243" s="569"/>
      <c r="AK243" s="9"/>
      <c r="AL243" s="736"/>
      <c r="AM243" s="197"/>
      <c r="AN243" s="9"/>
      <c r="AO243" s="9"/>
      <c r="AP243" s="9"/>
      <c r="AQ243" s="9"/>
      <c r="AR243" s="9"/>
    </row>
    <row r="244" spans="25:44" ht="15.75" x14ac:dyDescent="0.25">
      <c r="Y244" s="6"/>
      <c r="Z244" s="36"/>
      <c r="AA244" s="566"/>
      <c r="AB244" s="567"/>
      <c r="AC244" s="566"/>
      <c r="AD244" s="567"/>
      <c r="AE244" s="569"/>
      <c r="AF244" s="9"/>
      <c r="AG244" s="569"/>
      <c r="AH244" s="9"/>
      <c r="AI244" s="569"/>
      <c r="AJ244" s="569"/>
      <c r="AK244" s="9"/>
      <c r="AL244" s="736"/>
      <c r="AM244" s="197"/>
      <c r="AN244" s="9"/>
      <c r="AO244" s="9"/>
      <c r="AP244" s="9"/>
      <c r="AQ244" s="9"/>
      <c r="AR244" s="9"/>
    </row>
    <row r="245" spans="25:44" ht="15.75" x14ac:dyDescent="0.25">
      <c r="Y245" s="6"/>
      <c r="Z245" s="36"/>
      <c r="AA245" s="566"/>
      <c r="AB245" s="567"/>
      <c r="AC245" s="566"/>
      <c r="AD245" s="567"/>
      <c r="AE245" s="569"/>
      <c r="AF245" s="9"/>
      <c r="AG245" s="569"/>
      <c r="AH245" s="9"/>
      <c r="AI245" s="569"/>
      <c r="AJ245" s="569"/>
      <c r="AK245" s="9"/>
      <c r="AL245" s="736"/>
      <c r="AM245" s="197"/>
      <c r="AN245" s="9"/>
      <c r="AO245" s="9"/>
      <c r="AP245" s="9"/>
      <c r="AQ245" s="9"/>
      <c r="AR245" s="9"/>
    </row>
    <row r="246" spans="25:44" ht="15.75" x14ac:dyDescent="0.25">
      <c r="Y246" s="6"/>
      <c r="Z246" s="36"/>
      <c r="AA246" s="566"/>
      <c r="AB246" s="567"/>
      <c r="AC246" s="566"/>
      <c r="AD246" s="567"/>
      <c r="AE246" s="569"/>
      <c r="AF246" s="9"/>
      <c r="AG246" s="569"/>
      <c r="AH246" s="9"/>
      <c r="AI246" s="569"/>
      <c r="AJ246" s="569"/>
      <c r="AK246" s="9"/>
      <c r="AL246" s="736"/>
      <c r="AM246" s="197"/>
      <c r="AN246" s="9"/>
      <c r="AO246" s="9"/>
      <c r="AP246" s="9"/>
      <c r="AQ246" s="9"/>
      <c r="AR246" s="9"/>
    </row>
    <row r="247" spans="25:44" ht="15.75" x14ac:dyDescent="0.25">
      <c r="Y247" s="6"/>
      <c r="Z247" s="36"/>
      <c r="AA247" s="566"/>
      <c r="AB247" s="567"/>
      <c r="AC247" s="566"/>
      <c r="AD247" s="567"/>
      <c r="AE247" s="569"/>
      <c r="AF247" s="9"/>
      <c r="AG247" s="569"/>
      <c r="AH247" s="9"/>
      <c r="AI247" s="569"/>
      <c r="AJ247" s="569"/>
      <c r="AK247" s="9"/>
      <c r="AL247" s="736"/>
      <c r="AM247" s="197"/>
      <c r="AN247" s="9"/>
      <c r="AO247" s="9"/>
      <c r="AP247" s="9"/>
      <c r="AQ247" s="9"/>
      <c r="AR247" s="9"/>
    </row>
    <row r="248" spans="25:44" ht="15.75" x14ac:dyDescent="0.25">
      <c r="Y248" s="6"/>
      <c r="Z248" s="36"/>
      <c r="AA248" s="566"/>
      <c r="AB248" s="567"/>
      <c r="AC248" s="566"/>
      <c r="AD248" s="567"/>
      <c r="AE248" s="569"/>
      <c r="AF248" s="9"/>
      <c r="AG248" s="569"/>
      <c r="AH248" s="9"/>
      <c r="AI248" s="569"/>
      <c r="AJ248" s="569"/>
      <c r="AK248" s="9"/>
      <c r="AL248" s="736"/>
      <c r="AM248" s="197"/>
      <c r="AN248" s="9"/>
      <c r="AO248" s="9"/>
      <c r="AP248" s="9"/>
      <c r="AQ248" s="9"/>
      <c r="AR248" s="9"/>
    </row>
    <row r="249" spans="25:44" ht="15.75" x14ac:dyDescent="0.25">
      <c r="Y249" s="6"/>
      <c r="Z249" s="36"/>
      <c r="AA249" s="566"/>
      <c r="AB249" s="567"/>
      <c r="AC249" s="566"/>
      <c r="AD249" s="567"/>
      <c r="AE249" s="569"/>
      <c r="AF249" s="9"/>
      <c r="AG249" s="569"/>
      <c r="AH249" s="9"/>
      <c r="AI249" s="569"/>
      <c r="AJ249" s="569"/>
      <c r="AK249" s="9"/>
      <c r="AL249" s="736"/>
      <c r="AM249" s="197"/>
      <c r="AN249" s="9"/>
      <c r="AO249" s="9"/>
      <c r="AP249" s="9"/>
      <c r="AQ249" s="9"/>
      <c r="AR249" s="9"/>
    </row>
    <row r="250" spans="25:44" ht="15.75" x14ac:dyDescent="0.25">
      <c r="Y250" s="6"/>
      <c r="Z250" s="36"/>
      <c r="AA250" s="566"/>
      <c r="AB250" s="567"/>
      <c r="AC250" s="566"/>
      <c r="AD250" s="567"/>
      <c r="AE250" s="569"/>
      <c r="AF250" s="9"/>
      <c r="AG250" s="569"/>
      <c r="AH250" s="9"/>
      <c r="AI250" s="569"/>
      <c r="AJ250" s="569"/>
      <c r="AK250" s="9"/>
      <c r="AL250" s="736"/>
      <c r="AM250" s="197"/>
      <c r="AN250" s="9"/>
      <c r="AO250" s="9"/>
      <c r="AP250" s="9"/>
      <c r="AQ250" s="9"/>
      <c r="AR250" s="9"/>
    </row>
    <row r="251" spans="25:44" ht="15.75" x14ac:dyDescent="0.25">
      <c r="Y251" s="6"/>
      <c r="Z251" s="36"/>
      <c r="AA251" s="566"/>
      <c r="AB251" s="567"/>
      <c r="AC251" s="566"/>
      <c r="AD251" s="567"/>
      <c r="AE251" s="569"/>
      <c r="AF251" s="9"/>
      <c r="AG251" s="569"/>
      <c r="AH251" s="9"/>
      <c r="AI251" s="569"/>
      <c r="AJ251" s="569"/>
      <c r="AK251" s="9"/>
      <c r="AL251" s="736"/>
      <c r="AM251" s="197"/>
      <c r="AN251" s="9"/>
      <c r="AO251" s="9"/>
      <c r="AP251" s="9"/>
      <c r="AQ251" s="9"/>
      <c r="AR251" s="9"/>
    </row>
    <row r="252" spans="25:44" ht="15.75" x14ac:dyDescent="0.25">
      <c r="Y252" s="6"/>
      <c r="Z252" s="36"/>
      <c r="AA252" s="138"/>
      <c r="AB252" s="567"/>
      <c r="AC252" s="138"/>
      <c r="AD252" s="735"/>
      <c r="AE252" s="6"/>
      <c r="AF252" s="6"/>
      <c r="AG252" s="6"/>
      <c r="AH252" s="9"/>
      <c r="AI252" s="222"/>
      <c r="AJ252" s="736"/>
      <c r="AK252" s="9"/>
      <c r="AL252" s="736"/>
      <c r="AM252" s="197"/>
      <c r="AN252" s="9"/>
      <c r="AO252" s="9"/>
      <c r="AP252" s="9"/>
      <c r="AQ252" s="9"/>
      <c r="AR252" s="9"/>
    </row>
    <row r="253" spans="25:44" x14ac:dyDescent="0.2">
      <c r="Y253" s="9"/>
      <c r="Z253" s="9"/>
      <c r="AA253" s="9"/>
      <c r="AB253" s="9"/>
      <c r="AC253" s="9"/>
      <c r="AD253" s="9"/>
      <c r="AE253" s="9"/>
      <c r="AF253" s="9"/>
      <c r="AG253" s="9"/>
      <c r="AH253" s="9"/>
      <c r="AI253" s="9"/>
      <c r="AJ253" s="9"/>
      <c r="AK253" s="9"/>
      <c r="AL253" s="9"/>
      <c r="AM253" s="9"/>
      <c r="AN253" s="9"/>
      <c r="AO253" s="9"/>
      <c r="AP253" s="9"/>
      <c r="AQ253" s="9"/>
      <c r="AR253" s="9"/>
    </row>
    <row r="254" spans="25:44" x14ac:dyDescent="0.2">
      <c r="Y254" s="9"/>
      <c r="Z254" s="9"/>
      <c r="AA254" s="9"/>
      <c r="AB254" s="9"/>
      <c r="AC254" s="9"/>
      <c r="AD254" s="9"/>
      <c r="AE254" s="9"/>
      <c r="AF254" s="9"/>
      <c r="AG254" s="9"/>
      <c r="AH254" s="9"/>
      <c r="AI254" s="9"/>
      <c r="AJ254" s="9"/>
      <c r="AK254" s="9"/>
      <c r="AL254" s="9"/>
      <c r="AM254" s="9"/>
      <c r="AN254" s="9"/>
      <c r="AO254" s="9"/>
      <c r="AP254" s="9"/>
      <c r="AQ254" s="9"/>
      <c r="AR254" s="9"/>
    </row>
    <row r="255" spans="25:44" x14ac:dyDescent="0.2">
      <c r="Y255" s="9"/>
      <c r="Z255" s="9"/>
      <c r="AA255" s="9"/>
      <c r="AB255" s="9"/>
      <c r="AC255" s="9"/>
      <c r="AD255" s="9"/>
      <c r="AE255" s="9"/>
      <c r="AF255" s="9"/>
      <c r="AG255" s="9"/>
      <c r="AH255" s="9"/>
      <c r="AI255" s="9"/>
      <c r="AJ255" s="9"/>
      <c r="AK255" s="9"/>
      <c r="AL255" s="9"/>
      <c r="AM255" s="9"/>
      <c r="AN255" s="9"/>
      <c r="AO255" s="9"/>
      <c r="AP255" s="9"/>
      <c r="AQ255" s="9"/>
      <c r="AR255" s="9"/>
    </row>
  </sheetData>
  <mergeCells count="88">
    <mergeCell ref="AL7:AM13"/>
    <mergeCell ref="AH7:AH13"/>
    <mergeCell ref="AI7:AI13"/>
    <mergeCell ref="AJ7:AJ13"/>
    <mergeCell ref="X62:X65"/>
    <mergeCell ref="AA10:AA13"/>
    <mergeCell ref="AA36:AA39"/>
    <mergeCell ref="B9:C13"/>
    <mergeCell ref="P9:Q13"/>
    <mergeCell ref="D10:E13"/>
    <mergeCell ref="F10:G13"/>
    <mergeCell ref="H10:H13"/>
    <mergeCell ref="I10:J11"/>
    <mergeCell ref="L10:L13"/>
    <mergeCell ref="M10:M13"/>
    <mergeCell ref="R10:S13"/>
    <mergeCell ref="T10:U13"/>
    <mergeCell ref="V10:V13"/>
    <mergeCell ref="W10:X11"/>
    <mergeCell ref="Z10:Z13"/>
    <mergeCell ref="B35:C39"/>
    <mergeCell ref="P35:Q39"/>
    <mergeCell ref="D36:E39"/>
    <mergeCell ref="F36:G39"/>
    <mergeCell ref="H36:H39"/>
    <mergeCell ref="I36:J37"/>
    <mergeCell ref="L36:L39"/>
    <mergeCell ref="M36:M39"/>
    <mergeCell ref="R36:S39"/>
    <mergeCell ref="T36:U39"/>
    <mergeCell ref="V36:V39"/>
    <mergeCell ref="W36:X37"/>
    <mergeCell ref="Z36:Z39"/>
    <mergeCell ref="M64:M67"/>
    <mergeCell ref="B152:C156"/>
    <mergeCell ref="O152:P156"/>
    <mergeCell ref="Q152:R156"/>
    <mergeCell ref="S152:T156"/>
    <mergeCell ref="B63:C67"/>
    <mergeCell ref="D64:E67"/>
    <mergeCell ref="F64:G67"/>
    <mergeCell ref="H64:H67"/>
    <mergeCell ref="I64:J65"/>
    <mergeCell ref="L64:L67"/>
    <mergeCell ref="AJ153:AJ156"/>
    <mergeCell ref="Y152:Z156"/>
    <mergeCell ref="D153:E156"/>
    <mergeCell ref="F153:G156"/>
    <mergeCell ref="H153:H156"/>
    <mergeCell ref="I153:J154"/>
    <mergeCell ref="L153:L156"/>
    <mergeCell ref="M153:M156"/>
    <mergeCell ref="V154:V156"/>
    <mergeCell ref="W154:W156"/>
    <mergeCell ref="U152:U155"/>
    <mergeCell ref="AA153:AB156"/>
    <mergeCell ref="AC153:AD156"/>
    <mergeCell ref="AE153:AE156"/>
    <mergeCell ref="AF153:AG154"/>
    <mergeCell ref="AI153:AI156"/>
    <mergeCell ref="AJ179:AJ182"/>
    <mergeCell ref="B180:C184"/>
    <mergeCell ref="D181:E184"/>
    <mergeCell ref="F181:G184"/>
    <mergeCell ref="H181:H184"/>
    <mergeCell ref="I181:J182"/>
    <mergeCell ref="L181:L184"/>
    <mergeCell ref="M181:M184"/>
    <mergeCell ref="Y178:Z182"/>
    <mergeCell ref="AA179:AB182"/>
    <mergeCell ref="AC179:AD182"/>
    <mergeCell ref="AE179:AE182"/>
    <mergeCell ref="AF179:AG180"/>
    <mergeCell ref="AI179:AI182"/>
    <mergeCell ref="AJ204:AJ207"/>
    <mergeCell ref="Y230:Z234"/>
    <mergeCell ref="AA231:AB234"/>
    <mergeCell ref="AC231:AD234"/>
    <mergeCell ref="AE231:AE234"/>
    <mergeCell ref="AF231:AG232"/>
    <mergeCell ref="AI231:AI234"/>
    <mergeCell ref="AJ231:AJ234"/>
    <mergeCell ref="Y203:Z207"/>
    <mergeCell ref="AA204:AB207"/>
    <mergeCell ref="AC204:AD207"/>
    <mergeCell ref="AE204:AE207"/>
    <mergeCell ref="AF204:AG205"/>
    <mergeCell ref="AI204:AI207"/>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245"/>
  <sheetViews>
    <sheetView topLeftCell="A77" zoomScale="85" zoomScaleNormal="85" workbookViewId="0">
      <selection activeCell="D184" sqref="D184"/>
    </sheetView>
  </sheetViews>
  <sheetFormatPr defaultColWidth="8.88671875" defaultRowHeight="15" x14ac:dyDescent="0.2"/>
  <cols>
    <col min="1" max="1" width="2.21875" style="1" customWidth="1"/>
    <col min="2" max="2" width="2" style="1" customWidth="1"/>
    <col min="3" max="3" width="32.6640625" style="1" customWidth="1"/>
    <col min="4" max="4" width="13.77734375" style="1" customWidth="1"/>
    <col min="5" max="5" width="17.21875" style="1" bestFit="1" customWidth="1"/>
    <col min="6" max="6" width="13.6640625" style="1" bestFit="1" customWidth="1"/>
    <col min="7" max="7" width="12.109375" style="1" customWidth="1"/>
    <col min="8" max="8" width="14.6640625" style="1" customWidth="1"/>
    <col min="9" max="9" width="15.77734375" style="1" customWidth="1"/>
    <col min="10" max="10" width="15.88671875" style="1" customWidth="1"/>
    <col min="11" max="11" width="12.109375" style="1" customWidth="1"/>
    <col min="12" max="12" width="10.6640625" style="1" customWidth="1"/>
    <col min="13" max="13" width="10.77734375" style="1" customWidth="1"/>
    <col min="14" max="14" width="9.44140625" style="1" bestFit="1" customWidth="1"/>
    <col min="15" max="15" width="13.6640625" style="1" bestFit="1" customWidth="1"/>
    <col min="16" max="16" width="9.109375" style="1" bestFit="1" customWidth="1"/>
    <col min="17" max="17" width="10.5546875" style="1" bestFit="1" customWidth="1"/>
    <col min="18" max="18" width="13.6640625" style="1" bestFit="1" customWidth="1"/>
    <col min="19" max="19" width="11.5546875" style="1" customWidth="1"/>
    <col min="20" max="20" width="14.77734375" style="1" customWidth="1"/>
    <col min="21" max="21" width="15.88671875" style="1" customWidth="1"/>
    <col min="22" max="22" width="8.44140625" style="1" customWidth="1"/>
    <col min="23" max="16384" width="8.88671875" style="1"/>
  </cols>
  <sheetData>
    <row r="2" spans="3:8" ht="23.25" thickBot="1" x14ac:dyDescent="0.35">
      <c r="C2" s="225" t="s">
        <v>65</v>
      </c>
      <c r="D2" s="121"/>
      <c r="E2" s="120"/>
      <c r="F2" s="120"/>
      <c r="G2" s="120"/>
    </row>
    <row r="3" spans="3:8" ht="15.75" thickTop="1" x14ac:dyDescent="0.2"/>
    <row r="5" spans="3:8" ht="17.25" customHeight="1" thickBot="1" x14ac:dyDescent="0.3">
      <c r="C5" s="223" t="s">
        <v>98</v>
      </c>
      <c r="D5" s="224"/>
      <c r="E5" s="224"/>
      <c r="F5" s="224"/>
      <c r="G5" s="224"/>
      <c r="H5" s="224"/>
    </row>
    <row r="6" spans="3:8" ht="17.25" hidden="1" customHeight="1" thickTop="1" x14ac:dyDescent="0.2"/>
    <row r="7" spans="3:8" ht="17.25" hidden="1" customHeight="1" x14ac:dyDescent="0.2"/>
    <row r="8" spans="3:8" ht="17.25" hidden="1" customHeight="1" x14ac:dyDescent="0.2"/>
    <row r="9" spans="3:8" ht="17.25" hidden="1" customHeight="1" x14ac:dyDescent="0.2"/>
    <row r="10" spans="3:8" ht="17.25" hidden="1" customHeight="1" x14ac:dyDescent="0.2"/>
    <row r="11" spans="3:8" ht="17.25" hidden="1" customHeight="1" x14ac:dyDescent="0.2"/>
    <row r="12" spans="3:8" ht="17.25" hidden="1" customHeight="1" x14ac:dyDescent="0.2"/>
    <row r="13" spans="3:8" ht="17.25" hidden="1" customHeight="1" x14ac:dyDescent="0.2"/>
    <row r="14" spans="3:8" ht="17.25" hidden="1" customHeight="1" x14ac:dyDescent="0.2"/>
    <row r="15" spans="3:8" ht="17.25" hidden="1" customHeight="1" x14ac:dyDescent="0.2"/>
    <row r="16" spans="3:8" ht="15" hidden="1" customHeight="1" x14ac:dyDescent="0.2"/>
    <row r="17" spans="2:13" ht="15" hidden="1" customHeight="1" x14ac:dyDescent="0.2"/>
    <row r="18" spans="2:13" ht="15" hidden="1" customHeight="1" x14ac:dyDescent="0.2"/>
    <row r="19" spans="2:13" ht="15" hidden="1" customHeight="1" x14ac:dyDescent="0.2"/>
    <row r="20" spans="2:13" ht="15" hidden="1" customHeight="1" x14ac:dyDescent="0.2"/>
    <row r="21" spans="2:13" ht="15" hidden="1" customHeight="1" x14ac:dyDescent="0.2"/>
    <row r="22" spans="2:13" ht="15" hidden="1" customHeight="1" x14ac:dyDescent="0.2"/>
    <row r="23" spans="2:13" ht="15" hidden="1" customHeight="1" x14ac:dyDescent="0.2"/>
    <row r="24" spans="2:13" ht="15" hidden="1" customHeight="1" x14ac:dyDescent="0.2"/>
    <row r="25" spans="2:13" ht="15.75" thickTop="1" x14ac:dyDescent="0.2"/>
    <row r="27" spans="2:13" ht="17.25" thickBot="1" x14ac:dyDescent="0.3">
      <c r="B27" s="34"/>
      <c r="C27" s="227" t="s">
        <v>97</v>
      </c>
      <c r="D27" s="227"/>
      <c r="E27" s="227"/>
      <c r="F27" s="227"/>
      <c r="G27" s="227"/>
      <c r="H27" s="226"/>
    </row>
    <row r="28" spans="2:13" ht="15.75" thickTop="1" x14ac:dyDescent="0.2">
      <c r="H28" s="9"/>
      <c r="I28" s="9"/>
      <c r="J28" s="9"/>
    </row>
    <row r="29" spans="2:13" ht="15.75" x14ac:dyDescent="0.25">
      <c r="H29" s="9"/>
      <c r="I29" s="46"/>
      <c r="J29" s="9"/>
      <c r="L29" s="9"/>
    </row>
    <row r="30" spans="2:13" ht="15.75" x14ac:dyDescent="0.25">
      <c r="H30" s="9"/>
      <c r="I30" s="46"/>
      <c r="J30" s="124"/>
      <c r="L30" s="123"/>
      <c r="M30" s="45"/>
    </row>
    <row r="31" spans="2:13" ht="15.75" x14ac:dyDescent="0.25">
      <c r="H31" s="9"/>
      <c r="I31" s="46"/>
      <c r="J31" s="124"/>
      <c r="L31" s="46"/>
      <c r="M31" s="46"/>
    </row>
    <row r="32" spans="2:13" ht="15.75" x14ac:dyDescent="0.25">
      <c r="H32" s="9"/>
      <c r="I32" s="46"/>
      <c r="J32" s="124"/>
      <c r="L32" s="125"/>
      <c r="M32" s="46"/>
    </row>
    <row r="33" spans="1:23" ht="15.75" x14ac:dyDescent="0.25">
      <c r="H33" s="9"/>
      <c r="I33" s="46"/>
      <c r="J33" s="124"/>
      <c r="K33" s="9"/>
      <c r="L33" s="125"/>
      <c r="M33" s="46"/>
    </row>
    <row r="34" spans="1:23" ht="15.75" x14ac:dyDescent="0.25">
      <c r="H34" s="9"/>
      <c r="I34" s="46"/>
      <c r="J34" s="124"/>
      <c r="K34" s="9"/>
      <c r="L34" s="125"/>
      <c r="M34" s="46"/>
    </row>
    <row r="35" spans="1:23" ht="15.75" x14ac:dyDescent="0.25">
      <c r="H35" s="9"/>
      <c r="I35" s="9"/>
      <c r="J35" s="46"/>
      <c r="K35" s="124"/>
      <c r="L35" s="125"/>
      <c r="M35" s="46"/>
    </row>
    <row r="36" spans="1:23" ht="15.75" x14ac:dyDescent="0.25">
      <c r="H36" s="9"/>
      <c r="I36" s="9"/>
      <c r="J36" s="46"/>
      <c r="K36" s="124"/>
      <c r="L36" s="125"/>
      <c r="M36" s="46"/>
    </row>
    <row r="37" spans="1:23" x14ac:dyDescent="0.2">
      <c r="I37" s="9"/>
      <c r="J37" s="9"/>
      <c r="K37" s="9"/>
      <c r="L37" s="9"/>
      <c r="M37" s="9"/>
    </row>
    <row r="38" spans="1:23" x14ac:dyDescent="0.2">
      <c r="M38" s="9"/>
    </row>
    <row r="39" spans="1:23" ht="15.75" thickBot="1" x14ac:dyDescent="0.25">
      <c r="V39" s="9"/>
      <c r="W39" s="9"/>
    </row>
    <row r="40" spans="1:23" ht="15.75" x14ac:dyDescent="0.25">
      <c r="C40" s="2"/>
      <c r="D40" s="3"/>
      <c r="E40" s="3"/>
      <c r="F40" s="3"/>
      <c r="G40" s="3"/>
      <c r="H40" s="3"/>
      <c r="I40" s="3"/>
      <c r="J40" s="3"/>
      <c r="K40" s="3"/>
      <c r="L40" s="3"/>
      <c r="M40" s="3"/>
      <c r="N40" s="3"/>
      <c r="O40" s="3"/>
      <c r="P40" s="3"/>
      <c r="Q40" s="3"/>
      <c r="R40" s="3"/>
      <c r="S40" s="3"/>
      <c r="T40" s="3"/>
      <c r="U40" s="4"/>
      <c r="V40" s="6"/>
      <c r="W40" s="9"/>
    </row>
    <row r="41" spans="1:23" ht="16.5" thickBot="1" x14ac:dyDescent="0.3">
      <c r="B41" s="5"/>
      <c r="C41" s="52" t="s">
        <v>48</v>
      </c>
      <c r="D41" s="75" t="s">
        <v>50</v>
      </c>
      <c r="E41" s="9"/>
      <c r="F41" s="9"/>
      <c r="G41" s="9"/>
      <c r="H41" s="9"/>
      <c r="I41" s="9"/>
      <c r="J41" s="9"/>
      <c r="K41" s="9"/>
      <c r="L41" s="9"/>
      <c r="M41" s="9"/>
      <c r="N41" s="9"/>
      <c r="O41" s="9"/>
      <c r="P41" s="9"/>
      <c r="Q41" s="9"/>
      <c r="R41" s="9"/>
      <c r="S41" s="9"/>
      <c r="T41" s="9"/>
      <c r="U41" s="108" t="s">
        <v>47</v>
      </c>
      <c r="V41" s="6"/>
      <c r="W41" s="9"/>
    </row>
    <row r="42" spans="1:23" ht="15.75" x14ac:dyDescent="0.25">
      <c r="C42" s="122" t="s">
        <v>66</v>
      </c>
      <c r="D42" s="126" t="s">
        <v>8</v>
      </c>
      <c r="E42" s="57" t="s">
        <v>9</v>
      </c>
      <c r="F42" s="57" t="s">
        <v>10</v>
      </c>
      <c r="G42" s="57" t="s">
        <v>11</v>
      </c>
      <c r="H42" s="57" t="s">
        <v>12</v>
      </c>
      <c r="I42" s="57" t="s">
        <v>13</v>
      </c>
      <c r="J42" s="57" t="s">
        <v>14</v>
      </c>
      <c r="K42" s="57" t="s">
        <v>15</v>
      </c>
      <c r="L42" s="57" t="s">
        <v>16</v>
      </c>
      <c r="M42" s="57" t="s">
        <v>17</v>
      </c>
      <c r="N42" s="57" t="s">
        <v>18</v>
      </c>
      <c r="O42" s="57" t="s">
        <v>19</v>
      </c>
      <c r="P42" s="57" t="s">
        <v>20</v>
      </c>
      <c r="Q42" s="57" t="s">
        <v>21</v>
      </c>
      <c r="R42" s="57" t="s">
        <v>22</v>
      </c>
      <c r="S42" s="57" t="s">
        <v>23</v>
      </c>
      <c r="T42" s="127" t="s">
        <v>24</v>
      </c>
      <c r="U42" s="128"/>
      <c r="V42" s="9"/>
      <c r="W42" s="9"/>
    </row>
    <row r="43" spans="1:23" ht="15.75" x14ac:dyDescent="0.25">
      <c r="B43" s="7"/>
      <c r="C43" s="129" t="s">
        <v>67</v>
      </c>
      <c r="D43" s="130">
        <v>396</v>
      </c>
      <c r="E43" s="54">
        <v>798</v>
      </c>
      <c r="F43" s="54">
        <v>2076</v>
      </c>
      <c r="G43" s="54">
        <v>460</v>
      </c>
      <c r="H43" s="54">
        <v>394</v>
      </c>
      <c r="I43" s="54">
        <v>1265</v>
      </c>
      <c r="J43" s="54">
        <v>3637</v>
      </c>
      <c r="K43" s="54">
        <v>271</v>
      </c>
      <c r="L43" s="54">
        <v>201</v>
      </c>
      <c r="M43" s="54">
        <v>1589</v>
      </c>
      <c r="N43" s="54">
        <v>325</v>
      </c>
      <c r="O43" s="54">
        <v>1465</v>
      </c>
      <c r="P43" s="54">
        <v>77</v>
      </c>
      <c r="Q43" s="54">
        <v>847</v>
      </c>
      <c r="R43" s="54">
        <v>343</v>
      </c>
      <c r="S43" s="54">
        <v>9405</v>
      </c>
      <c r="T43" s="131">
        <f>SUM(D43:S43)</f>
        <v>23549</v>
      </c>
      <c r="U43" s="132">
        <f>T43/$T$49</f>
        <v>0.83050608358314226</v>
      </c>
      <c r="V43" s="37"/>
      <c r="W43" s="9"/>
    </row>
    <row r="44" spans="1:23" ht="15.75" x14ac:dyDescent="0.25">
      <c r="B44" s="7"/>
      <c r="C44" s="40" t="s">
        <v>68</v>
      </c>
      <c r="D44" s="130">
        <v>74</v>
      </c>
      <c r="E44" s="54">
        <v>128</v>
      </c>
      <c r="F44" s="54">
        <v>291</v>
      </c>
      <c r="G44" s="54">
        <v>99</v>
      </c>
      <c r="H44" s="54">
        <v>71</v>
      </c>
      <c r="I44" s="54">
        <v>168</v>
      </c>
      <c r="J44" s="54">
        <v>300</v>
      </c>
      <c r="K44" s="54">
        <v>79</v>
      </c>
      <c r="L44" s="54">
        <v>43</v>
      </c>
      <c r="M44" s="54">
        <v>160</v>
      </c>
      <c r="N44" s="54">
        <v>53</v>
      </c>
      <c r="O44" s="54">
        <v>243</v>
      </c>
      <c r="P44" s="54">
        <v>25</v>
      </c>
      <c r="Q44" s="54">
        <v>133</v>
      </c>
      <c r="R44" s="54">
        <v>87</v>
      </c>
      <c r="S44" s="54">
        <v>1353</v>
      </c>
      <c r="T44" s="131">
        <f>SUM(D44:S44)</f>
        <v>3307</v>
      </c>
      <c r="U44" s="132">
        <f>T44/$T$49</f>
        <v>0.11662846058896138</v>
      </c>
      <c r="V44" s="37"/>
      <c r="W44" s="9"/>
    </row>
    <row r="45" spans="1:23" ht="15.75" x14ac:dyDescent="0.25">
      <c r="B45" s="7"/>
      <c r="C45" s="40" t="s">
        <v>69</v>
      </c>
      <c r="D45" s="130">
        <v>10</v>
      </c>
      <c r="E45" s="54">
        <v>52</v>
      </c>
      <c r="F45" s="54">
        <v>160</v>
      </c>
      <c r="G45" s="54">
        <v>18</v>
      </c>
      <c r="H45" s="54">
        <v>27</v>
      </c>
      <c r="I45" s="54">
        <v>93</v>
      </c>
      <c r="J45" s="54">
        <v>312</v>
      </c>
      <c r="K45" s="54">
        <v>11</v>
      </c>
      <c r="L45" s="54">
        <v>5</v>
      </c>
      <c r="M45" s="54">
        <v>111</v>
      </c>
      <c r="N45" s="54">
        <v>21</v>
      </c>
      <c r="O45" s="54">
        <v>102</v>
      </c>
      <c r="P45" s="54">
        <v>1</v>
      </c>
      <c r="Q45" s="54">
        <v>52</v>
      </c>
      <c r="R45" s="54">
        <v>19</v>
      </c>
      <c r="S45" s="54">
        <v>505</v>
      </c>
      <c r="T45" s="131">
        <f>SUM(D45:S45)</f>
        <v>1499</v>
      </c>
      <c r="U45" s="132">
        <f>T45/$T$49</f>
        <v>5.2865455827896313E-2</v>
      </c>
      <c r="V45" s="37"/>
      <c r="W45" s="9"/>
    </row>
    <row r="46" spans="1:23" ht="15.75" x14ac:dyDescent="0.25">
      <c r="B46" s="7"/>
      <c r="C46" s="40"/>
      <c r="D46" s="130"/>
      <c r="E46" s="54"/>
      <c r="F46" s="54"/>
      <c r="G46" s="54"/>
      <c r="H46" s="54"/>
      <c r="I46" s="54"/>
      <c r="J46" s="54"/>
      <c r="K46" s="54"/>
      <c r="L46" s="54"/>
      <c r="M46" s="54"/>
      <c r="N46" s="54"/>
      <c r="O46" s="54"/>
      <c r="P46" s="54"/>
      <c r="Q46" s="54"/>
      <c r="R46" s="54"/>
      <c r="S46" s="54"/>
      <c r="T46" s="131"/>
      <c r="U46" s="133"/>
      <c r="V46" s="37"/>
      <c r="W46" s="9"/>
    </row>
    <row r="47" spans="1:23" ht="15.75" x14ac:dyDescent="0.25">
      <c r="A47" s="119"/>
      <c r="B47" s="136"/>
      <c r="C47" s="129" t="s">
        <v>4</v>
      </c>
      <c r="D47" s="134">
        <v>337</v>
      </c>
      <c r="E47" s="38">
        <v>704</v>
      </c>
      <c r="F47" s="38">
        <v>1849</v>
      </c>
      <c r="G47" s="38">
        <v>399</v>
      </c>
      <c r="H47" s="38">
        <v>341</v>
      </c>
      <c r="I47" s="38">
        <v>1104</v>
      </c>
      <c r="J47" s="38">
        <v>3250</v>
      </c>
      <c r="K47" s="38">
        <v>243</v>
      </c>
      <c r="L47" s="38">
        <v>166</v>
      </c>
      <c r="M47" s="38">
        <v>1423</v>
      </c>
      <c r="N47" s="38">
        <v>280</v>
      </c>
      <c r="O47" s="38">
        <v>1297</v>
      </c>
      <c r="P47" s="38">
        <v>65</v>
      </c>
      <c r="Q47" s="38">
        <v>729</v>
      </c>
      <c r="R47" s="38">
        <v>294</v>
      </c>
      <c r="S47" s="38">
        <v>8386</v>
      </c>
      <c r="T47" s="135">
        <v>20867</v>
      </c>
      <c r="U47" s="133"/>
      <c r="V47" s="37"/>
      <c r="W47" s="9"/>
    </row>
    <row r="48" spans="1:23" ht="15.75" x14ac:dyDescent="0.25">
      <c r="A48" s="119"/>
      <c r="B48" s="136"/>
      <c r="C48" s="40"/>
      <c r="D48" s="134"/>
      <c r="E48" s="38"/>
      <c r="F48" s="38"/>
      <c r="G48" s="38"/>
      <c r="H48" s="38"/>
      <c r="I48" s="38"/>
      <c r="J48" s="38"/>
      <c r="K48" s="38"/>
      <c r="L48" s="38"/>
      <c r="M48" s="38"/>
      <c r="N48" s="38"/>
      <c r="O48" s="38"/>
      <c r="P48" s="38"/>
      <c r="Q48" s="38"/>
      <c r="R48" s="38"/>
      <c r="S48" s="38"/>
      <c r="T48" s="135"/>
      <c r="U48" s="133"/>
      <c r="V48" s="37"/>
      <c r="W48" s="9"/>
    </row>
    <row r="49" spans="1:23" ht="16.5" thickBot="1" x14ac:dyDescent="0.3">
      <c r="A49" s="119"/>
      <c r="B49" s="136"/>
      <c r="C49" s="42" t="s">
        <v>27</v>
      </c>
      <c r="D49" s="307">
        <f t="shared" ref="D49:T49" si="0">SUM(D43:D45)</f>
        <v>480</v>
      </c>
      <c r="E49" s="192">
        <f t="shared" si="0"/>
        <v>978</v>
      </c>
      <c r="F49" s="192">
        <f t="shared" si="0"/>
        <v>2527</v>
      </c>
      <c r="G49" s="192">
        <f t="shared" si="0"/>
        <v>577</v>
      </c>
      <c r="H49" s="192">
        <f t="shared" si="0"/>
        <v>492</v>
      </c>
      <c r="I49" s="192">
        <f t="shared" si="0"/>
        <v>1526</v>
      </c>
      <c r="J49" s="192">
        <f t="shared" si="0"/>
        <v>4249</v>
      </c>
      <c r="K49" s="192">
        <f t="shared" si="0"/>
        <v>361</v>
      </c>
      <c r="L49" s="192">
        <f t="shared" si="0"/>
        <v>249</v>
      </c>
      <c r="M49" s="192">
        <f t="shared" si="0"/>
        <v>1860</v>
      </c>
      <c r="N49" s="192">
        <f t="shared" si="0"/>
        <v>399</v>
      </c>
      <c r="O49" s="192">
        <f t="shared" si="0"/>
        <v>1810</v>
      </c>
      <c r="P49" s="192">
        <f t="shared" si="0"/>
        <v>103</v>
      </c>
      <c r="Q49" s="192">
        <f t="shared" si="0"/>
        <v>1032</v>
      </c>
      <c r="R49" s="192">
        <f t="shared" si="0"/>
        <v>449</v>
      </c>
      <c r="S49" s="192">
        <f t="shared" si="0"/>
        <v>11263</v>
      </c>
      <c r="T49" s="308">
        <f t="shared" si="0"/>
        <v>28355</v>
      </c>
      <c r="U49" s="137"/>
      <c r="V49" s="37"/>
      <c r="W49" s="9"/>
    </row>
    <row r="50" spans="1:23" ht="16.5" thickBot="1" x14ac:dyDescent="0.3">
      <c r="A50" s="119"/>
      <c r="B50" s="136"/>
      <c r="C50" s="6"/>
      <c r="D50" s="6"/>
      <c r="E50" s="6"/>
      <c r="F50" s="6"/>
      <c r="G50" s="6"/>
      <c r="H50" s="6"/>
      <c r="I50" s="6"/>
      <c r="J50" s="6"/>
      <c r="K50" s="6"/>
      <c r="L50" s="6"/>
      <c r="M50" s="6"/>
      <c r="N50" s="6"/>
      <c r="O50" s="6"/>
      <c r="P50" s="6"/>
      <c r="Q50" s="6"/>
      <c r="R50" s="6"/>
      <c r="S50" s="6"/>
      <c r="T50" s="138"/>
      <c r="U50" s="9"/>
      <c r="V50" s="9"/>
      <c r="W50" s="9"/>
    </row>
    <row r="51" spans="1:23" ht="15.75" x14ac:dyDescent="0.25">
      <c r="A51" s="119"/>
      <c r="B51" s="136"/>
      <c r="C51" s="139" t="s">
        <v>28</v>
      </c>
      <c r="D51" s="297"/>
      <c r="E51" s="140"/>
      <c r="F51" s="140"/>
      <c r="G51" s="140"/>
      <c r="H51" s="140"/>
      <c r="I51" s="140"/>
      <c r="J51" s="140"/>
      <c r="K51" s="140"/>
      <c r="L51" s="140"/>
      <c r="M51" s="140"/>
      <c r="N51" s="140"/>
      <c r="O51" s="140"/>
      <c r="P51" s="140"/>
      <c r="Q51" s="140"/>
      <c r="R51" s="140"/>
      <c r="S51" s="298"/>
      <c r="T51" s="141" t="s">
        <v>24</v>
      </c>
      <c r="U51" s="9"/>
      <c r="V51" s="9"/>
      <c r="W51" s="9"/>
    </row>
    <row r="52" spans="1:23" ht="15.75" x14ac:dyDescent="0.25">
      <c r="A52" s="119"/>
      <c r="B52" s="136"/>
      <c r="C52" s="142" t="s">
        <v>71</v>
      </c>
      <c r="D52" s="299">
        <f t="shared" ref="D52:T52" si="1">D43/D$49</f>
        <v>0.82499999999999996</v>
      </c>
      <c r="E52" s="143">
        <f t="shared" si="1"/>
        <v>0.81595092024539873</v>
      </c>
      <c r="F52" s="143">
        <f t="shared" si="1"/>
        <v>0.82152750296794619</v>
      </c>
      <c r="G52" s="143">
        <f t="shared" si="1"/>
        <v>0.79722703639514736</v>
      </c>
      <c r="H52" s="143">
        <f t="shared" si="1"/>
        <v>0.80081300813008127</v>
      </c>
      <c r="I52" s="143">
        <f t="shared" si="1"/>
        <v>0.82896461336828309</v>
      </c>
      <c r="J52" s="143">
        <f t="shared" si="1"/>
        <v>0.85596610967286424</v>
      </c>
      <c r="K52" s="143">
        <f t="shared" si="1"/>
        <v>0.75069252077562332</v>
      </c>
      <c r="L52" s="143">
        <f t="shared" si="1"/>
        <v>0.80722891566265065</v>
      </c>
      <c r="M52" s="143">
        <f t="shared" si="1"/>
        <v>0.85430107526881716</v>
      </c>
      <c r="N52" s="143">
        <f t="shared" si="1"/>
        <v>0.81453634085213034</v>
      </c>
      <c r="O52" s="143">
        <f t="shared" si="1"/>
        <v>0.80939226519337015</v>
      </c>
      <c r="P52" s="143">
        <f t="shared" si="1"/>
        <v>0.74757281553398058</v>
      </c>
      <c r="Q52" s="143">
        <f t="shared" si="1"/>
        <v>0.82073643410852715</v>
      </c>
      <c r="R52" s="143">
        <f t="shared" si="1"/>
        <v>0.7639198218262806</v>
      </c>
      <c r="S52" s="300">
        <f t="shared" si="1"/>
        <v>0.83503507058510162</v>
      </c>
      <c r="T52" s="144">
        <f t="shared" si="1"/>
        <v>0.83050608358314226</v>
      </c>
      <c r="U52" s="9"/>
      <c r="V52" s="9"/>
      <c r="W52" s="9"/>
    </row>
    <row r="53" spans="1:23" ht="15.75" x14ac:dyDescent="0.25">
      <c r="A53" s="119"/>
      <c r="B53" s="136"/>
      <c r="C53" s="145"/>
      <c r="D53" s="299"/>
      <c r="E53" s="143"/>
      <c r="F53" s="143"/>
      <c r="G53" s="143"/>
      <c r="H53" s="143"/>
      <c r="I53" s="143"/>
      <c r="J53" s="143"/>
      <c r="K53" s="143"/>
      <c r="L53" s="143"/>
      <c r="M53" s="143"/>
      <c r="N53" s="143"/>
      <c r="O53" s="143"/>
      <c r="P53" s="143"/>
      <c r="Q53" s="143"/>
      <c r="R53" s="143"/>
      <c r="S53" s="300"/>
      <c r="T53" s="144"/>
      <c r="U53" s="9"/>
      <c r="V53" s="9"/>
      <c r="W53" s="9"/>
    </row>
    <row r="54" spans="1:23" ht="15.75" x14ac:dyDescent="0.25">
      <c r="A54" s="119"/>
      <c r="B54" s="136"/>
      <c r="C54" s="142" t="s">
        <v>92</v>
      </c>
      <c r="D54" s="299">
        <f t="shared" ref="D54:S54" si="2">D43/$T$43</f>
        <v>1.6816000679434371E-2</v>
      </c>
      <c r="E54" s="143">
        <f t="shared" si="2"/>
        <v>3.3886789247951084E-2</v>
      </c>
      <c r="F54" s="143">
        <f t="shared" si="2"/>
        <v>8.8156609622489279E-2</v>
      </c>
      <c r="G54" s="143">
        <f t="shared" si="2"/>
        <v>1.9533738162979319E-2</v>
      </c>
      <c r="H54" s="143">
        <f t="shared" si="2"/>
        <v>1.673107138307359E-2</v>
      </c>
      <c r="I54" s="143">
        <f t="shared" si="2"/>
        <v>5.3717779948193128E-2</v>
      </c>
      <c r="J54" s="143">
        <f t="shared" si="2"/>
        <v>0.1544439254320778</v>
      </c>
      <c r="K54" s="143">
        <f t="shared" si="2"/>
        <v>1.1507919656885643E-2</v>
      </c>
      <c r="L54" s="143">
        <f t="shared" si="2"/>
        <v>8.5353942842583547E-3</v>
      </c>
      <c r="M54" s="143">
        <f t="shared" si="2"/>
        <v>6.7476325958639435E-2</v>
      </c>
      <c r="N54" s="143">
        <f t="shared" si="2"/>
        <v>1.3801010658626694E-2</v>
      </c>
      <c r="O54" s="143">
        <f t="shared" si="2"/>
        <v>6.2210709584271093E-2</v>
      </c>
      <c r="P54" s="143">
        <f t="shared" si="2"/>
        <v>3.2697779098900164E-3</v>
      </c>
      <c r="Q54" s="143">
        <f t="shared" si="2"/>
        <v>3.5967557008790181E-2</v>
      </c>
      <c r="R54" s="143">
        <f t="shared" si="2"/>
        <v>1.4565374325873711E-2</v>
      </c>
      <c r="S54" s="300">
        <f t="shared" si="2"/>
        <v>0.39938001613656632</v>
      </c>
      <c r="T54" s="228">
        <f>SUM(D54:S54)</f>
        <v>1</v>
      </c>
      <c r="U54" s="9"/>
      <c r="V54" s="9"/>
      <c r="W54" s="9"/>
    </row>
    <row r="55" spans="1:23" ht="15.75" x14ac:dyDescent="0.25">
      <c r="A55" s="119"/>
      <c r="B55" s="136"/>
      <c r="C55" s="145" t="s">
        <v>93</v>
      </c>
      <c r="D55" s="299">
        <f>D49/$T$49</f>
        <v>1.692823135249515E-2</v>
      </c>
      <c r="E55" s="143">
        <f t="shared" ref="E55:S55" si="3">E49/$T$49</f>
        <v>3.4491271380708871E-2</v>
      </c>
      <c r="F55" s="143">
        <f t="shared" si="3"/>
        <v>8.9120084641156769E-2</v>
      </c>
      <c r="G55" s="143">
        <f t="shared" si="3"/>
        <v>2.0349144771645213E-2</v>
      </c>
      <c r="H55" s="143">
        <f t="shared" si="3"/>
        <v>1.7351437136307529E-2</v>
      </c>
      <c r="I55" s="143">
        <f t="shared" si="3"/>
        <v>5.3817668841474167E-2</v>
      </c>
      <c r="J55" s="143">
        <f t="shared" si="3"/>
        <v>0.14985011461823311</v>
      </c>
      <c r="K55" s="143">
        <f t="shared" si="3"/>
        <v>1.2731440663022394E-2</v>
      </c>
      <c r="L55" s="143">
        <f t="shared" si="3"/>
        <v>8.781520014106859E-3</v>
      </c>
      <c r="M55" s="143">
        <f t="shared" si="3"/>
        <v>6.559689649091871E-2</v>
      </c>
      <c r="N55" s="143">
        <f t="shared" si="3"/>
        <v>1.4071592311761595E-2</v>
      </c>
      <c r="O55" s="143">
        <f t="shared" si="3"/>
        <v>6.3833539058367125E-2</v>
      </c>
      <c r="P55" s="143">
        <f t="shared" si="3"/>
        <v>3.6325163110562512E-3</v>
      </c>
      <c r="Q55" s="143">
        <f t="shared" si="3"/>
        <v>3.6395697407864573E-2</v>
      </c>
      <c r="R55" s="143">
        <f t="shared" si="3"/>
        <v>1.5834949744313171E-2</v>
      </c>
      <c r="S55" s="300">
        <f t="shared" si="3"/>
        <v>0.39721389525656853</v>
      </c>
      <c r="T55" s="144"/>
      <c r="U55" s="9"/>
      <c r="V55" s="9"/>
      <c r="W55" s="9"/>
    </row>
    <row r="56" spans="1:23" ht="15.75" x14ac:dyDescent="0.25">
      <c r="A56" s="119"/>
      <c r="B56" s="136"/>
      <c r="C56" s="145" t="s">
        <v>728</v>
      </c>
      <c r="D56" s="299">
        <f>D47/$T$47</f>
        <v>1.6149901758757846E-2</v>
      </c>
      <c r="E56" s="299">
        <f t="shared" ref="E56:S56" si="4">E47/$T$47</f>
        <v>3.3737480231945179E-2</v>
      </c>
      <c r="F56" s="299">
        <f t="shared" si="4"/>
        <v>8.8608808166003736E-2</v>
      </c>
      <c r="G56" s="299">
        <f t="shared" si="4"/>
        <v>1.9121100301912108E-2</v>
      </c>
      <c r="H56" s="299">
        <f t="shared" si="4"/>
        <v>1.6341591987348445E-2</v>
      </c>
      <c r="I56" s="299">
        <f t="shared" si="4"/>
        <v>5.2906503091004933E-2</v>
      </c>
      <c r="J56" s="299">
        <f t="shared" si="4"/>
        <v>0.15574831072986053</v>
      </c>
      <c r="K56" s="299">
        <f t="shared" si="4"/>
        <v>1.1645181386878804E-2</v>
      </c>
      <c r="L56" s="299">
        <f t="shared" si="4"/>
        <v>7.9551444865098003E-3</v>
      </c>
      <c r="M56" s="299">
        <f t="shared" si="4"/>
        <v>6.81937988211051E-2</v>
      </c>
      <c r="N56" s="299">
        <f t="shared" si="4"/>
        <v>1.3418316001341831E-2</v>
      </c>
      <c r="O56" s="299">
        <f t="shared" si="4"/>
        <v>6.2155556620501269E-2</v>
      </c>
      <c r="P56" s="299">
        <f t="shared" si="4"/>
        <v>3.1149662145972109E-3</v>
      </c>
      <c r="Q56" s="299">
        <f t="shared" si="4"/>
        <v>3.4935544160636413E-2</v>
      </c>
      <c r="R56" s="299">
        <f t="shared" si="4"/>
        <v>1.4089231801408923E-2</v>
      </c>
      <c r="S56" s="299">
        <f t="shared" si="4"/>
        <v>0.40187856424018786</v>
      </c>
      <c r="T56" s="144"/>
      <c r="U56" s="9"/>
      <c r="V56" s="9"/>
      <c r="W56" s="9"/>
    </row>
    <row r="57" spans="1:23" ht="15.75" x14ac:dyDescent="0.25">
      <c r="A57" s="119"/>
      <c r="B57" s="136"/>
      <c r="C57" s="146" t="s">
        <v>272</v>
      </c>
      <c r="D57" s="301"/>
      <c r="E57" s="147"/>
      <c r="F57" s="147"/>
      <c r="G57" s="147"/>
      <c r="H57" s="147"/>
      <c r="I57" s="147"/>
      <c r="J57" s="147"/>
      <c r="K57" s="147"/>
      <c r="L57" s="147"/>
      <c r="M57" s="147"/>
      <c r="N57" s="147"/>
      <c r="O57" s="147"/>
      <c r="P57" s="147"/>
      <c r="Q57" s="147"/>
      <c r="R57" s="147"/>
      <c r="S57" s="302"/>
      <c r="T57" s="148"/>
      <c r="U57" s="9"/>
      <c r="V57" s="9"/>
      <c r="W57" s="9"/>
    </row>
    <row r="58" spans="1:23" ht="15.75" x14ac:dyDescent="0.25">
      <c r="A58" s="119"/>
      <c r="B58" s="136"/>
      <c r="C58" s="142" t="s">
        <v>168</v>
      </c>
      <c r="D58" s="301">
        <v>12000</v>
      </c>
      <c r="E58" s="147">
        <v>25000</v>
      </c>
      <c r="F58" s="147">
        <v>140000</v>
      </c>
      <c r="G58" s="147">
        <v>176000</v>
      </c>
      <c r="H58" s="147">
        <v>183000</v>
      </c>
      <c r="I58" s="147">
        <v>69000</v>
      </c>
      <c r="J58" s="147">
        <v>410000</v>
      </c>
      <c r="K58" s="147">
        <v>3000</v>
      </c>
      <c r="L58" s="147">
        <v>37000</v>
      </c>
      <c r="M58" s="147">
        <v>180000</v>
      </c>
      <c r="N58" s="147">
        <v>5000</v>
      </c>
      <c r="O58" s="147">
        <v>69000</v>
      </c>
      <c r="P58" s="147">
        <v>0</v>
      </c>
      <c r="Q58" s="147">
        <v>377000</v>
      </c>
      <c r="R58" s="147">
        <v>8000</v>
      </c>
      <c r="S58" s="302">
        <v>1410000</v>
      </c>
      <c r="T58" s="294">
        <f>SUM(D58:S58)</f>
        <v>3104000</v>
      </c>
      <c r="U58" s="9"/>
      <c r="V58" s="9"/>
      <c r="W58" s="9"/>
    </row>
    <row r="59" spans="1:23" ht="15.75" x14ac:dyDescent="0.25">
      <c r="A59" s="119"/>
      <c r="B59" s="136"/>
      <c r="C59" s="142" t="s">
        <v>235</v>
      </c>
      <c r="D59" s="303">
        <v>103000</v>
      </c>
      <c r="E59" s="1168">
        <v>392000</v>
      </c>
      <c r="F59" s="295">
        <v>521000</v>
      </c>
      <c r="G59" s="295">
        <v>25000</v>
      </c>
      <c r="H59" s="295">
        <v>349000</v>
      </c>
      <c r="I59" s="295">
        <v>262000</v>
      </c>
      <c r="J59" s="295">
        <v>749000</v>
      </c>
      <c r="K59" s="295">
        <v>99000</v>
      </c>
      <c r="L59" s="295">
        <v>0</v>
      </c>
      <c r="M59" s="295">
        <v>270000</v>
      </c>
      <c r="N59" s="295">
        <v>0</v>
      </c>
      <c r="O59" s="295">
        <v>398000</v>
      </c>
      <c r="P59" s="295">
        <v>0</v>
      </c>
      <c r="Q59" s="295">
        <v>147000</v>
      </c>
      <c r="R59" s="295">
        <v>69000</v>
      </c>
      <c r="S59" s="304">
        <v>3818000</v>
      </c>
      <c r="T59" s="294">
        <f t="shared" ref="T59:T64" si="5">SUM(D59:S59)</f>
        <v>7202000</v>
      </c>
      <c r="U59" s="9" t="s">
        <v>600</v>
      </c>
      <c r="V59" s="9"/>
      <c r="W59" s="9"/>
    </row>
    <row r="60" spans="1:23" ht="15.75" x14ac:dyDescent="0.25">
      <c r="A60" s="119"/>
      <c r="B60" s="136"/>
      <c r="C60" s="142" t="s">
        <v>237</v>
      </c>
      <c r="D60" s="303">
        <v>1000</v>
      </c>
      <c r="E60" s="295">
        <v>148000</v>
      </c>
      <c r="F60" s="295">
        <v>318000</v>
      </c>
      <c r="G60" s="295">
        <v>20000</v>
      </c>
      <c r="H60" s="295">
        <v>197000</v>
      </c>
      <c r="I60" s="295">
        <v>260000</v>
      </c>
      <c r="J60" s="295">
        <v>355000</v>
      </c>
      <c r="K60" s="295">
        <v>1000</v>
      </c>
      <c r="L60" s="295">
        <v>13000</v>
      </c>
      <c r="M60" s="295">
        <v>104000</v>
      </c>
      <c r="N60" s="295">
        <v>8000</v>
      </c>
      <c r="O60" s="295">
        <v>143000</v>
      </c>
      <c r="P60" s="295">
        <v>14000</v>
      </c>
      <c r="Q60" s="295">
        <v>517000</v>
      </c>
      <c r="R60" s="295">
        <v>32000</v>
      </c>
      <c r="S60" s="304">
        <v>1474000</v>
      </c>
      <c r="T60" s="294">
        <f t="shared" si="5"/>
        <v>3605000</v>
      </c>
      <c r="U60" s="9"/>
      <c r="V60" s="9"/>
      <c r="W60" s="9"/>
    </row>
    <row r="61" spans="1:23" ht="15.75" x14ac:dyDescent="0.25">
      <c r="A61" s="119"/>
      <c r="B61" s="136"/>
      <c r="C61" s="142" t="s">
        <v>234</v>
      </c>
      <c r="D61" s="301">
        <v>4000</v>
      </c>
      <c r="E61" s="147">
        <v>30000</v>
      </c>
      <c r="F61" s="147">
        <v>60000</v>
      </c>
      <c r="G61" s="147">
        <v>18000</v>
      </c>
      <c r="H61" s="147">
        <v>7000</v>
      </c>
      <c r="I61" s="147">
        <v>23000</v>
      </c>
      <c r="J61" s="147">
        <v>54000</v>
      </c>
      <c r="K61" s="147">
        <v>1000</v>
      </c>
      <c r="L61" s="147">
        <v>0</v>
      </c>
      <c r="M61" s="147">
        <v>51000</v>
      </c>
      <c r="N61" s="147">
        <v>6000</v>
      </c>
      <c r="O61" s="147">
        <v>18000</v>
      </c>
      <c r="P61" s="147">
        <v>0</v>
      </c>
      <c r="Q61" s="147">
        <v>3000</v>
      </c>
      <c r="R61" s="147">
        <v>2000</v>
      </c>
      <c r="S61" s="302">
        <v>342000</v>
      </c>
      <c r="T61" s="294">
        <f t="shared" si="5"/>
        <v>619000</v>
      </c>
      <c r="U61" s="9"/>
      <c r="V61" s="9"/>
      <c r="W61" s="9"/>
    </row>
    <row r="62" spans="1:23" ht="15.75" x14ac:dyDescent="0.25">
      <c r="A62" s="119"/>
      <c r="B62" s="136"/>
      <c r="C62" s="142" t="s">
        <v>233</v>
      </c>
      <c r="D62" s="301">
        <v>78000</v>
      </c>
      <c r="E62" s="147">
        <v>38000</v>
      </c>
      <c r="F62" s="147">
        <v>182000</v>
      </c>
      <c r="G62" s="147">
        <v>16000</v>
      </c>
      <c r="H62" s="147">
        <v>7000</v>
      </c>
      <c r="I62" s="147">
        <v>151000</v>
      </c>
      <c r="J62" s="147">
        <v>173000</v>
      </c>
      <c r="K62" s="147">
        <v>2000</v>
      </c>
      <c r="L62" s="147">
        <v>0</v>
      </c>
      <c r="M62" s="147">
        <v>114000</v>
      </c>
      <c r="N62" s="147">
        <v>163000</v>
      </c>
      <c r="O62" s="147">
        <v>60000</v>
      </c>
      <c r="P62" s="147">
        <v>2000</v>
      </c>
      <c r="Q62" s="147">
        <v>22000</v>
      </c>
      <c r="R62" s="147">
        <v>7000</v>
      </c>
      <c r="S62" s="302">
        <v>918000</v>
      </c>
      <c r="T62" s="294">
        <f t="shared" si="5"/>
        <v>1933000</v>
      </c>
      <c r="U62" s="230" t="s">
        <v>100</v>
      </c>
      <c r="V62" s="9"/>
      <c r="W62" s="9"/>
    </row>
    <row r="63" spans="1:23" ht="15.75" x14ac:dyDescent="0.25">
      <c r="A63" s="119"/>
      <c r="B63" s="136"/>
      <c r="C63" s="142" t="s">
        <v>601</v>
      </c>
      <c r="D63" s="301">
        <v>13000</v>
      </c>
      <c r="E63" s="147">
        <v>25000</v>
      </c>
      <c r="F63" s="147">
        <v>67000</v>
      </c>
      <c r="G63" s="147">
        <v>14000</v>
      </c>
      <c r="H63" s="147">
        <v>11000</v>
      </c>
      <c r="I63" s="147">
        <v>39000</v>
      </c>
      <c r="J63" s="147">
        <v>112000</v>
      </c>
      <c r="K63" s="147">
        <v>9000</v>
      </c>
      <c r="L63" s="147">
        <v>7000</v>
      </c>
      <c r="M63" s="147">
        <v>50000</v>
      </c>
      <c r="N63" s="147">
        <v>10000</v>
      </c>
      <c r="O63" s="147">
        <v>47000</v>
      </c>
      <c r="P63" s="147">
        <v>3000</v>
      </c>
      <c r="Q63" s="147">
        <v>27000</v>
      </c>
      <c r="R63" s="147">
        <v>11000</v>
      </c>
      <c r="S63" s="302">
        <v>306000</v>
      </c>
      <c r="T63" s="294">
        <f t="shared" si="5"/>
        <v>751000</v>
      </c>
      <c r="U63" s="230"/>
      <c r="V63" s="9"/>
      <c r="W63" s="9"/>
    </row>
    <row r="64" spans="1:23" ht="16.5" thickBot="1" x14ac:dyDescent="0.3">
      <c r="A64" s="119"/>
      <c r="B64" s="136"/>
      <c r="C64" s="142" t="s">
        <v>236</v>
      </c>
      <c r="D64" s="305">
        <v>0</v>
      </c>
      <c r="E64" s="149">
        <v>0.58333333333333337</v>
      </c>
      <c r="F64" s="149">
        <v>5</v>
      </c>
      <c r="G64" s="149"/>
      <c r="H64" s="149">
        <v>2</v>
      </c>
      <c r="I64" s="149">
        <v>3</v>
      </c>
      <c r="J64" s="149">
        <v>1.5833333333333335</v>
      </c>
      <c r="K64" s="149"/>
      <c r="L64" s="149"/>
      <c r="M64" s="149">
        <v>1</v>
      </c>
      <c r="N64" s="149"/>
      <c r="O64" s="149">
        <v>0.58333333333333337</v>
      </c>
      <c r="P64" s="149"/>
      <c r="Q64" s="149"/>
      <c r="R64" s="149">
        <v>0.41666666666666669</v>
      </c>
      <c r="S64" s="306">
        <v>8.4166666666666679</v>
      </c>
      <c r="T64" s="1064">
        <f t="shared" si="5"/>
        <v>22.583333333333336</v>
      </c>
      <c r="U64" s="230">
        <v>52962</v>
      </c>
      <c r="V64" s="9"/>
      <c r="W64" s="9"/>
    </row>
    <row r="65" spans="1:23" ht="15.75" thickBot="1" x14ac:dyDescent="0.25">
      <c r="A65" s="119"/>
      <c r="B65" s="136"/>
      <c r="C65" s="296" t="s">
        <v>169</v>
      </c>
      <c r="D65" s="309">
        <f t="shared" ref="D65:R65" si="6">SUM(D58:D63)</f>
        <v>211000</v>
      </c>
      <c r="E65" s="309">
        <f t="shared" si="6"/>
        <v>658000</v>
      </c>
      <c r="F65" s="309">
        <f t="shared" si="6"/>
        <v>1288000</v>
      </c>
      <c r="G65" s="309">
        <f t="shared" si="6"/>
        <v>269000</v>
      </c>
      <c r="H65" s="309">
        <f t="shared" si="6"/>
        <v>754000</v>
      </c>
      <c r="I65" s="309">
        <f t="shared" si="6"/>
        <v>804000</v>
      </c>
      <c r="J65" s="309">
        <f t="shared" si="6"/>
        <v>1853000</v>
      </c>
      <c r="K65" s="309">
        <f t="shared" si="6"/>
        <v>115000</v>
      </c>
      <c r="L65" s="309">
        <f t="shared" si="6"/>
        <v>57000</v>
      </c>
      <c r="M65" s="309">
        <f t="shared" si="6"/>
        <v>769000</v>
      </c>
      <c r="N65" s="309">
        <f t="shared" si="6"/>
        <v>192000</v>
      </c>
      <c r="O65" s="309">
        <f t="shared" si="6"/>
        <v>735000</v>
      </c>
      <c r="P65" s="309">
        <f t="shared" si="6"/>
        <v>19000</v>
      </c>
      <c r="Q65" s="309">
        <f t="shared" si="6"/>
        <v>1093000</v>
      </c>
      <c r="R65" s="309">
        <f t="shared" si="6"/>
        <v>129000</v>
      </c>
      <c r="S65" s="309">
        <f>SUM(S58:S63)</f>
        <v>8268000</v>
      </c>
      <c r="T65" s="1061">
        <f>SUM(T58:T63)</f>
        <v>17214000</v>
      </c>
      <c r="U65" s="9"/>
      <c r="V65" s="9"/>
      <c r="W65" s="9"/>
    </row>
    <row r="66" spans="1:23" ht="15.75" x14ac:dyDescent="0.25">
      <c r="A66" s="119"/>
      <c r="B66" s="136"/>
      <c r="C66" s="231"/>
      <c r="D66" s="232"/>
      <c r="E66" s="232"/>
      <c r="F66" s="232"/>
      <c r="G66" s="232"/>
      <c r="H66" s="232"/>
      <c r="I66" s="232"/>
      <c r="J66" s="232"/>
      <c r="K66" s="232"/>
      <c r="L66" s="232"/>
      <c r="M66" s="232"/>
      <c r="N66" s="232"/>
      <c r="O66" s="232"/>
      <c r="P66" s="232"/>
      <c r="Q66" s="232"/>
      <c r="R66" s="232"/>
      <c r="S66" s="232"/>
      <c r="T66" s="233"/>
      <c r="U66" s="9"/>
      <c r="V66" s="9"/>
      <c r="W66" s="9"/>
    </row>
    <row r="67" spans="1:23" ht="15.75" x14ac:dyDescent="0.25">
      <c r="A67" s="119"/>
      <c r="B67" s="311"/>
      <c r="C67" s="231"/>
      <c r="D67" s="310"/>
      <c r="E67" s="232"/>
      <c r="F67" s="310"/>
      <c r="G67" s="310"/>
      <c r="H67" s="310"/>
      <c r="I67" s="310"/>
      <c r="J67" s="310"/>
      <c r="K67" s="310"/>
      <c r="L67" s="310"/>
      <c r="M67" s="310"/>
      <c r="N67" s="310"/>
      <c r="O67" s="310"/>
      <c r="P67" s="310"/>
      <c r="Q67" s="310"/>
      <c r="R67" s="310"/>
      <c r="S67" s="310"/>
      <c r="T67" s="1062">
        <f>T65+U67*1000</f>
        <v>17029000</v>
      </c>
      <c r="U67" s="9">
        <f>7202-7387</f>
        <v>-185</v>
      </c>
      <c r="V67" s="9"/>
      <c r="W67" s="9"/>
    </row>
    <row r="68" spans="1:23" ht="15.75" x14ac:dyDescent="0.25">
      <c r="A68" s="119"/>
      <c r="B68" s="311"/>
      <c r="C68" s="313"/>
      <c r="D68" s="310"/>
      <c r="E68" s="310"/>
      <c r="F68" s="310"/>
      <c r="G68" s="310"/>
      <c r="H68" s="310"/>
      <c r="I68" s="310"/>
      <c r="J68" s="310"/>
      <c r="K68" s="310"/>
      <c r="L68" s="310"/>
      <c r="M68" s="310"/>
      <c r="N68" s="310"/>
      <c r="O68" s="310"/>
      <c r="P68" s="310"/>
      <c r="Q68" s="310"/>
      <c r="R68" s="310"/>
      <c r="S68" s="310"/>
      <c r="T68" s="312" t="s">
        <v>602</v>
      </c>
      <c r="U68" s="9"/>
      <c r="V68" s="9"/>
      <c r="W68" s="9"/>
    </row>
    <row r="69" spans="1:23" ht="16.5" thickBot="1" x14ac:dyDescent="0.3">
      <c r="A69" s="119"/>
      <c r="B69" s="311"/>
      <c r="C69" s="313"/>
      <c r="D69" s="310"/>
      <c r="E69" s="310"/>
      <c r="F69" s="310"/>
      <c r="G69" s="310"/>
      <c r="H69" s="310"/>
      <c r="I69" s="310"/>
      <c r="J69" s="310"/>
      <c r="K69" s="310"/>
      <c r="L69" s="310"/>
      <c r="M69" s="310"/>
      <c r="N69" s="310"/>
      <c r="O69" s="310"/>
      <c r="P69" s="310"/>
      <c r="Q69" s="310"/>
      <c r="R69" s="310"/>
      <c r="S69" s="310"/>
      <c r="T69" s="312"/>
      <c r="U69" s="9"/>
      <c r="V69" s="9"/>
      <c r="W69" s="9"/>
    </row>
    <row r="70" spans="1:23" ht="15.75" x14ac:dyDescent="0.25">
      <c r="A70" s="119"/>
      <c r="B70" s="136"/>
      <c r="C70" s="139" t="s">
        <v>172</v>
      </c>
      <c r="D70" s="140"/>
      <c r="E70" s="140"/>
      <c r="F70" s="140"/>
      <c r="G70" s="140"/>
      <c r="H70" s="140" t="s">
        <v>271</v>
      </c>
      <c r="I70" s="140"/>
      <c r="J70" s="140"/>
      <c r="K70" s="140"/>
      <c r="L70" s="140"/>
      <c r="M70" s="140"/>
      <c r="N70" s="140"/>
      <c r="O70" s="140"/>
      <c r="P70" s="140"/>
      <c r="Q70" s="140"/>
      <c r="R70" s="140"/>
      <c r="S70" s="140"/>
      <c r="T70" s="141"/>
      <c r="U70" s="9"/>
      <c r="V70" s="9"/>
      <c r="W70" s="9"/>
    </row>
    <row r="71" spans="1:23" ht="15.75" x14ac:dyDescent="0.25">
      <c r="A71" s="119"/>
      <c r="B71" s="136"/>
      <c r="C71" s="142" t="s">
        <v>168</v>
      </c>
      <c r="D71" s="147">
        <v>9000</v>
      </c>
      <c r="E71" s="147">
        <v>46000</v>
      </c>
      <c r="F71" s="147">
        <v>148000</v>
      </c>
      <c r="G71" s="147">
        <v>73000</v>
      </c>
      <c r="H71" s="147">
        <v>66000</v>
      </c>
      <c r="I71" s="147">
        <v>140000</v>
      </c>
      <c r="J71" s="147">
        <v>407000</v>
      </c>
      <c r="K71" s="147">
        <v>2000</v>
      </c>
      <c r="L71" s="147">
        <v>2000</v>
      </c>
      <c r="M71" s="147">
        <v>119000</v>
      </c>
      <c r="N71" s="147">
        <v>14000</v>
      </c>
      <c r="O71" s="147">
        <v>121000</v>
      </c>
      <c r="P71" s="147">
        <v>1000</v>
      </c>
      <c r="Q71" s="147">
        <v>323000</v>
      </c>
      <c r="R71" s="147">
        <v>5000</v>
      </c>
      <c r="S71" s="302">
        <v>1387000</v>
      </c>
      <c r="T71" s="294">
        <f>SUM(D71:S71)</f>
        <v>2863000</v>
      </c>
      <c r="U71" s="9"/>
      <c r="V71" s="9"/>
      <c r="W71" s="9"/>
    </row>
    <row r="72" spans="1:23" ht="15.75" x14ac:dyDescent="0.25">
      <c r="A72" s="119"/>
      <c r="B72" s="136"/>
      <c r="C72" s="142" t="s">
        <v>95</v>
      </c>
      <c r="D72" s="295">
        <v>111000</v>
      </c>
      <c r="E72" s="295">
        <v>489000</v>
      </c>
      <c r="F72" s="295">
        <v>775000</v>
      </c>
      <c r="G72" s="295">
        <v>35000</v>
      </c>
      <c r="H72" s="295">
        <v>365000</v>
      </c>
      <c r="I72" s="295">
        <v>366000</v>
      </c>
      <c r="J72" s="295">
        <v>855000</v>
      </c>
      <c r="K72" s="295">
        <v>84000</v>
      </c>
      <c r="L72" s="295">
        <v>0</v>
      </c>
      <c r="M72" s="295">
        <v>343000</v>
      </c>
      <c r="N72" s="295">
        <v>0</v>
      </c>
      <c r="O72" s="295">
        <v>364000</v>
      </c>
      <c r="P72" s="295">
        <v>0</v>
      </c>
      <c r="Q72" s="295">
        <v>155000</v>
      </c>
      <c r="R72" s="295">
        <v>0</v>
      </c>
      <c r="S72" s="304">
        <v>4297000</v>
      </c>
      <c r="T72" s="294">
        <f t="shared" ref="T72:T77" si="7">SUM(D72:S72)</f>
        <v>8239000</v>
      </c>
      <c r="U72" s="9"/>
      <c r="V72" s="9"/>
      <c r="W72" s="9"/>
    </row>
    <row r="73" spans="1:23" ht="15.75" x14ac:dyDescent="0.25">
      <c r="A73" s="119"/>
      <c r="B73" s="136"/>
      <c r="C73" s="142" t="s">
        <v>171</v>
      </c>
      <c r="D73" s="295">
        <v>14000</v>
      </c>
      <c r="E73" s="295">
        <v>219000</v>
      </c>
      <c r="F73" s="295">
        <v>257000</v>
      </c>
      <c r="G73" s="295">
        <v>11000</v>
      </c>
      <c r="H73" s="295">
        <v>123000</v>
      </c>
      <c r="I73" s="295">
        <v>295000</v>
      </c>
      <c r="J73" s="295">
        <v>536000</v>
      </c>
      <c r="K73" s="295">
        <v>7000</v>
      </c>
      <c r="L73" s="295">
        <v>27000</v>
      </c>
      <c r="M73" s="295">
        <v>472000</v>
      </c>
      <c r="N73" s="295">
        <v>27000</v>
      </c>
      <c r="O73" s="295">
        <v>108000</v>
      </c>
      <c r="P73" s="295">
        <v>1000</v>
      </c>
      <c r="Q73" s="295">
        <v>528000</v>
      </c>
      <c r="R73" s="295">
        <v>70000</v>
      </c>
      <c r="S73" s="304">
        <v>1787000</v>
      </c>
      <c r="T73" s="294">
        <f t="shared" si="7"/>
        <v>4482000</v>
      </c>
      <c r="U73" s="9"/>
      <c r="V73" s="9"/>
      <c r="W73" s="9"/>
    </row>
    <row r="74" spans="1:23" ht="15.75" x14ac:dyDescent="0.25">
      <c r="A74" s="119"/>
      <c r="B74" s="136"/>
      <c r="C74" s="142" t="s">
        <v>96</v>
      </c>
      <c r="D74" s="147">
        <v>2000</v>
      </c>
      <c r="E74" s="147">
        <v>16000</v>
      </c>
      <c r="F74" s="147">
        <v>31000</v>
      </c>
      <c r="G74" s="147">
        <v>7000</v>
      </c>
      <c r="H74" s="147">
        <v>2000</v>
      </c>
      <c r="I74" s="147">
        <v>20000</v>
      </c>
      <c r="J74" s="147">
        <v>64000</v>
      </c>
      <c r="K74" s="147">
        <v>1000</v>
      </c>
      <c r="L74" s="147">
        <v>0</v>
      </c>
      <c r="M74" s="147">
        <v>21000</v>
      </c>
      <c r="N74" s="147">
        <v>7000</v>
      </c>
      <c r="O74" s="147">
        <v>48000</v>
      </c>
      <c r="P74" s="147">
        <v>0</v>
      </c>
      <c r="Q74" s="147">
        <v>2000</v>
      </c>
      <c r="R74" s="147">
        <v>3000</v>
      </c>
      <c r="S74" s="302">
        <v>255000</v>
      </c>
      <c r="T74" s="294">
        <f t="shared" si="7"/>
        <v>479000</v>
      </c>
      <c r="U74" s="9"/>
      <c r="V74" s="9"/>
      <c r="W74" s="9"/>
    </row>
    <row r="75" spans="1:23" ht="15.75" x14ac:dyDescent="0.25">
      <c r="A75" s="119"/>
      <c r="B75" s="136"/>
      <c r="C75" s="142" t="s">
        <v>233</v>
      </c>
      <c r="D75" s="147">
        <v>87000</v>
      </c>
      <c r="E75" s="147">
        <v>101000</v>
      </c>
      <c r="F75" s="147">
        <v>180000</v>
      </c>
      <c r="G75" s="147">
        <v>13000</v>
      </c>
      <c r="H75" s="147">
        <v>34000</v>
      </c>
      <c r="I75" s="147">
        <v>113000</v>
      </c>
      <c r="J75" s="147">
        <v>233000</v>
      </c>
      <c r="K75" s="147">
        <v>5000</v>
      </c>
      <c r="L75" s="147">
        <v>0</v>
      </c>
      <c r="M75" s="147">
        <v>107000</v>
      </c>
      <c r="N75" s="147">
        <v>90000</v>
      </c>
      <c r="O75" s="147">
        <v>60000</v>
      </c>
      <c r="P75" s="147">
        <v>0</v>
      </c>
      <c r="Q75" s="147">
        <v>27000</v>
      </c>
      <c r="R75" s="147">
        <v>8000</v>
      </c>
      <c r="S75" s="302">
        <v>1300000</v>
      </c>
      <c r="T75" s="294">
        <f t="shared" si="7"/>
        <v>2358000</v>
      </c>
      <c r="U75" s="9"/>
      <c r="V75" s="9"/>
      <c r="W75" s="9"/>
    </row>
    <row r="76" spans="1:23" ht="16.5" thickBot="1" x14ac:dyDescent="0.3">
      <c r="A76" s="119"/>
      <c r="B76" s="136"/>
      <c r="C76" s="142" t="s">
        <v>70</v>
      </c>
      <c r="D76" s="149"/>
      <c r="E76" s="149">
        <v>0.58333333333333337</v>
      </c>
      <c r="F76" s="149">
        <v>5</v>
      </c>
      <c r="G76" s="149"/>
      <c r="H76" s="149">
        <v>2</v>
      </c>
      <c r="I76" s="149">
        <v>3</v>
      </c>
      <c r="J76" s="149">
        <v>1.5833333333333335</v>
      </c>
      <c r="K76" s="149"/>
      <c r="L76" s="149"/>
      <c r="M76" s="149">
        <v>1</v>
      </c>
      <c r="N76" s="149"/>
      <c r="O76" s="149">
        <v>0.58333333333333337</v>
      </c>
      <c r="P76" s="149"/>
      <c r="Q76" s="149"/>
      <c r="R76" s="149">
        <v>0.41666666666666669</v>
      </c>
      <c r="S76" s="306">
        <v>8.4166666666666679</v>
      </c>
      <c r="T76" s="294"/>
      <c r="U76" s="9"/>
      <c r="V76" s="9"/>
      <c r="W76" s="9"/>
    </row>
    <row r="77" spans="1:23" ht="16.5" thickBot="1" x14ac:dyDescent="0.3">
      <c r="A77" s="119"/>
      <c r="B77" s="136"/>
      <c r="C77" s="296" t="s">
        <v>169</v>
      </c>
      <c r="D77" s="580">
        <f>SUM(D71:D75)</f>
        <v>223000</v>
      </c>
      <c r="E77" s="580">
        <f t="shared" ref="E77:S77" si="8">SUM(E71:E75)</f>
        <v>871000</v>
      </c>
      <c r="F77" s="580">
        <f t="shared" si="8"/>
        <v>1391000</v>
      </c>
      <c r="G77" s="580">
        <f t="shared" si="8"/>
        <v>139000</v>
      </c>
      <c r="H77" s="580">
        <f t="shared" si="8"/>
        <v>590000</v>
      </c>
      <c r="I77" s="580">
        <f t="shared" si="8"/>
        <v>934000</v>
      </c>
      <c r="J77" s="580">
        <f t="shared" si="8"/>
        <v>2095000</v>
      </c>
      <c r="K77" s="580">
        <f t="shared" si="8"/>
        <v>99000</v>
      </c>
      <c r="L77" s="580">
        <f t="shared" si="8"/>
        <v>29000</v>
      </c>
      <c r="M77" s="580">
        <f>SUM(M71:M75)</f>
        <v>1062000</v>
      </c>
      <c r="N77" s="580">
        <f t="shared" si="8"/>
        <v>138000</v>
      </c>
      <c r="O77" s="580">
        <f t="shared" si="8"/>
        <v>701000</v>
      </c>
      <c r="P77" s="580">
        <f t="shared" si="8"/>
        <v>2000</v>
      </c>
      <c r="Q77" s="580">
        <f t="shared" si="8"/>
        <v>1035000</v>
      </c>
      <c r="R77" s="580">
        <f t="shared" si="8"/>
        <v>86000</v>
      </c>
      <c r="S77" s="580">
        <f t="shared" si="8"/>
        <v>9026000</v>
      </c>
      <c r="T77" s="581">
        <f t="shared" si="7"/>
        <v>18421000</v>
      </c>
      <c r="U77" s="9"/>
      <c r="V77" s="9"/>
      <c r="W77" s="9"/>
    </row>
    <row r="78" spans="1:23" ht="15.75" x14ac:dyDescent="0.25">
      <c r="A78" s="119"/>
      <c r="B78" s="136"/>
      <c r="C78" s="231"/>
      <c r="D78" s="232"/>
      <c r="E78" s="232"/>
      <c r="F78" s="293"/>
      <c r="G78" s="232"/>
      <c r="H78" s="232"/>
      <c r="I78" s="232"/>
      <c r="J78" s="232"/>
      <c r="K78" s="232"/>
      <c r="L78" s="232"/>
      <c r="M78" s="232"/>
      <c r="N78" s="232"/>
      <c r="O78" s="232"/>
      <c r="P78" s="232"/>
      <c r="Q78" s="232"/>
      <c r="R78" s="232"/>
      <c r="S78" s="232"/>
      <c r="T78" s="233"/>
      <c r="U78" s="9"/>
      <c r="V78" s="9"/>
      <c r="W78" s="9"/>
    </row>
    <row r="79" spans="1:23" ht="15.75" x14ac:dyDescent="0.25">
      <c r="A79" s="119"/>
      <c r="B79" s="136"/>
      <c r="C79" s="231"/>
      <c r="D79" s="232"/>
      <c r="E79" s="232"/>
      <c r="F79" s="232"/>
      <c r="G79" s="232"/>
      <c r="H79" s="232"/>
      <c r="I79" s="232"/>
      <c r="J79" s="232"/>
      <c r="K79" s="232"/>
      <c r="L79" s="232"/>
      <c r="M79" s="232"/>
      <c r="N79" s="232"/>
      <c r="O79" s="232"/>
      <c r="P79" s="232"/>
      <c r="Q79" s="232"/>
      <c r="R79" s="232"/>
      <c r="S79" s="232"/>
      <c r="T79" s="233"/>
      <c r="U79" s="9"/>
      <c r="V79" s="9"/>
      <c r="W79" s="9"/>
    </row>
    <row r="80" spans="1:23" ht="15.75" x14ac:dyDescent="0.25">
      <c r="A80" s="119"/>
      <c r="B80" s="136"/>
      <c r="C80" s="231"/>
      <c r="D80" s="232"/>
      <c r="E80" s="232"/>
      <c r="F80" s="232"/>
      <c r="G80" s="232"/>
      <c r="H80" s="232"/>
      <c r="I80" s="232"/>
      <c r="J80" s="232"/>
      <c r="K80" s="232"/>
      <c r="L80" s="232"/>
      <c r="M80" s="232"/>
      <c r="N80" s="232"/>
      <c r="O80" s="232"/>
      <c r="P80" s="232"/>
      <c r="Q80" s="232"/>
      <c r="R80" s="232"/>
      <c r="S80" s="232"/>
      <c r="T80" s="233"/>
      <c r="U80" s="9"/>
      <c r="V80" s="9"/>
      <c r="W80" s="9"/>
    </row>
    <row r="81" spans="1:23" ht="21.75" customHeight="1" thickBot="1" x14ac:dyDescent="0.3">
      <c r="A81" s="119"/>
      <c r="B81" s="136"/>
      <c r="C81" s="150"/>
      <c r="D81" s="151"/>
      <c r="E81" s="152"/>
      <c r="F81" s="152"/>
      <c r="G81" s="152"/>
      <c r="H81" s="152"/>
      <c r="I81" s="152"/>
      <c r="J81" s="152"/>
      <c r="K81" s="152"/>
      <c r="L81" s="152"/>
      <c r="M81" s="152"/>
      <c r="N81" s="152"/>
      <c r="O81" s="152"/>
      <c r="P81" s="152"/>
      <c r="Q81" s="152"/>
      <c r="R81" s="152"/>
      <c r="S81" s="152"/>
      <c r="T81" s="153"/>
      <c r="U81" s="152"/>
      <c r="V81" s="9"/>
      <c r="W81" s="9"/>
    </row>
    <row r="82" spans="1:23" ht="21.75" customHeight="1" thickBot="1" x14ac:dyDescent="0.3">
      <c r="B82" s="7"/>
      <c r="C82" s="154" t="s">
        <v>170</v>
      </c>
      <c r="D82" s="205" t="s">
        <v>8</v>
      </c>
      <c r="E82" s="205" t="s">
        <v>9</v>
      </c>
      <c r="F82" s="205" t="s">
        <v>10</v>
      </c>
      <c r="G82" s="205" t="s">
        <v>11</v>
      </c>
      <c r="H82" s="205" t="s">
        <v>12</v>
      </c>
      <c r="I82" s="205" t="s">
        <v>13</v>
      </c>
      <c r="J82" s="205" t="s">
        <v>14</v>
      </c>
      <c r="K82" s="205" t="s">
        <v>15</v>
      </c>
      <c r="L82" s="205" t="s">
        <v>16</v>
      </c>
      <c r="M82" s="205" t="s">
        <v>17</v>
      </c>
      <c r="N82" s="205" t="s">
        <v>18</v>
      </c>
      <c r="O82" s="205" t="s">
        <v>19</v>
      </c>
      <c r="P82" s="205" t="s">
        <v>20</v>
      </c>
      <c r="Q82" s="205" t="s">
        <v>21</v>
      </c>
      <c r="R82" s="205" t="s">
        <v>22</v>
      </c>
      <c r="S82" s="205" t="s">
        <v>23</v>
      </c>
      <c r="T82" s="206" t="s">
        <v>24</v>
      </c>
      <c r="U82" s="157"/>
      <c r="V82" s="9"/>
      <c r="W82" s="9"/>
    </row>
    <row r="83" spans="1:23" ht="21.75" customHeight="1" x14ac:dyDescent="0.25">
      <c r="B83" s="7"/>
      <c r="C83" s="199" t="s">
        <v>72</v>
      </c>
      <c r="D83" s="207">
        <f>Kontrollpanel!$D$37*D64</f>
        <v>0</v>
      </c>
      <c r="E83" s="207">
        <f>Kontrollpanel!$D$37*E64</f>
        <v>30894.500000000004</v>
      </c>
      <c r="F83" s="207">
        <f>Kontrollpanel!$D$37*F64</f>
        <v>264810</v>
      </c>
      <c r="G83" s="207">
        <f>Kontrollpanel!$D$37*G64</f>
        <v>0</v>
      </c>
      <c r="H83" s="207">
        <f>Kontrollpanel!$D$37*H64</f>
        <v>105924</v>
      </c>
      <c r="I83" s="207">
        <f>Kontrollpanel!$D$37*I64</f>
        <v>158886</v>
      </c>
      <c r="J83" s="207">
        <f>Kontrollpanel!$D$37*J64</f>
        <v>83856.500000000015</v>
      </c>
      <c r="K83" s="207">
        <f>Kontrollpanel!$D$37*K64</f>
        <v>0</v>
      </c>
      <c r="L83" s="207">
        <f>Kontrollpanel!$D$37*L64</f>
        <v>0</v>
      </c>
      <c r="M83" s="207">
        <f>Kontrollpanel!$D$37*M64</f>
        <v>52962</v>
      </c>
      <c r="N83" s="207">
        <f>Kontrollpanel!$D$37*N64</f>
        <v>0</v>
      </c>
      <c r="O83" s="207">
        <f>Kontrollpanel!$D$37*O64</f>
        <v>30894.500000000004</v>
      </c>
      <c r="P83" s="207">
        <f>Kontrollpanel!$D$37*P64</f>
        <v>0</v>
      </c>
      <c r="Q83" s="207">
        <f>Kontrollpanel!$D$37*Q64</f>
        <v>0</v>
      </c>
      <c r="R83" s="207">
        <f>Kontrollpanel!$D$37*R64</f>
        <v>22067.5</v>
      </c>
      <c r="S83" s="207">
        <f>Kontrollpanel!$D$37*S64</f>
        <v>445763.50000000006</v>
      </c>
      <c r="T83" s="208">
        <f>SUM(D83:S83)</f>
        <v>1196058.5</v>
      </c>
      <c r="U83" s="202"/>
      <c r="V83" s="9"/>
      <c r="W83" s="9"/>
    </row>
    <row r="84" spans="1:23" ht="18" customHeight="1" x14ac:dyDescent="0.25">
      <c r="B84" s="7"/>
      <c r="C84" s="200" t="s">
        <v>73</v>
      </c>
      <c r="D84" s="209">
        <v>0</v>
      </c>
      <c r="E84" s="163"/>
      <c r="F84" s="163"/>
      <c r="G84" s="163"/>
      <c r="H84" s="163"/>
      <c r="I84" s="163"/>
      <c r="J84" s="163"/>
      <c r="K84" s="163"/>
      <c r="L84" s="163"/>
      <c r="M84" s="163"/>
      <c r="N84" s="163"/>
      <c r="O84" s="163"/>
      <c r="P84" s="163"/>
      <c r="Q84" s="163"/>
      <c r="R84" s="163"/>
      <c r="S84" s="163"/>
      <c r="T84" s="210"/>
      <c r="U84" s="203"/>
      <c r="V84" s="9"/>
      <c r="W84" s="9"/>
    </row>
    <row r="85" spans="1:23" ht="16.5" customHeight="1" x14ac:dyDescent="0.25">
      <c r="B85" s="7"/>
      <c r="C85" s="134" t="s">
        <v>82</v>
      </c>
      <c r="D85" s="209">
        <f t="shared" ref="D85:S85" si="9">D65</f>
        <v>211000</v>
      </c>
      <c r="E85" s="209">
        <f t="shared" si="9"/>
        <v>658000</v>
      </c>
      <c r="F85" s="209">
        <f t="shared" si="9"/>
        <v>1288000</v>
      </c>
      <c r="G85" s="209">
        <f t="shared" si="9"/>
        <v>269000</v>
      </c>
      <c r="H85" s="209">
        <f t="shared" si="9"/>
        <v>754000</v>
      </c>
      <c r="I85" s="209">
        <f t="shared" si="9"/>
        <v>804000</v>
      </c>
      <c r="J85" s="209">
        <f t="shared" si="9"/>
        <v>1853000</v>
      </c>
      <c r="K85" s="209">
        <f t="shared" si="9"/>
        <v>115000</v>
      </c>
      <c r="L85" s="209">
        <f t="shared" si="9"/>
        <v>57000</v>
      </c>
      <c r="M85" s="209">
        <f t="shared" si="9"/>
        <v>769000</v>
      </c>
      <c r="N85" s="209">
        <f t="shared" si="9"/>
        <v>192000</v>
      </c>
      <c r="O85" s="209">
        <f t="shared" si="9"/>
        <v>735000</v>
      </c>
      <c r="P85" s="209">
        <f t="shared" si="9"/>
        <v>19000</v>
      </c>
      <c r="Q85" s="209">
        <f t="shared" si="9"/>
        <v>1093000</v>
      </c>
      <c r="R85" s="209">
        <f t="shared" si="9"/>
        <v>129000</v>
      </c>
      <c r="S85" s="209">
        <f t="shared" si="9"/>
        <v>8268000</v>
      </c>
      <c r="T85" s="210">
        <f>SUM(D85:S85)</f>
        <v>17214000</v>
      </c>
      <c r="U85" s="203"/>
      <c r="V85" s="9"/>
      <c r="W85" s="9"/>
    </row>
    <row r="86" spans="1:23" ht="15.75" x14ac:dyDescent="0.25">
      <c r="B86" s="7"/>
      <c r="C86" s="134"/>
      <c r="D86" s="209"/>
      <c r="E86" s="163"/>
      <c r="F86" s="163"/>
      <c r="G86" s="163"/>
      <c r="H86" s="163"/>
      <c r="I86" s="163"/>
      <c r="J86" s="163"/>
      <c r="K86" s="163"/>
      <c r="L86" s="163"/>
      <c r="M86" s="163"/>
      <c r="N86" s="163"/>
      <c r="O86" s="163"/>
      <c r="P86" s="163"/>
      <c r="Q86" s="163"/>
      <c r="R86" s="163"/>
      <c r="S86" s="163"/>
      <c r="T86" s="211"/>
      <c r="U86" s="203"/>
      <c r="V86" s="9"/>
      <c r="W86" s="9"/>
    </row>
    <row r="87" spans="1:23" ht="17.25" customHeight="1" thickBot="1" x14ac:dyDescent="0.25">
      <c r="B87" s="64"/>
      <c r="C87" s="134" t="s">
        <v>109</v>
      </c>
      <c r="D87" s="212">
        <f>D88-(Kontrollpanel!$E$40*Kontrollpanel!$D$41*D47)</f>
        <v>169355.62940000001</v>
      </c>
      <c r="E87" s="212">
        <f>E88-(Kontrollpanel!$E$40*Kontrollpanel!$D$41*E47)</f>
        <v>601898.54480000003</v>
      </c>
      <c r="F87" s="212">
        <f>F88-(Kontrollpanel!$E$40*Kontrollpanel!$D$41*F47)</f>
        <v>1324322.0438000001</v>
      </c>
      <c r="G87" s="212">
        <f>G88-(Kontrollpanel!$E$40*Kontrollpanel!$D$41*G47)</f>
        <v>219694.05379999999</v>
      </c>
      <c r="H87" s="212">
        <f>H88-(Kontrollpanel!$E$40*Kontrollpanel!$D$41*H47)</f>
        <v>817785.33420000004</v>
      </c>
      <c r="I87" s="212">
        <f>I88-(Kontrollpanel!$E$40*Kontrollpanel!$D$41*I47)</f>
        <v>826460.52480000001</v>
      </c>
      <c r="J87" s="212">
        <f>J88-(Kontrollpanel!$E$40*Kontrollpanel!$D$41*J47)</f>
        <v>1535241.65</v>
      </c>
      <c r="K87" s="212">
        <f>K88-(Kontrollpanel!$E$40*Kontrollpanel!$D$41*K47)</f>
        <v>84971.566599999991</v>
      </c>
      <c r="L87" s="212">
        <f>L88-(Kontrollpanel!$E$40*Kontrollpanel!$D$41*L47)</f>
        <v>36486.749199999998</v>
      </c>
      <c r="M87" s="212">
        <f>M88-(Kontrollpanel!$E$40*Kontrollpanel!$D$41*M47)</f>
        <v>646116.48259999999</v>
      </c>
      <c r="N87" s="212">
        <f>N88-(Kontrollpanel!$E$40*Kontrollpanel!$D$41*N47)</f>
        <v>157399.33600000001</v>
      </c>
      <c r="O87" s="212">
        <f>O88-(Kontrollpanel!$E$40*Kontrollpanel!$D$41*O47)</f>
        <v>605619.28139999998</v>
      </c>
      <c r="P87" s="212">
        <f>P88-(Kontrollpanel!$E$40*Kontrollpanel!$D$41*P47)</f>
        <v>10967.703</v>
      </c>
      <c r="Q87" s="212">
        <f>Q88-(Kontrollpanel!$E$40*Kontrollpanel!$D$41*Q47)</f>
        <v>1002914.6998000001</v>
      </c>
      <c r="R87" s="212">
        <f>R88-(Kontrollpanel!$E$40*Kontrollpanel!$D$41*R47)</f>
        <v>114736.8028</v>
      </c>
      <c r="S87" s="212">
        <f>S88-(Kontrollpanel!$E$40*Kontrollpanel!$D$41*S47)</f>
        <v>7677473.6131999996</v>
      </c>
      <c r="T87" s="212">
        <f>T88-(Kontrollpanel!$E$40*Kontrollpanel!$D$41*T47)</f>
        <v>15831444.0154</v>
      </c>
      <c r="U87" s="203"/>
      <c r="V87" s="9">
        <f>SUM(D87:S87)</f>
        <v>15831444.015399998</v>
      </c>
      <c r="W87" s="9"/>
    </row>
    <row r="88" spans="1:23" ht="16.5" thickBot="1" x14ac:dyDescent="0.3">
      <c r="B88" s="64"/>
      <c r="C88" s="201" t="s">
        <v>74</v>
      </c>
      <c r="D88" s="212">
        <f>SUM(D83:D85)</f>
        <v>211000</v>
      </c>
      <c r="E88" s="212">
        <f t="shared" ref="E88:S88" si="10">SUM(E83:E85)</f>
        <v>688894.5</v>
      </c>
      <c r="F88" s="212">
        <f t="shared" si="10"/>
        <v>1552810</v>
      </c>
      <c r="G88" s="212">
        <f t="shared" si="10"/>
        <v>269000</v>
      </c>
      <c r="H88" s="212">
        <f t="shared" si="10"/>
        <v>859924</v>
      </c>
      <c r="I88" s="212">
        <f t="shared" si="10"/>
        <v>962886</v>
      </c>
      <c r="J88" s="212">
        <f t="shared" si="10"/>
        <v>1936856.5</v>
      </c>
      <c r="K88" s="212">
        <f t="shared" si="10"/>
        <v>115000</v>
      </c>
      <c r="L88" s="212">
        <f t="shared" si="10"/>
        <v>57000</v>
      </c>
      <c r="M88" s="212">
        <f t="shared" si="10"/>
        <v>821962</v>
      </c>
      <c r="N88" s="212">
        <f t="shared" si="10"/>
        <v>192000</v>
      </c>
      <c r="O88" s="212">
        <f t="shared" si="10"/>
        <v>765894.5</v>
      </c>
      <c r="P88" s="212">
        <f t="shared" si="10"/>
        <v>19000</v>
      </c>
      <c r="Q88" s="212">
        <f t="shared" si="10"/>
        <v>1093000</v>
      </c>
      <c r="R88" s="212">
        <f t="shared" si="10"/>
        <v>151067.5</v>
      </c>
      <c r="S88" s="212">
        <f t="shared" si="10"/>
        <v>8713763.5</v>
      </c>
      <c r="T88" s="213">
        <f>SUM(T83:T85)</f>
        <v>18410058.5</v>
      </c>
      <c r="U88" s="204" t="s">
        <v>410</v>
      </c>
      <c r="V88" s="9"/>
      <c r="W88" s="9"/>
    </row>
    <row r="89" spans="1:23" ht="16.5" thickBot="1" x14ac:dyDescent="0.3">
      <c r="B89" s="64"/>
      <c r="C89" s="124"/>
      <c r="D89" s="171"/>
      <c r="E89" s="171"/>
      <c r="F89" s="171"/>
      <c r="G89" s="171"/>
      <c r="H89" s="171"/>
      <c r="I89" s="171"/>
      <c r="J89" s="171"/>
      <c r="K89" s="171"/>
      <c r="L89" s="171"/>
      <c r="M89" s="171"/>
      <c r="N89" s="171"/>
      <c r="O89" s="171"/>
      <c r="P89" s="171"/>
      <c r="Q89" s="171"/>
      <c r="R89" s="171"/>
      <c r="S89" s="171"/>
      <c r="T89" s="172"/>
      <c r="U89" s="173"/>
      <c r="V89" s="9"/>
      <c r="W89" s="9"/>
    </row>
    <row r="90" spans="1:23" ht="16.5" thickBot="1" x14ac:dyDescent="0.3">
      <c r="B90" s="64"/>
      <c r="C90" s="174" t="s">
        <v>99</v>
      </c>
      <c r="D90" s="175"/>
      <c r="E90" s="175"/>
      <c r="F90" s="175"/>
      <c r="G90" s="176"/>
      <c r="H90" s="175"/>
      <c r="I90" s="175"/>
      <c r="J90" s="175"/>
      <c r="K90" s="175"/>
      <c r="L90" s="175"/>
      <c r="M90" s="175"/>
      <c r="N90" s="176"/>
      <c r="O90" s="177"/>
      <c r="P90" s="177"/>
      <c r="Q90" s="177"/>
      <c r="R90" s="177"/>
      <c r="S90" s="177"/>
      <c r="T90" s="172"/>
      <c r="U90" s="173"/>
      <c r="V90" s="9"/>
      <c r="W90" s="9"/>
    </row>
    <row r="91" spans="1:23" ht="16.5" thickBot="1" x14ac:dyDescent="0.3">
      <c r="B91" s="64"/>
      <c r="C91" s="124"/>
      <c r="D91" s="177"/>
      <c r="E91" s="177"/>
      <c r="F91" s="177"/>
      <c r="G91" s="177"/>
      <c r="H91" s="177"/>
      <c r="I91" s="177"/>
      <c r="J91" s="177"/>
      <c r="K91" s="177"/>
      <c r="L91" s="177"/>
      <c r="M91" s="177"/>
      <c r="N91" s="177"/>
      <c r="O91" s="177"/>
      <c r="P91" s="177"/>
      <c r="Q91" s="177"/>
      <c r="R91" s="177"/>
      <c r="S91" s="177"/>
      <c r="T91" s="172"/>
      <c r="U91" s="173"/>
      <c r="V91" s="9"/>
      <c r="W91" s="9"/>
    </row>
    <row r="92" spans="1:23" ht="15.75" x14ac:dyDescent="0.25">
      <c r="B92" s="64"/>
      <c r="C92" s="178" t="s">
        <v>693</v>
      </c>
      <c r="D92" s="1303">
        <f>T87</f>
        <v>15831444.0154</v>
      </c>
      <c r="E92" s="179"/>
      <c r="F92" s="179"/>
      <c r="G92" s="179"/>
      <c r="H92" s="180"/>
      <c r="I92" s="177"/>
      <c r="J92" s="1301" t="s">
        <v>694</v>
      </c>
      <c r="K92" s="1302"/>
      <c r="L92" s="177"/>
      <c r="M92" s="1302"/>
      <c r="N92" s="177"/>
      <c r="O92" s="177"/>
      <c r="P92" s="177"/>
      <c r="Q92" s="177"/>
      <c r="R92" s="177"/>
      <c r="S92" s="177"/>
      <c r="T92" s="172"/>
      <c r="U92" s="173"/>
      <c r="V92" s="9"/>
      <c r="W92" s="9"/>
    </row>
    <row r="93" spans="1:23" ht="15.75" x14ac:dyDescent="0.25">
      <c r="B93" s="64"/>
      <c r="C93" s="181" t="s">
        <v>74</v>
      </c>
      <c r="D93" s="182">
        <f>SUM(T83:T85)</f>
        <v>18410058.5</v>
      </c>
      <c r="E93" s="182"/>
      <c r="F93" s="182"/>
      <c r="G93" s="182"/>
      <c r="H93" s="183"/>
      <c r="I93" s="96"/>
      <c r="J93" s="96"/>
      <c r="K93" s="96"/>
      <c r="L93" s="96"/>
      <c r="M93" s="96"/>
      <c r="N93" s="96"/>
      <c r="O93" s="96"/>
      <c r="P93" s="96"/>
      <c r="Q93" s="96"/>
      <c r="R93" s="96"/>
      <c r="S93" s="96"/>
      <c r="T93" s="96"/>
      <c r="U93" s="184"/>
      <c r="V93" s="9"/>
      <c r="W93" s="9"/>
    </row>
    <row r="94" spans="1:23" ht="15.75" x14ac:dyDescent="0.25">
      <c r="B94" s="64"/>
      <c r="C94" s="181" t="s">
        <v>75</v>
      </c>
      <c r="D94" s="1210">
        <f>Kontrollpanel!D39</f>
        <v>0.65</v>
      </c>
      <c r="E94" s="182"/>
      <c r="F94" s="182" t="s">
        <v>76</v>
      </c>
      <c r="G94" s="182"/>
      <c r="H94" s="183" t="s">
        <v>621</v>
      </c>
      <c r="I94" s="96"/>
      <c r="J94" s="96"/>
      <c r="K94" s="1302"/>
      <c r="L94" s="96"/>
      <c r="M94" s="96"/>
      <c r="N94" s="96"/>
      <c r="O94" s="96"/>
      <c r="P94" s="96"/>
      <c r="Q94" s="96"/>
      <c r="R94" s="96"/>
      <c r="S94" s="96"/>
      <c r="T94" s="96"/>
      <c r="U94" s="184"/>
      <c r="V94" s="9"/>
      <c r="W94" s="9"/>
    </row>
    <row r="95" spans="1:23" ht="15.75" x14ac:dyDescent="0.25">
      <c r="B95" s="7"/>
      <c r="C95" s="181" t="s">
        <v>77</v>
      </c>
      <c r="D95" s="182">
        <f>D92</f>
        <v>15831444.0154</v>
      </c>
      <c r="E95" s="182"/>
      <c r="F95" s="182" t="s">
        <v>78</v>
      </c>
      <c r="G95" s="182"/>
      <c r="H95" s="183"/>
      <c r="I95" s="185"/>
      <c r="J95" s="185"/>
      <c r="K95" s="185"/>
      <c r="L95" s="185"/>
      <c r="M95" s="185"/>
      <c r="N95" s="185"/>
      <c r="O95" s="185"/>
      <c r="P95" s="185"/>
      <c r="Q95" s="185"/>
      <c r="R95" s="185"/>
      <c r="S95" s="185"/>
      <c r="T95" s="185"/>
      <c r="U95" s="186"/>
      <c r="V95" s="9"/>
      <c r="W95" s="9"/>
    </row>
    <row r="96" spans="1:23" ht="15.75" x14ac:dyDescent="0.25">
      <c r="B96" s="7"/>
      <c r="C96" s="181"/>
      <c r="D96" s="182"/>
      <c r="E96" s="182"/>
      <c r="F96" s="182"/>
      <c r="G96" s="182"/>
      <c r="H96" s="183"/>
      <c r="I96" s="185"/>
      <c r="J96" s="185"/>
      <c r="K96" s="185"/>
      <c r="L96" s="185"/>
      <c r="M96" s="185"/>
      <c r="N96" s="185"/>
      <c r="O96" s="185"/>
      <c r="P96" s="185"/>
      <c r="Q96" s="185"/>
      <c r="R96" s="185"/>
      <c r="S96" s="185"/>
      <c r="T96" s="185"/>
      <c r="U96" s="186"/>
      <c r="V96" s="9"/>
      <c r="W96" s="9"/>
    </row>
    <row r="97" spans="2:23" ht="16.5" thickBot="1" x14ac:dyDescent="0.3">
      <c r="B97" s="7"/>
      <c r="C97" s="187" t="s">
        <v>79</v>
      </c>
      <c r="D97" s="188">
        <f>D95/T43</f>
        <v>672.27670030149898</v>
      </c>
      <c r="E97" s="189"/>
      <c r="F97" s="189"/>
      <c r="G97" s="189"/>
      <c r="H97" s="190"/>
      <c r="I97" s="191"/>
      <c r="J97" s="191"/>
      <c r="K97" s="191"/>
      <c r="L97" s="191"/>
      <c r="M97" s="191"/>
      <c r="N97" s="191"/>
      <c r="O97" s="191"/>
      <c r="P97" s="191"/>
      <c r="Q97" s="191"/>
      <c r="R97" s="191"/>
      <c r="S97" s="191"/>
      <c r="T97" s="191"/>
      <c r="U97" s="152"/>
      <c r="V97" s="9"/>
      <c r="W97" s="9"/>
    </row>
    <row r="98" spans="2:23" hidden="1" x14ac:dyDescent="0.2">
      <c r="B98" s="7">
        <v>2012</v>
      </c>
      <c r="C98" s="152"/>
      <c r="D98" s="191"/>
      <c r="E98" s="191"/>
      <c r="F98" s="191"/>
      <c r="G98" s="191"/>
      <c r="H98" s="191"/>
      <c r="I98" s="191"/>
      <c r="J98" s="191"/>
      <c r="K98" s="191"/>
      <c r="L98" s="191"/>
      <c r="M98" s="191"/>
      <c r="N98" s="191"/>
      <c r="O98" s="191"/>
      <c r="P98" s="191"/>
      <c r="Q98" s="191"/>
      <c r="R98" s="191"/>
      <c r="S98" s="191"/>
      <c r="T98" s="191"/>
      <c r="U98" s="152"/>
      <c r="V98" s="18"/>
    </row>
    <row r="99" spans="2:23" hidden="1" x14ac:dyDescent="0.2">
      <c r="B99" s="7"/>
      <c r="C99" s="152"/>
      <c r="D99" s="191"/>
      <c r="E99" s="191"/>
      <c r="F99" s="191"/>
      <c r="G99" s="191"/>
      <c r="H99" s="191"/>
      <c r="I99" s="191"/>
      <c r="J99" s="191"/>
      <c r="K99" s="191"/>
      <c r="L99" s="191"/>
      <c r="M99" s="191"/>
      <c r="N99" s="191"/>
      <c r="O99" s="191"/>
      <c r="P99" s="191"/>
      <c r="Q99" s="191"/>
      <c r="R99" s="191"/>
      <c r="S99" s="191"/>
      <c r="T99" s="191"/>
      <c r="U99" s="152"/>
      <c r="V99" s="18"/>
    </row>
    <row r="100" spans="2:23" hidden="1" x14ac:dyDescent="0.2">
      <c r="B100" s="7"/>
      <c r="C100" s="152"/>
      <c r="D100" s="191"/>
      <c r="E100" s="191"/>
      <c r="F100" s="191"/>
      <c r="G100" s="191"/>
      <c r="H100" s="191"/>
      <c r="I100" s="191"/>
      <c r="J100" s="191"/>
      <c r="K100" s="191"/>
      <c r="L100" s="191"/>
      <c r="M100" s="191"/>
      <c r="N100" s="191"/>
      <c r="O100" s="191"/>
      <c r="P100" s="191"/>
      <c r="Q100" s="191"/>
      <c r="R100" s="191"/>
      <c r="S100" s="191"/>
      <c r="T100" s="191"/>
      <c r="U100" s="152"/>
      <c r="V100" s="18"/>
    </row>
    <row r="101" spans="2:23" hidden="1" x14ac:dyDescent="0.2">
      <c r="B101" s="7"/>
      <c r="C101" s="152"/>
      <c r="D101" s="191"/>
      <c r="E101" s="191"/>
      <c r="F101" s="191"/>
      <c r="G101" s="191"/>
      <c r="H101" s="191"/>
      <c r="I101" s="191"/>
      <c r="J101" s="191"/>
      <c r="K101" s="191"/>
      <c r="L101" s="191"/>
      <c r="M101" s="191"/>
      <c r="N101" s="191"/>
      <c r="O101" s="191"/>
      <c r="P101" s="191"/>
      <c r="Q101" s="191"/>
      <c r="R101" s="191"/>
      <c r="S101" s="191"/>
      <c r="T101" s="191"/>
      <c r="U101" s="152"/>
      <c r="V101" s="18"/>
    </row>
    <row r="102" spans="2:23" hidden="1" x14ac:dyDescent="0.2">
      <c r="B102" s="7"/>
      <c r="C102" s="152"/>
      <c r="D102" s="191"/>
      <c r="E102" s="191"/>
      <c r="F102" s="191"/>
      <c r="G102" s="191"/>
      <c r="H102" s="191"/>
      <c r="I102" s="191"/>
      <c r="J102" s="191"/>
      <c r="K102" s="191"/>
      <c r="L102" s="191"/>
      <c r="M102" s="191"/>
      <c r="N102" s="191"/>
      <c r="O102" s="191"/>
      <c r="P102" s="191"/>
      <c r="Q102" s="191"/>
      <c r="R102" s="191"/>
      <c r="S102" s="191"/>
      <c r="T102" s="191"/>
      <c r="U102" s="152"/>
      <c r="V102" s="18"/>
    </row>
    <row r="103" spans="2:23" hidden="1" x14ac:dyDescent="0.2">
      <c r="B103" s="7"/>
      <c r="C103" s="152"/>
      <c r="D103" s="191"/>
      <c r="E103" s="191"/>
      <c r="F103" s="191"/>
      <c r="G103" s="191"/>
      <c r="H103" s="191"/>
      <c r="I103" s="191"/>
      <c r="J103" s="191"/>
      <c r="K103" s="191"/>
      <c r="L103" s="191"/>
      <c r="M103" s="191"/>
      <c r="N103" s="191"/>
      <c r="O103" s="191"/>
      <c r="P103" s="191"/>
      <c r="Q103" s="191"/>
      <c r="R103" s="191"/>
      <c r="S103" s="191"/>
      <c r="T103" s="191"/>
      <c r="U103" s="152"/>
      <c r="V103" s="18"/>
    </row>
    <row r="104" spans="2:23" hidden="1" x14ac:dyDescent="0.2">
      <c r="B104" s="7"/>
      <c r="C104" s="152"/>
      <c r="D104" s="191"/>
      <c r="E104" s="191"/>
      <c r="F104" s="191"/>
      <c r="G104" s="191"/>
      <c r="H104" s="191"/>
      <c r="I104" s="191"/>
      <c r="J104" s="191"/>
      <c r="K104" s="191"/>
      <c r="L104" s="191"/>
      <c r="M104" s="191"/>
      <c r="N104" s="191"/>
      <c r="O104" s="191"/>
      <c r="P104" s="191"/>
      <c r="Q104" s="191"/>
      <c r="R104" s="191"/>
      <c r="S104" s="191"/>
      <c r="T104" s="191"/>
      <c r="U104" s="152"/>
      <c r="V104" s="18"/>
    </row>
    <row r="105" spans="2:23" hidden="1" x14ac:dyDescent="0.2">
      <c r="B105" s="7"/>
      <c r="C105" s="152"/>
      <c r="D105" s="191"/>
      <c r="E105" s="191"/>
      <c r="F105" s="191"/>
      <c r="G105" s="191"/>
      <c r="H105" s="191"/>
      <c r="I105" s="191"/>
      <c r="J105" s="191"/>
      <c r="K105" s="191"/>
      <c r="L105" s="191"/>
      <c r="M105" s="191"/>
      <c r="N105" s="191"/>
      <c r="O105" s="191"/>
      <c r="P105" s="191"/>
      <c r="Q105" s="191"/>
      <c r="R105" s="191"/>
      <c r="S105" s="191"/>
      <c r="T105" s="191"/>
      <c r="U105" s="152"/>
      <c r="V105" s="18"/>
    </row>
    <row r="106" spans="2:23" hidden="1" x14ac:dyDescent="0.2">
      <c r="B106" s="7"/>
      <c r="C106" s="152"/>
      <c r="D106" s="191"/>
      <c r="E106" s="191"/>
      <c r="F106" s="191"/>
      <c r="G106" s="191"/>
      <c r="H106" s="191"/>
      <c r="I106" s="191"/>
      <c r="J106" s="191"/>
      <c r="K106" s="191"/>
      <c r="L106" s="191"/>
      <c r="M106" s="191"/>
      <c r="N106" s="191"/>
      <c r="O106" s="191"/>
      <c r="P106" s="191"/>
      <c r="Q106" s="191"/>
      <c r="R106" s="191"/>
      <c r="S106" s="191"/>
      <c r="T106" s="191"/>
      <c r="U106" s="152"/>
      <c r="V106" s="18"/>
    </row>
    <row r="107" spans="2:23" hidden="1" x14ac:dyDescent="0.2">
      <c r="B107" s="7"/>
      <c r="C107" s="152"/>
      <c r="D107" s="191"/>
      <c r="E107" s="191"/>
      <c r="F107" s="191"/>
      <c r="G107" s="191"/>
      <c r="H107" s="191"/>
      <c r="I107" s="191"/>
      <c r="J107" s="191"/>
      <c r="K107" s="191"/>
      <c r="L107" s="191"/>
      <c r="M107" s="191"/>
      <c r="N107" s="191"/>
      <c r="O107" s="191"/>
      <c r="P107" s="191"/>
      <c r="Q107" s="191"/>
      <c r="R107" s="191"/>
      <c r="S107" s="191"/>
      <c r="T107" s="191"/>
      <c r="U107" s="152"/>
      <c r="V107" s="18"/>
    </row>
    <row r="108" spans="2:23" hidden="1" x14ac:dyDescent="0.2">
      <c r="B108" s="7"/>
      <c r="C108" s="152"/>
      <c r="D108" s="191"/>
      <c r="E108" s="191"/>
      <c r="F108" s="191"/>
      <c r="G108" s="191"/>
      <c r="H108" s="191"/>
      <c r="I108" s="191"/>
      <c r="J108" s="191"/>
      <c r="K108" s="191"/>
      <c r="L108" s="191"/>
      <c r="M108" s="191"/>
      <c r="N108" s="191"/>
      <c r="O108" s="191"/>
      <c r="P108" s="191"/>
      <c r="Q108" s="191"/>
      <c r="R108" s="191"/>
      <c r="S108" s="191"/>
      <c r="T108" s="191"/>
      <c r="U108" s="152"/>
      <c r="V108" s="19"/>
    </row>
    <row r="109" spans="2:23" hidden="1" x14ac:dyDescent="0.2">
      <c r="B109" s="7"/>
      <c r="C109" s="152"/>
      <c r="D109" s="191"/>
      <c r="E109" s="191"/>
      <c r="F109" s="191"/>
      <c r="G109" s="191"/>
      <c r="H109" s="191"/>
      <c r="I109" s="191"/>
      <c r="J109" s="191"/>
      <c r="K109" s="191"/>
      <c r="L109" s="191"/>
      <c r="M109" s="191"/>
      <c r="N109" s="191"/>
      <c r="O109" s="191"/>
      <c r="P109" s="191"/>
      <c r="Q109" s="191"/>
      <c r="R109" s="191"/>
      <c r="S109" s="191"/>
      <c r="T109" s="191"/>
      <c r="U109" s="152"/>
      <c r="V109" s="11"/>
    </row>
    <row r="110" spans="2:23" hidden="1" x14ac:dyDescent="0.2">
      <c r="B110" s="7"/>
      <c r="C110" s="152"/>
      <c r="D110" s="191"/>
      <c r="E110" s="191"/>
      <c r="F110" s="191"/>
      <c r="G110" s="191"/>
      <c r="H110" s="191"/>
      <c r="I110" s="191"/>
      <c r="J110" s="191"/>
      <c r="K110" s="191"/>
      <c r="L110" s="191"/>
      <c r="M110" s="191"/>
      <c r="N110" s="191"/>
      <c r="O110" s="191"/>
      <c r="P110" s="191"/>
      <c r="Q110" s="191"/>
      <c r="R110" s="191"/>
      <c r="S110" s="191"/>
      <c r="T110" s="191"/>
      <c r="U110" s="152"/>
      <c r="V110" s="14"/>
    </row>
    <row r="111" spans="2:23" hidden="1" x14ac:dyDescent="0.2">
      <c r="B111" s="7"/>
      <c r="C111" s="152"/>
      <c r="D111" s="191"/>
      <c r="E111" s="191"/>
      <c r="F111" s="191"/>
      <c r="G111" s="191"/>
      <c r="H111" s="191"/>
      <c r="I111" s="191"/>
      <c r="J111" s="191"/>
      <c r="K111" s="191"/>
      <c r="L111" s="191"/>
      <c r="M111" s="191"/>
      <c r="N111" s="191"/>
      <c r="O111" s="191"/>
      <c r="P111" s="191"/>
      <c r="Q111" s="191"/>
      <c r="R111" s="191"/>
      <c r="S111" s="191"/>
      <c r="T111" s="191"/>
      <c r="U111" s="152"/>
      <c r="V111" s="14"/>
    </row>
    <row r="112" spans="2:23" hidden="1" x14ac:dyDescent="0.2">
      <c r="B112" s="7"/>
      <c r="C112" s="152"/>
      <c r="D112" s="191"/>
      <c r="E112" s="191"/>
      <c r="F112" s="191"/>
      <c r="G112" s="191"/>
      <c r="H112" s="191"/>
      <c r="I112" s="191"/>
      <c r="J112" s="191"/>
      <c r="K112" s="191"/>
      <c r="L112" s="191"/>
      <c r="M112" s="191"/>
      <c r="N112" s="191"/>
      <c r="O112" s="191"/>
      <c r="P112" s="191"/>
      <c r="Q112" s="191"/>
      <c r="R112" s="191"/>
      <c r="S112" s="191"/>
      <c r="T112" s="191"/>
      <c r="U112" s="152"/>
      <c r="V112" s="14"/>
    </row>
    <row r="113" spans="2:22" hidden="1" x14ac:dyDescent="0.2">
      <c r="B113" s="7"/>
      <c r="C113" s="152"/>
      <c r="D113" s="191"/>
      <c r="E113" s="191"/>
      <c r="F113" s="191"/>
      <c r="G113" s="191"/>
      <c r="H113" s="191"/>
      <c r="I113" s="191"/>
      <c r="J113" s="191"/>
      <c r="K113" s="191"/>
      <c r="L113" s="191"/>
      <c r="M113" s="191"/>
      <c r="N113" s="191"/>
      <c r="O113" s="191"/>
      <c r="P113" s="191"/>
      <c r="Q113" s="191"/>
      <c r="R113" s="191"/>
      <c r="S113" s="191"/>
      <c r="T113" s="191"/>
      <c r="U113" s="152"/>
      <c r="V113" s="14"/>
    </row>
    <row r="114" spans="2:22" hidden="1" x14ac:dyDescent="0.2">
      <c r="B114" s="7"/>
      <c r="C114" s="152"/>
      <c r="D114" s="191"/>
      <c r="E114" s="191"/>
      <c r="F114" s="191"/>
      <c r="G114" s="191"/>
      <c r="H114" s="191"/>
      <c r="I114" s="191"/>
      <c r="J114" s="191"/>
      <c r="K114" s="191"/>
      <c r="L114" s="191"/>
      <c r="M114" s="191"/>
      <c r="N114" s="191"/>
      <c r="O114" s="191"/>
      <c r="P114" s="191"/>
      <c r="Q114" s="191"/>
      <c r="R114" s="191"/>
      <c r="S114" s="191"/>
      <c r="T114" s="191"/>
      <c r="U114" s="152"/>
      <c r="V114" s="14"/>
    </row>
    <row r="115" spans="2:22" hidden="1" x14ac:dyDescent="0.2">
      <c r="B115" s="7"/>
      <c r="C115" s="152"/>
      <c r="D115" s="191"/>
      <c r="E115" s="191"/>
      <c r="F115" s="191"/>
      <c r="G115" s="191"/>
      <c r="H115" s="191"/>
      <c r="I115" s="191"/>
      <c r="J115" s="191"/>
      <c r="K115" s="191"/>
      <c r="L115" s="191"/>
      <c r="M115" s="191"/>
      <c r="N115" s="191"/>
      <c r="O115" s="191"/>
      <c r="P115" s="191"/>
      <c r="Q115" s="191"/>
      <c r="R115" s="191"/>
      <c r="S115" s="191"/>
      <c r="T115" s="191"/>
      <c r="U115" s="152"/>
      <c r="V115" s="14"/>
    </row>
    <row r="116" spans="2:22" hidden="1" x14ac:dyDescent="0.2">
      <c r="B116" s="7"/>
      <c r="C116" s="152"/>
      <c r="D116" s="191"/>
      <c r="E116" s="191"/>
      <c r="F116" s="191"/>
      <c r="G116" s="191"/>
      <c r="H116" s="191"/>
      <c r="I116" s="191"/>
      <c r="J116" s="191"/>
      <c r="K116" s="191"/>
      <c r="L116" s="191"/>
      <c r="M116" s="191"/>
      <c r="N116" s="191"/>
      <c r="O116" s="191"/>
      <c r="P116" s="191"/>
      <c r="Q116" s="191"/>
      <c r="R116" s="191"/>
      <c r="S116" s="191"/>
      <c r="T116" s="191"/>
      <c r="U116" s="152"/>
      <c r="V116" s="14"/>
    </row>
    <row r="117" spans="2:22" hidden="1" x14ac:dyDescent="0.2">
      <c r="B117" s="7"/>
      <c r="C117" s="152"/>
      <c r="D117" s="191"/>
      <c r="E117" s="191"/>
      <c r="F117" s="191"/>
      <c r="G117" s="191"/>
      <c r="H117" s="191"/>
      <c r="I117" s="191"/>
      <c r="J117" s="191"/>
      <c r="K117" s="191"/>
      <c r="L117" s="191"/>
      <c r="M117" s="191"/>
      <c r="N117" s="191"/>
      <c r="O117" s="191"/>
      <c r="P117" s="191"/>
      <c r="Q117" s="191"/>
      <c r="R117" s="191"/>
      <c r="S117" s="191"/>
      <c r="T117" s="191"/>
      <c r="U117" s="152"/>
      <c r="V117" s="14"/>
    </row>
    <row r="118" spans="2:22" hidden="1" x14ac:dyDescent="0.2">
      <c r="B118" s="7"/>
      <c r="C118" s="152"/>
      <c r="D118" s="191"/>
      <c r="E118" s="191"/>
      <c r="F118" s="191"/>
      <c r="G118" s="191"/>
      <c r="H118" s="191"/>
      <c r="I118" s="191"/>
      <c r="J118" s="191"/>
      <c r="K118" s="191"/>
      <c r="L118" s="191"/>
      <c r="M118" s="191"/>
      <c r="N118" s="191"/>
      <c r="O118" s="191"/>
      <c r="P118" s="191"/>
      <c r="Q118" s="191"/>
      <c r="R118" s="191"/>
      <c r="S118" s="191"/>
      <c r="T118" s="191"/>
      <c r="U118" s="152"/>
      <c r="V118" s="14"/>
    </row>
    <row r="119" spans="2:22" hidden="1" x14ac:dyDescent="0.2">
      <c r="B119" s="7"/>
      <c r="C119" s="152"/>
      <c r="D119" s="191"/>
      <c r="E119" s="191"/>
      <c r="F119" s="191"/>
      <c r="G119" s="191"/>
      <c r="H119" s="191"/>
      <c r="I119" s="191"/>
      <c r="J119" s="191"/>
      <c r="K119" s="191"/>
      <c r="L119" s="191"/>
      <c r="M119" s="191"/>
      <c r="N119" s="191"/>
      <c r="O119" s="191"/>
      <c r="P119" s="191"/>
      <c r="Q119" s="191"/>
      <c r="R119" s="191"/>
      <c r="S119" s="191"/>
      <c r="T119" s="191"/>
      <c r="U119" s="152"/>
      <c r="V119" s="14"/>
    </row>
    <row r="120" spans="2:22" hidden="1" x14ac:dyDescent="0.2">
      <c r="B120" s="7"/>
      <c r="C120" s="152"/>
      <c r="D120" s="191"/>
      <c r="E120" s="191"/>
      <c r="F120" s="191"/>
      <c r="G120" s="191"/>
      <c r="H120" s="191"/>
      <c r="I120" s="191"/>
      <c r="J120" s="191"/>
      <c r="K120" s="191"/>
      <c r="L120" s="191"/>
      <c r="M120" s="191"/>
      <c r="N120" s="191"/>
      <c r="O120" s="191"/>
      <c r="P120" s="191"/>
      <c r="Q120" s="191"/>
      <c r="R120" s="191"/>
      <c r="S120" s="191"/>
      <c r="T120" s="191"/>
      <c r="U120" s="152"/>
      <c r="V120" s="14"/>
    </row>
    <row r="121" spans="2:22" hidden="1" x14ac:dyDescent="0.2">
      <c r="B121" s="7"/>
      <c r="C121" s="152"/>
      <c r="D121" s="191"/>
      <c r="E121" s="191"/>
      <c r="F121" s="191"/>
      <c r="G121" s="191"/>
      <c r="H121" s="191"/>
      <c r="I121" s="191"/>
      <c r="J121" s="191"/>
      <c r="K121" s="191"/>
      <c r="L121" s="191"/>
      <c r="M121" s="191"/>
      <c r="N121" s="191"/>
      <c r="O121" s="191"/>
      <c r="P121" s="191"/>
      <c r="Q121" s="191"/>
      <c r="R121" s="191"/>
      <c r="S121" s="191"/>
      <c r="T121" s="191"/>
      <c r="U121" s="152"/>
      <c r="V121" s="14"/>
    </row>
    <row r="122" spans="2:22" hidden="1" x14ac:dyDescent="0.2">
      <c r="B122" s="7"/>
      <c r="C122" s="152"/>
      <c r="D122" s="191"/>
      <c r="E122" s="191"/>
      <c r="F122" s="191"/>
      <c r="G122" s="191"/>
      <c r="H122" s="191"/>
      <c r="I122" s="191"/>
      <c r="J122" s="191"/>
      <c r="K122" s="191"/>
      <c r="L122" s="191"/>
      <c r="M122" s="191"/>
      <c r="N122" s="191"/>
      <c r="O122" s="191"/>
      <c r="P122" s="191"/>
      <c r="Q122" s="191"/>
      <c r="R122" s="191"/>
      <c r="S122" s="191"/>
      <c r="T122" s="191"/>
      <c r="U122" s="152"/>
      <c r="V122" s="14"/>
    </row>
    <row r="123" spans="2:22" hidden="1" x14ac:dyDescent="0.2">
      <c r="B123" s="7"/>
      <c r="C123" s="152"/>
      <c r="D123" s="191"/>
      <c r="E123" s="191"/>
      <c r="F123" s="191"/>
      <c r="G123" s="191"/>
      <c r="H123" s="191"/>
      <c r="I123" s="191"/>
      <c r="J123" s="191"/>
      <c r="K123" s="191"/>
      <c r="L123" s="191"/>
      <c r="M123" s="191"/>
      <c r="N123" s="191"/>
      <c r="O123" s="191"/>
      <c r="P123" s="191"/>
      <c r="Q123" s="191"/>
      <c r="R123" s="191"/>
      <c r="S123" s="191"/>
      <c r="T123" s="191"/>
      <c r="U123" s="152"/>
      <c r="V123" s="11"/>
    </row>
    <row r="124" spans="2:22" hidden="1" x14ac:dyDescent="0.2">
      <c r="B124" s="7"/>
      <c r="C124" s="152"/>
      <c r="D124" s="191"/>
      <c r="E124" s="191"/>
      <c r="F124" s="191"/>
      <c r="G124" s="191"/>
      <c r="H124" s="191"/>
      <c r="I124" s="191"/>
      <c r="J124" s="191"/>
      <c r="K124" s="191"/>
      <c r="L124" s="191"/>
      <c r="M124" s="191"/>
      <c r="N124" s="191"/>
      <c r="O124" s="191"/>
      <c r="P124" s="191"/>
      <c r="Q124" s="191"/>
      <c r="R124" s="191"/>
      <c r="S124" s="191"/>
      <c r="T124" s="191"/>
      <c r="U124" s="152"/>
      <c r="V124" s="11"/>
    </row>
    <row r="125" spans="2:22" hidden="1" x14ac:dyDescent="0.2">
      <c r="B125" s="7"/>
      <c r="C125" s="152"/>
      <c r="D125" s="191"/>
      <c r="E125" s="191"/>
      <c r="F125" s="191"/>
      <c r="G125" s="191"/>
      <c r="H125" s="191"/>
      <c r="I125" s="191"/>
      <c r="J125" s="191"/>
      <c r="K125" s="191"/>
      <c r="L125" s="191"/>
      <c r="M125" s="191"/>
      <c r="N125" s="191"/>
      <c r="O125" s="191"/>
      <c r="P125" s="191"/>
      <c r="Q125" s="191"/>
      <c r="R125" s="191"/>
      <c r="S125" s="191"/>
      <c r="T125" s="191"/>
      <c r="U125" s="152"/>
      <c r="V125" s="11"/>
    </row>
    <row r="126" spans="2:22" hidden="1" x14ac:dyDescent="0.2">
      <c r="B126" s="7">
        <v>2011</v>
      </c>
      <c r="C126" s="152"/>
      <c r="D126" s="191"/>
      <c r="E126" s="191"/>
      <c r="F126" s="191"/>
      <c r="G126" s="191"/>
      <c r="H126" s="191"/>
      <c r="I126" s="191"/>
      <c r="J126" s="191"/>
      <c r="K126" s="191"/>
      <c r="L126" s="191"/>
      <c r="M126" s="191"/>
      <c r="N126" s="191"/>
      <c r="O126" s="191"/>
      <c r="P126" s="191"/>
      <c r="Q126" s="191"/>
      <c r="R126" s="191"/>
      <c r="S126" s="191"/>
      <c r="T126" s="191"/>
      <c r="U126" s="152"/>
      <c r="V126" s="8"/>
    </row>
    <row r="127" spans="2:22" hidden="1" x14ac:dyDescent="0.2">
      <c r="B127" s="7"/>
      <c r="C127" s="152"/>
      <c r="D127" s="191"/>
      <c r="E127" s="191"/>
      <c r="F127" s="191"/>
      <c r="G127" s="191"/>
      <c r="H127" s="191"/>
      <c r="I127" s="191"/>
      <c r="J127" s="191"/>
      <c r="K127" s="191"/>
      <c r="L127" s="191"/>
      <c r="M127" s="191"/>
      <c r="N127" s="191"/>
      <c r="O127" s="191"/>
      <c r="P127" s="191"/>
      <c r="Q127" s="191"/>
      <c r="R127" s="191"/>
      <c r="S127" s="191"/>
      <c r="T127" s="191"/>
      <c r="U127" s="152"/>
      <c r="V127" s="18"/>
    </row>
    <row r="128" spans="2:22" hidden="1" x14ac:dyDescent="0.2">
      <c r="B128" s="7"/>
      <c r="C128" s="152"/>
      <c r="D128" s="191"/>
      <c r="E128" s="191"/>
      <c r="F128" s="191"/>
      <c r="G128" s="191"/>
      <c r="H128" s="191"/>
      <c r="I128" s="191"/>
      <c r="J128" s="191"/>
      <c r="K128" s="191"/>
      <c r="L128" s="191"/>
      <c r="M128" s="191"/>
      <c r="N128" s="191"/>
      <c r="O128" s="191"/>
      <c r="P128" s="191"/>
      <c r="Q128" s="191"/>
      <c r="R128" s="191"/>
      <c r="S128" s="191"/>
      <c r="T128" s="191"/>
      <c r="U128" s="152"/>
      <c r="V128" s="18"/>
    </row>
    <row r="129" spans="2:22" hidden="1" x14ac:dyDescent="0.2">
      <c r="B129" s="7"/>
      <c r="C129" s="152"/>
      <c r="D129" s="191"/>
      <c r="E129" s="191"/>
      <c r="F129" s="191"/>
      <c r="G129" s="191"/>
      <c r="H129" s="191"/>
      <c r="I129" s="191"/>
      <c r="J129" s="191"/>
      <c r="K129" s="191"/>
      <c r="L129" s="191"/>
      <c r="M129" s="191"/>
      <c r="N129" s="191"/>
      <c r="O129" s="191"/>
      <c r="P129" s="191"/>
      <c r="Q129" s="191"/>
      <c r="R129" s="191"/>
      <c r="S129" s="191"/>
      <c r="T129" s="191"/>
      <c r="U129" s="152"/>
      <c r="V129" s="18"/>
    </row>
    <row r="130" spans="2:22" hidden="1" x14ac:dyDescent="0.2">
      <c r="B130" s="7"/>
      <c r="C130" s="152"/>
      <c r="D130" s="191"/>
      <c r="E130" s="191"/>
      <c r="F130" s="191"/>
      <c r="G130" s="191"/>
      <c r="H130" s="191"/>
      <c r="I130" s="191"/>
      <c r="J130" s="191"/>
      <c r="K130" s="191"/>
      <c r="L130" s="191"/>
      <c r="M130" s="191"/>
      <c r="N130" s="191"/>
      <c r="O130" s="191"/>
      <c r="P130" s="191"/>
      <c r="Q130" s="191"/>
      <c r="R130" s="191"/>
      <c r="S130" s="191"/>
      <c r="T130" s="191"/>
      <c r="U130" s="152"/>
      <c r="V130" s="18"/>
    </row>
    <row r="131" spans="2:22" hidden="1" x14ac:dyDescent="0.2">
      <c r="B131" s="7"/>
      <c r="C131" s="152"/>
      <c r="D131" s="191"/>
      <c r="E131" s="191"/>
      <c r="F131" s="191"/>
      <c r="G131" s="191"/>
      <c r="H131" s="191"/>
      <c r="I131" s="191"/>
      <c r="J131" s="191"/>
      <c r="K131" s="191"/>
      <c r="L131" s="191"/>
      <c r="M131" s="191"/>
      <c r="N131" s="191"/>
      <c r="O131" s="191"/>
      <c r="P131" s="191"/>
      <c r="Q131" s="191"/>
      <c r="R131" s="191"/>
      <c r="S131" s="191"/>
      <c r="T131" s="191"/>
      <c r="U131" s="152"/>
      <c r="V131" s="18"/>
    </row>
    <row r="132" spans="2:22" hidden="1" x14ac:dyDescent="0.2">
      <c r="B132" s="7"/>
      <c r="C132" s="152"/>
      <c r="D132" s="191"/>
      <c r="E132" s="191"/>
      <c r="F132" s="191"/>
      <c r="G132" s="191"/>
      <c r="H132" s="191"/>
      <c r="I132" s="191"/>
      <c r="J132" s="191"/>
      <c r="K132" s="191"/>
      <c r="L132" s="191"/>
      <c r="M132" s="191"/>
      <c r="N132" s="191"/>
      <c r="O132" s="191"/>
      <c r="P132" s="191"/>
      <c r="Q132" s="191"/>
      <c r="R132" s="191"/>
      <c r="S132" s="191"/>
      <c r="T132" s="191"/>
      <c r="U132" s="152"/>
      <c r="V132" s="18"/>
    </row>
    <row r="133" spans="2:22" hidden="1" x14ac:dyDescent="0.2">
      <c r="B133" s="7"/>
      <c r="C133" s="152"/>
      <c r="D133" s="191"/>
      <c r="E133" s="191"/>
      <c r="F133" s="191"/>
      <c r="G133" s="191"/>
      <c r="H133" s="191"/>
      <c r="I133" s="191"/>
      <c r="J133" s="191"/>
      <c r="K133" s="191"/>
      <c r="L133" s="191"/>
      <c r="M133" s="191"/>
      <c r="N133" s="191"/>
      <c r="O133" s="191"/>
      <c r="P133" s="191"/>
      <c r="Q133" s="191"/>
      <c r="R133" s="191"/>
      <c r="S133" s="191"/>
      <c r="T133" s="191"/>
      <c r="U133" s="152"/>
      <c r="V133" s="18"/>
    </row>
    <row r="134" spans="2:22" hidden="1" x14ac:dyDescent="0.2">
      <c r="B134" s="7"/>
      <c r="C134" s="152"/>
      <c r="D134" s="191"/>
      <c r="E134" s="191"/>
      <c r="F134" s="191"/>
      <c r="G134" s="191"/>
      <c r="H134" s="191"/>
      <c r="I134" s="191"/>
      <c r="J134" s="191"/>
      <c r="K134" s="191"/>
      <c r="L134" s="191"/>
      <c r="M134" s="191"/>
      <c r="N134" s="191"/>
      <c r="O134" s="191"/>
      <c r="P134" s="191"/>
      <c r="Q134" s="191"/>
      <c r="R134" s="191"/>
      <c r="S134" s="191"/>
      <c r="T134" s="191"/>
      <c r="U134" s="152"/>
      <c r="V134" s="18"/>
    </row>
    <row r="135" spans="2:22" hidden="1" x14ac:dyDescent="0.2">
      <c r="B135" s="7"/>
      <c r="C135" s="152"/>
      <c r="D135" s="191"/>
      <c r="E135" s="191"/>
      <c r="F135" s="191"/>
      <c r="G135" s="191"/>
      <c r="H135" s="191"/>
      <c r="I135" s="191"/>
      <c r="J135" s="191"/>
      <c r="K135" s="191"/>
      <c r="L135" s="191"/>
      <c r="M135" s="191"/>
      <c r="N135" s="191"/>
      <c r="O135" s="191"/>
      <c r="P135" s="191"/>
      <c r="Q135" s="191"/>
      <c r="R135" s="191"/>
      <c r="S135" s="191"/>
      <c r="T135" s="191"/>
      <c r="U135" s="152"/>
      <c r="V135" s="18"/>
    </row>
    <row r="136" spans="2:22" ht="25.5" hidden="1" customHeight="1" x14ac:dyDescent="0.2">
      <c r="B136" s="7"/>
      <c r="C136" s="152"/>
      <c r="D136" s="191"/>
      <c r="E136" s="191"/>
      <c r="F136" s="191"/>
      <c r="G136" s="191"/>
      <c r="H136" s="191"/>
      <c r="I136" s="191"/>
      <c r="J136" s="191"/>
      <c r="K136" s="191"/>
      <c r="L136" s="191"/>
      <c r="M136" s="191"/>
      <c r="N136" s="191"/>
      <c r="O136" s="191"/>
      <c r="P136" s="191"/>
      <c r="Q136" s="191"/>
      <c r="R136" s="191"/>
      <c r="S136" s="191"/>
      <c r="T136" s="191"/>
      <c r="U136" s="152"/>
      <c r="V136" s="19"/>
    </row>
    <row r="137" spans="2:22" ht="22.5" hidden="1" customHeight="1" x14ac:dyDescent="0.2">
      <c r="B137" s="7"/>
      <c r="C137" s="152"/>
      <c r="D137" s="191"/>
      <c r="E137" s="191"/>
      <c r="F137" s="191"/>
      <c r="G137" s="191"/>
      <c r="H137" s="191"/>
      <c r="I137" s="191"/>
      <c r="J137" s="191"/>
      <c r="K137" s="191"/>
      <c r="L137" s="191"/>
      <c r="M137" s="191"/>
      <c r="N137" s="191"/>
      <c r="O137" s="191"/>
      <c r="P137" s="191"/>
      <c r="Q137" s="191"/>
      <c r="R137" s="191"/>
      <c r="S137" s="191"/>
      <c r="T137" s="191"/>
      <c r="U137" s="152"/>
      <c r="V137" s="11"/>
    </row>
    <row r="138" spans="2:22" ht="21.75" hidden="1" customHeight="1" x14ac:dyDescent="0.2">
      <c r="B138" s="7"/>
      <c r="C138" s="152"/>
      <c r="D138" s="191"/>
      <c r="E138" s="191"/>
      <c r="F138" s="191"/>
      <c r="G138" s="191"/>
      <c r="H138" s="191"/>
      <c r="I138" s="191"/>
      <c r="J138" s="191"/>
      <c r="K138" s="191"/>
      <c r="L138" s="191"/>
      <c r="M138" s="191"/>
      <c r="N138" s="191"/>
      <c r="O138" s="191"/>
      <c r="P138" s="191"/>
      <c r="Q138" s="191"/>
      <c r="R138" s="191"/>
      <c r="S138" s="191"/>
      <c r="T138" s="191"/>
      <c r="U138" s="152"/>
      <c r="V138" s="14"/>
    </row>
    <row r="139" spans="2:22" ht="21.75" hidden="1" customHeight="1" x14ac:dyDescent="0.2">
      <c r="B139" s="7"/>
      <c r="C139" s="152"/>
      <c r="D139" s="191"/>
      <c r="E139" s="191"/>
      <c r="F139" s="191"/>
      <c r="G139" s="191"/>
      <c r="H139" s="191"/>
      <c r="I139" s="191"/>
      <c r="J139" s="191"/>
      <c r="K139" s="191"/>
      <c r="L139" s="191"/>
      <c r="M139" s="191"/>
      <c r="N139" s="191"/>
      <c r="O139" s="191"/>
      <c r="P139" s="191"/>
      <c r="Q139" s="191"/>
      <c r="R139" s="191"/>
      <c r="S139" s="191"/>
      <c r="T139" s="191"/>
      <c r="U139" s="152"/>
      <c r="V139" s="14"/>
    </row>
    <row r="140" spans="2:22" ht="21.75" hidden="1" customHeight="1" x14ac:dyDescent="0.2">
      <c r="B140" s="7"/>
      <c r="C140" s="152"/>
      <c r="D140" s="191"/>
      <c r="E140" s="191"/>
      <c r="F140" s="191"/>
      <c r="G140" s="191"/>
      <c r="H140" s="191"/>
      <c r="I140" s="191"/>
      <c r="J140" s="191"/>
      <c r="K140" s="191"/>
      <c r="L140" s="191"/>
      <c r="M140" s="191"/>
      <c r="N140" s="191"/>
      <c r="O140" s="191"/>
      <c r="P140" s="191"/>
      <c r="Q140" s="191"/>
      <c r="R140" s="191"/>
      <c r="S140" s="191"/>
      <c r="T140" s="191"/>
      <c r="U140" s="152"/>
      <c r="V140" s="14"/>
    </row>
    <row r="141" spans="2:22" ht="20.25" hidden="1" customHeight="1" x14ac:dyDescent="0.2">
      <c r="B141" s="7"/>
      <c r="C141" s="152"/>
      <c r="D141" s="191"/>
      <c r="E141" s="191"/>
      <c r="F141" s="191"/>
      <c r="G141" s="191"/>
      <c r="H141" s="191"/>
      <c r="I141" s="191"/>
      <c r="J141" s="191"/>
      <c r="K141" s="191"/>
      <c r="L141" s="191"/>
      <c r="M141" s="191"/>
      <c r="N141" s="191"/>
      <c r="O141" s="191"/>
      <c r="P141" s="191"/>
      <c r="Q141" s="191"/>
      <c r="R141" s="191"/>
      <c r="S141" s="191"/>
      <c r="T141" s="191"/>
      <c r="U141" s="152"/>
      <c r="V141" s="14"/>
    </row>
    <row r="142" spans="2:22" ht="18.75" hidden="1" customHeight="1" x14ac:dyDescent="0.2">
      <c r="B142" s="7"/>
      <c r="C142" s="152"/>
      <c r="D142" s="191"/>
      <c r="E142" s="191"/>
      <c r="F142" s="191"/>
      <c r="G142" s="191"/>
      <c r="H142" s="191"/>
      <c r="I142" s="191"/>
      <c r="J142" s="191"/>
      <c r="K142" s="191"/>
      <c r="L142" s="191"/>
      <c r="M142" s="191"/>
      <c r="N142" s="191"/>
      <c r="O142" s="191"/>
      <c r="P142" s="191"/>
      <c r="Q142" s="191"/>
      <c r="R142" s="191"/>
      <c r="S142" s="191"/>
      <c r="T142" s="191"/>
      <c r="U142" s="152"/>
      <c r="V142" s="14"/>
    </row>
    <row r="143" spans="2:22" ht="18.75" hidden="1" customHeight="1" x14ac:dyDescent="0.2">
      <c r="B143" s="7"/>
      <c r="C143" s="152"/>
      <c r="D143" s="191"/>
      <c r="E143" s="191"/>
      <c r="F143" s="191"/>
      <c r="G143" s="191"/>
      <c r="H143" s="191"/>
      <c r="I143" s="191"/>
      <c r="J143" s="191"/>
      <c r="K143" s="191"/>
      <c r="L143" s="191"/>
      <c r="M143" s="191"/>
      <c r="N143" s="191"/>
      <c r="O143" s="191"/>
      <c r="P143" s="191"/>
      <c r="Q143" s="191"/>
      <c r="R143" s="191"/>
      <c r="S143" s="191"/>
      <c r="T143" s="191"/>
      <c r="U143" s="152"/>
      <c r="V143" s="14"/>
    </row>
    <row r="144" spans="2:22" ht="19.5" hidden="1" customHeight="1" x14ac:dyDescent="0.2">
      <c r="B144" s="7"/>
      <c r="C144" s="152"/>
      <c r="D144" s="191"/>
      <c r="E144" s="191"/>
      <c r="F144" s="191"/>
      <c r="G144" s="191"/>
      <c r="H144" s="191"/>
      <c r="I144" s="191"/>
      <c r="J144" s="191"/>
      <c r="K144" s="191"/>
      <c r="L144" s="191"/>
      <c r="M144" s="191"/>
      <c r="N144" s="191"/>
      <c r="O144" s="191"/>
      <c r="P144" s="191"/>
      <c r="Q144" s="191"/>
      <c r="R144" s="191"/>
      <c r="S144" s="191"/>
      <c r="T144" s="191"/>
      <c r="U144" s="152"/>
      <c r="V144" s="14"/>
    </row>
    <row r="145" spans="2:22" ht="21" hidden="1" customHeight="1" x14ac:dyDescent="0.2">
      <c r="B145" s="7"/>
      <c r="C145" s="152"/>
      <c r="D145" s="191"/>
      <c r="E145" s="191"/>
      <c r="F145" s="191"/>
      <c r="G145" s="191"/>
      <c r="H145" s="191"/>
      <c r="I145" s="191"/>
      <c r="J145" s="191"/>
      <c r="K145" s="191"/>
      <c r="L145" s="191"/>
      <c r="M145" s="191"/>
      <c r="N145" s="191"/>
      <c r="O145" s="191"/>
      <c r="P145" s="191"/>
      <c r="Q145" s="191"/>
      <c r="R145" s="191"/>
      <c r="S145" s="191"/>
      <c r="T145" s="191"/>
      <c r="U145" s="152"/>
      <c r="V145" s="14"/>
    </row>
    <row r="146" spans="2:22" ht="19.5" hidden="1" customHeight="1" x14ac:dyDescent="0.2">
      <c r="B146" s="7"/>
      <c r="C146" s="152"/>
      <c r="D146" s="191"/>
      <c r="E146" s="191"/>
      <c r="F146" s="191"/>
      <c r="G146" s="191"/>
      <c r="H146" s="191"/>
      <c r="I146" s="191"/>
      <c r="J146" s="191"/>
      <c r="K146" s="191"/>
      <c r="L146" s="191"/>
      <c r="M146" s="191"/>
      <c r="N146" s="191"/>
      <c r="O146" s="191"/>
      <c r="P146" s="191"/>
      <c r="Q146" s="191"/>
      <c r="R146" s="191"/>
      <c r="S146" s="191"/>
      <c r="T146" s="191"/>
      <c r="U146" s="152"/>
      <c r="V146" s="14"/>
    </row>
    <row r="147" spans="2:22" ht="21" hidden="1" customHeight="1" x14ac:dyDescent="0.2">
      <c r="B147" s="7"/>
      <c r="C147" s="152"/>
      <c r="D147" s="191"/>
      <c r="E147" s="191"/>
      <c r="F147" s="191"/>
      <c r="G147" s="191"/>
      <c r="H147" s="191"/>
      <c r="I147" s="191"/>
      <c r="J147" s="191"/>
      <c r="K147" s="191"/>
      <c r="L147" s="191"/>
      <c r="M147" s="191"/>
      <c r="N147" s="191"/>
      <c r="O147" s="191"/>
      <c r="P147" s="191"/>
      <c r="Q147" s="191"/>
      <c r="R147" s="191"/>
      <c r="S147" s="191"/>
      <c r="T147" s="191"/>
      <c r="U147" s="152"/>
      <c r="V147" s="14"/>
    </row>
    <row r="148" spans="2:22" hidden="1" x14ac:dyDescent="0.2">
      <c r="B148" s="7"/>
      <c r="C148" s="152"/>
      <c r="D148" s="191"/>
      <c r="E148" s="191"/>
      <c r="F148" s="191"/>
      <c r="G148" s="191"/>
      <c r="H148" s="191"/>
      <c r="I148" s="191"/>
      <c r="J148" s="191"/>
      <c r="K148" s="191"/>
      <c r="L148" s="191"/>
      <c r="M148" s="191"/>
      <c r="N148" s="191"/>
      <c r="O148" s="191"/>
      <c r="P148" s="191"/>
      <c r="Q148" s="191"/>
      <c r="R148" s="191"/>
      <c r="S148" s="191"/>
      <c r="T148" s="191"/>
      <c r="U148" s="152"/>
      <c r="V148" s="14"/>
    </row>
    <row r="149" spans="2:22" hidden="1" x14ac:dyDescent="0.2">
      <c r="B149" s="7"/>
      <c r="C149" s="152"/>
      <c r="D149" s="191"/>
      <c r="E149" s="191"/>
      <c r="F149" s="191"/>
      <c r="G149" s="191"/>
      <c r="H149" s="191"/>
      <c r="I149" s="191"/>
      <c r="J149" s="191"/>
      <c r="K149" s="191"/>
      <c r="L149" s="191"/>
      <c r="M149" s="191"/>
      <c r="N149" s="191"/>
      <c r="O149" s="191"/>
      <c r="P149" s="191"/>
      <c r="Q149" s="191"/>
      <c r="R149" s="191"/>
      <c r="S149" s="191"/>
      <c r="T149" s="191"/>
      <c r="U149" s="152"/>
      <c r="V149" s="11"/>
    </row>
    <row r="150" spans="2:22" hidden="1" x14ac:dyDescent="0.2">
      <c r="B150" s="7"/>
      <c r="C150" s="152"/>
      <c r="D150" s="191"/>
      <c r="E150" s="191"/>
      <c r="F150" s="191"/>
      <c r="G150" s="191"/>
      <c r="H150" s="191"/>
      <c r="I150" s="191"/>
      <c r="J150" s="191"/>
      <c r="K150" s="191"/>
      <c r="L150" s="191"/>
      <c r="M150" s="191"/>
      <c r="N150" s="191"/>
      <c r="O150" s="191"/>
      <c r="P150" s="191"/>
      <c r="Q150" s="191"/>
      <c r="R150" s="191"/>
      <c r="S150" s="191"/>
      <c r="T150" s="191"/>
      <c r="U150" s="152"/>
      <c r="V150" s="11"/>
    </row>
    <row r="151" spans="2:22" hidden="1" x14ac:dyDescent="0.2">
      <c r="B151" s="7"/>
      <c r="C151" s="152"/>
      <c r="D151" s="191"/>
      <c r="E151" s="191"/>
      <c r="F151" s="191"/>
      <c r="G151" s="191"/>
      <c r="H151" s="191"/>
      <c r="I151" s="191"/>
      <c r="J151" s="191"/>
      <c r="K151" s="191"/>
      <c r="L151" s="191"/>
      <c r="M151" s="191"/>
      <c r="N151" s="191"/>
      <c r="O151" s="191"/>
      <c r="P151" s="191"/>
      <c r="Q151" s="191"/>
      <c r="R151" s="191"/>
      <c r="S151" s="191"/>
      <c r="T151" s="191"/>
      <c r="U151" s="152"/>
      <c r="V151" s="11"/>
    </row>
    <row r="152" spans="2:22" hidden="1" x14ac:dyDescent="0.2">
      <c r="B152" s="7"/>
      <c r="C152" s="152"/>
      <c r="D152" s="191"/>
      <c r="E152" s="191"/>
      <c r="F152" s="191"/>
      <c r="G152" s="191"/>
      <c r="H152" s="191"/>
      <c r="I152" s="191"/>
      <c r="J152" s="191"/>
      <c r="K152" s="191"/>
      <c r="L152" s="191"/>
      <c r="M152" s="191"/>
      <c r="N152" s="191"/>
      <c r="O152" s="191"/>
      <c r="P152" s="191"/>
      <c r="Q152" s="191"/>
      <c r="R152" s="191"/>
      <c r="S152" s="191"/>
      <c r="T152" s="191"/>
      <c r="U152" s="152"/>
      <c r="V152" s="11"/>
    </row>
    <row r="153" spans="2:22" hidden="1" x14ac:dyDescent="0.2">
      <c r="B153" s="7">
        <v>2010</v>
      </c>
      <c r="C153" s="152"/>
      <c r="D153" s="191"/>
      <c r="E153" s="191"/>
      <c r="F153" s="191"/>
      <c r="G153" s="191"/>
      <c r="H153" s="191"/>
      <c r="I153" s="191"/>
      <c r="J153" s="191"/>
      <c r="K153" s="191"/>
      <c r="L153" s="191"/>
      <c r="M153" s="191"/>
      <c r="N153" s="191"/>
      <c r="O153" s="191"/>
      <c r="P153" s="191"/>
      <c r="Q153" s="191"/>
      <c r="R153" s="191"/>
      <c r="S153" s="191"/>
      <c r="T153" s="191"/>
      <c r="U153" s="152"/>
      <c r="V153" s="8"/>
    </row>
    <row r="154" spans="2:22" hidden="1" x14ac:dyDescent="0.2">
      <c r="B154" s="7"/>
      <c r="C154" s="152"/>
      <c r="D154" s="191"/>
      <c r="E154" s="191"/>
      <c r="F154" s="191"/>
      <c r="G154" s="191"/>
      <c r="H154" s="191"/>
      <c r="I154" s="191"/>
      <c r="J154" s="191"/>
      <c r="K154" s="191"/>
      <c r="L154" s="191"/>
      <c r="M154" s="191"/>
      <c r="N154" s="191"/>
      <c r="O154" s="191"/>
      <c r="P154" s="191"/>
      <c r="Q154" s="191"/>
      <c r="R154" s="191"/>
      <c r="S154" s="191"/>
      <c r="T154" s="191"/>
      <c r="U154" s="152"/>
      <c r="V154" s="18"/>
    </row>
    <row r="155" spans="2:22" hidden="1" x14ac:dyDescent="0.2">
      <c r="B155" s="7"/>
      <c r="C155" s="152"/>
      <c r="D155" s="191"/>
      <c r="E155" s="191"/>
      <c r="F155" s="191"/>
      <c r="G155" s="191"/>
      <c r="H155" s="191"/>
      <c r="I155" s="191"/>
      <c r="J155" s="191"/>
      <c r="K155" s="191"/>
      <c r="L155" s="191"/>
      <c r="M155" s="191"/>
      <c r="N155" s="191"/>
      <c r="O155" s="191"/>
      <c r="P155" s="191"/>
      <c r="Q155" s="191"/>
      <c r="R155" s="191"/>
      <c r="S155" s="191"/>
      <c r="T155" s="191"/>
      <c r="U155" s="152"/>
      <c r="V155" s="18"/>
    </row>
    <row r="156" spans="2:22" hidden="1" x14ac:dyDescent="0.2">
      <c r="B156" s="7"/>
      <c r="C156" s="152"/>
      <c r="D156" s="191"/>
      <c r="E156" s="191"/>
      <c r="F156" s="191"/>
      <c r="G156" s="191"/>
      <c r="H156" s="191"/>
      <c r="I156" s="191"/>
      <c r="J156" s="191"/>
      <c r="K156" s="191"/>
      <c r="L156" s="191"/>
      <c r="M156" s="191"/>
      <c r="N156" s="191"/>
      <c r="O156" s="191"/>
      <c r="P156" s="191"/>
      <c r="Q156" s="191"/>
      <c r="R156" s="191"/>
      <c r="S156" s="191"/>
      <c r="T156" s="191"/>
      <c r="U156" s="152"/>
      <c r="V156" s="18"/>
    </row>
    <row r="157" spans="2:22" hidden="1" x14ac:dyDescent="0.2">
      <c r="B157" s="7"/>
      <c r="C157" s="152"/>
      <c r="D157" s="191"/>
      <c r="E157" s="191"/>
      <c r="F157" s="191"/>
      <c r="G157" s="191"/>
      <c r="H157" s="191"/>
      <c r="I157" s="191"/>
      <c r="J157" s="191"/>
      <c r="K157" s="191"/>
      <c r="L157" s="191"/>
      <c r="M157" s="191"/>
      <c r="N157" s="191"/>
      <c r="O157" s="191"/>
      <c r="P157" s="191"/>
      <c r="Q157" s="191"/>
      <c r="R157" s="191"/>
      <c r="S157" s="191"/>
      <c r="T157" s="191"/>
      <c r="U157" s="152"/>
      <c r="V157" s="18"/>
    </row>
    <row r="158" spans="2:22" hidden="1" x14ac:dyDescent="0.2">
      <c r="C158" s="152"/>
      <c r="D158" s="191"/>
      <c r="E158" s="191"/>
      <c r="F158" s="191"/>
      <c r="G158" s="191"/>
      <c r="H158" s="191"/>
      <c r="I158" s="191"/>
      <c r="J158" s="191"/>
      <c r="K158" s="191"/>
      <c r="L158" s="191"/>
      <c r="M158" s="191"/>
      <c r="N158" s="191"/>
      <c r="O158" s="191"/>
      <c r="P158" s="191"/>
      <c r="Q158" s="191"/>
      <c r="R158" s="191"/>
      <c r="S158" s="191"/>
      <c r="T158" s="191"/>
      <c r="U158" s="152"/>
      <c r="V158" s="18"/>
    </row>
    <row r="159" spans="2:22" hidden="1" x14ac:dyDescent="0.2">
      <c r="C159" s="152"/>
      <c r="D159" s="191"/>
      <c r="E159" s="191"/>
      <c r="F159" s="191"/>
      <c r="G159" s="191"/>
      <c r="H159" s="191"/>
      <c r="I159" s="191"/>
      <c r="J159" s="191"/>
      <c r="K159" s="191"/>
      <c r="L159" s="191"/>
      <c r="M159" s="191"/>
      <c r="N159" s="191"/>
      <c r="O159" s="191"/>
      <c r="P159" s="191"/>
      <c r="Q159" s="191"/>
      <c r="R159" s="191"/>
      <c r="S159" s="191"/>
      <c r="T159" s="191"/>
      <c r="U159" s="152"/>
      <c r="V159" s="18"/>
    </row>
    <row r="160" spans="2:22" hidden="1" x14ac:dyDescent="0.2">
      <c r="C160" s="152"/>
      <c r="D160" s="191"/>
      <c r="E160" s="191"/>
      <c r="F160" s="191"/>
      <c r="G160" s="191"/>
      <c r="H160" s="191"/>
      <c r="I160" s="191"/>
      <c r="J160" s="191"/>
      <c r="K160" s="191"/>
      <c r="L160" s="191"/>
      <c r="M160" s="191"/>
      <c r="N160" s="191"/>
      <c r="O160" s="191"/>
      <c r="P160" s="191"/>
      <c r="Q160" s="191"/>
      <c r="R160" s="191"/>
      <c r="S160" s="191"/>
      <c r="T160" s="191"/>
      <c r="U160" s="152"/>
      <c r="V160" s="18"/>
    </row>
    <row r="161" spans="3:22" hidden="1" x14ac:dyDescent="0.2">
      <c r="C161" s="152"/>
      <c r="D161" s="191"/>
      <c r="E161" s="191"/>
      <c r="F161" s="191"/>
      <c r="G161" s="191"/>
      <c r="H161" s="191"/>
      <c r="I161" s="191"/>
      <c r="J161" s="191"/>
      <c r="K161" s="191"/>
      <c r="L161" s="191"/>
      <c r="M161" s="191"/>
      <c r="N161" s="191"/>
      <c r="O161" s="191"/>
      <c r="P161" s="191"/>
      <c r="Q161" s="191"/>
      <c r="R161" s="191"/>
      <c r="S161" s="191"/>
      <c r="T161" s="191"/>
      <c r="U161" s="152"/>
      <c r="V161" s="18"/>
    </row>
    <row r="162" spans="3:22" hidden="1" x14ac:dyDescent="0.2">
      <c r="C162" s="152"/>
      <c r="D162" s="191"/>
      <c r="E162" s="191"/>
      <c r="F162" s="191"/>
      <c r="G162" s="191"/>
      <c r="H162" s="191"/>
      <c r="I162" s="191"/>
      <c r="J162" s="191"/>
      <c r="K162" s="191"/>
      <c r="L162" s="191"/>
      <c r="M162" s="191"/>
      <c r="N162" s="191"/>
      <c r="O162" s="191"/>
      <c r="P162" s="191"/>
      <c r="Q162" s="191"/>
      <c r="R162" s="191"/>
      <c r="S162" s="191"/>
      <c r="T162" s="191"/>
      <c r="U162" s="152"/>
      <c r="V162" s="18"/>
    </row>
    <row r="163" spans="3:22" hidden="1" x14ac:dyDescent="0.2">
      <c r="C163" s="152"/>
      <c r="D163" s="191"/>
      <c r="E163" s="191"/>
      <c r="F163" s="191"/>
      <c r="G163" s="191"/>
      <c r="H163" s="191"/>
      <c r="I163" s="191"/>
      <c r="J163" s="191"/>
      <c r="K163" s="191"/>
      <c r="L163" s="191"/>
      <c r="M163" s="191"/>
      <c r="N163" s="191"/>
      <c r="O163" s="191"/>
      <c r="P163" s="191"/>
      <c r="Q163" s="191"/>
      <c r="R163" s="191"/>
      <c r="S163" s="191"/>
      <c r="T163" s="191"/>
      <c r="U163" s="152"/>
      <c r="V163" s="19"/>
    </row>
    <row r="164" spans="3:22" hidden="1" x14ac:dyDescent="0.2">
      <c r="C164" s="152"/>
      <c r="D164" s="191"/>
      <c r="E164" s="191"/>
      <c r="F164" s="191"/>
      <c r="G164" s="191"/>
      <c r="H164" s="191"/>
      <c r="I164" s="191"/>
      <c r="J164" s="191"/>
      <c r="K164" s="191"/>
      <c r="L164" s="191"/>
      <c r="M164" s="191"/>
      <c r="N164" s="191"/>
      <c r="O164" s="191"/>
      <c r="P164" s="191"/>
      <c r="Q164" s="191"/>
      <c r="R164" s="191"/>
      <c r="S164" s="191"/>
      <c r="T164" s="191"/>
      <c r="U164" s="152"/>
      <c r="V164" s="11"/>
    </row>
    <row r="165" spans="3:22" hidden="1" x14ac:dyDescent="0.2">
      <c r="C165" s="152"/>
      <c r="D165" s="191"/>
      <c r="E165" s="191"/>
      <c r="F165" s="191"/>
      <c r="G165" s="191"/>
      <c r="H165" s="191"/>
      <c r="I165" s="191"/>
      <c r="J165" s="191"/>
      <c r="K165" s="191"/>
      <c r="L165" s="191"/>
      <c r="M165" s="191"/>
      <c r="N165" s="191"/>
      <c r="O165" s="191"/>
      <c r="P165" s="191"/>
      <c r="Q165" s="191"/>
      <c r="R165" s="191"/>
      <c r="S165" s="191"/>
      <c r="T165" s="191"/>
      <c r="U165" s="152"/>
      <c r="V165" s="11"/>
    </row>
    <row r="166" spans="3:22" hidden="1" x14ac:dyDescent="0.2">
      <c r="C166" s="152"/>
      <c r="D166" s="191"/>
      <c r="E166" s="191"/>
      <c r="F166" s="191"/>
      <c r="G166" s="191"/>
      <c r="H166" s="191"/>
      <c r="I166" s="191"/>
      <c r="J166" s="191"/>
      <c r="K166" s="191"/>
      <c r="L166" s="191"/>
      <c r="M166" s="191"/>
      <c r="N166" s="191"/>
      <c r="O166" s="191"/>
      <c r="P166" s="191"/>
      <c r="Q166" s="191"/>
      <c r="R166" s="191"/>
      <c r="S166" s="191"/>
      <c r="T166" s="191"/>
      <c r="U166" s="152"/>
      <c r="V166" s="11"/>
    </row>
    <row r="167" spans="3:22" hidden="1" x14ac:dyDescent="0.2">
      <c r="C167" s="152"/>
      <c r="D167" s="191"/>
      <c r="E167" s="191"/>
      <c r="F167" s="191"/>
      <c r="G167" s="191"/>
      <c r="H167" s="191"/>
      <c r="I167" s="191"/>
      <c r="J167" s="191"/>
      <c r="K167" s="191"/>
      <c r="L167" s="191"/>
      <c r="M167" s="191"/>
      <c r="N167" s="191"/>
      <c r="O167" s="191"/>
      <c r="P167" s="191"/>
      <c r="Q167" s="191"/>
      <c r="R167" s="191"/>
      <c r="S167" s="191"/>
      <c r="T167" s="191"/>
      <c r="U167" s="152"/>
      <c r="V167" s="11"/>
    </row>
    <row r="168" spans="3:22" hidden="1" x14ac:dyDescent="0.2">
      <c r="C168" s="152"/>
      <c r="D168" s="191"/>
      <c r="E168" s="191"/>
      <c r="F168" s="191"/>
      <c r="G168" s="191"/>
      <c r="H168" s="191"/>
      <c r="I168" s="191"/>
      <c r="J168" s="191"/>
      <c r="K168" s="191"/>
      <c r="L168" s="191"/>
      <c r="M168" s="191"/>
      <c r="N168" s="191"/>
      <c r="O168" s="191"/>
      <c r="P168" s="191"/>
      <c r="Q168" s="191"/>
      <c r="R168" s="191"/>
      <c r="S168" s="191"/>
      <c r="T168" s="191"/>
      <c r="U168" s="152"/>
      <c r="V168" s="14"/>
    </row>
    <row r="169" spans="3:22" hidden="1" x14ac:dyDescent="0.2">
      <c r="C169" s="152"/>
      <c r="D169" s="191"/>
      <c r="E169" s="191"/>
      <c r="F169" s="191"/>
      <c r="G169" s="191"/>
      <c r="H169" s="191"/>
      <c r="I169" s="191"/>
      <c r="J169" s="191"/>
      <c r="K169" s="191"/>
      <c r="L169" s="191"/>
      <c r="M169" s="191"/>
      <c r="N169" s="191"/>
      <c r="O169" s="191"/>
      <c r="P169" s="191"/>
      <c r="Q169" s="191"/>
      <c r="R169" s="191"/>
      <c r="S169" s="191"/>
      <c r="T169" s="191"/>
      <c r="U169" s="152"/>
      <c r="V169" s="14"/>
    </row>
    <row r="170" spans="3:22" hidden="1" x14ac:dyDescent="0.2">
      <c r="C170" s="152"/>
      <c r="D170" s="191"/>
      <c r="E170" s="191"/>
      <c r="F170" s="191"/>
      <c r="G170" s="191"/>
      <c r="H170" s="191"/>
      <c r="I170" s="191"/>
      <c r="J170" s="191"/>
      <c r="K170" s="191"/>
      <c r="L170" s="191"/>
      <c r="M170" s="191"/>
      <c r="N170" s="191"/>
      <c r="O170" s="191"/>
      <c r="P170" s="191"/>
      <c r="Q170" s="191"/>
      <c r="R170" s="191"/>
      <c r="S170" s="191"/>
      <c r="T170" s="191"/>
      <c r="U170" s="152"/>
      <c r="V170" s="14"/>
    </row>
    <row r="171" spans="3:22" hidden="1" x14ac:dyDescent="0.2">
      <c r="C171" s="152"/>
      <c r="D171" s="191"/>
      <c r="E171" s="191"/>
      <c r="F171" s="191"/>
      <c r="G171" s="191"/>
      <c r="H171" s="191"/>
      <c r="I171" s="191"/>
      <c r="J171" s="191"/>
      <c r="K171" s="191"/>
      <c r="L171" s="191"/>
      <c r="M171" s="191"/>
      <c r="N171" s="191"/>
      <c r="O171" s="191"/>
      <c r="P171" s="191"/>
      <c r="Q171" s="191"/>
      <c r="R171" s="191"/>
      <c r="S171" s="191"/>
      <c r="T171" s="191"/>
      <c r="U171" s="152"/>
      <c r="V171" s="14"/>
    </row>
    <row r="172" spans="3:22" hidden="1" x14ac:dyDescent="0.2">
      <c r="C172" s="152"/>
      <c r="D172" s="191"/>
      <c r="E172" s="191"/>
      <c r="F172" s="191"/>
      <c r="G172" s="191"/>
      <c r="H172" s="191"/>
      <c r="I172" s="191"/>
      <c r="J172" s="191"/>
      <c r="K172" s="191"/>
      <c r="L172" s="191"/>
      <c r="M172" s="191"/>
      <c r="N172" s="191"/>
      <c r="O172" s="191"/>
      <c r="P172" s="191"/>
      <c r="Q172" s="191"/>
      <c r="R172" s="191"/>
      <c r="S172" s="191"/>
      <c r="T172" s="191"/>
      <c r="U172" s="152"/>
      <c r="V172" s="14"/>
    </row>
    <row r="173" spans="3:22" hidden="1" x14ac:dyDescent="0.2">
      <c r="C173" s="152"/>
      <c r="D173" s="191"/>
      <c r="E173" s="191"/>
      <c r="F173" s="191"/>
      <c r="G173" s="191"/>
      <c r="H173" s="191"/>
      <c r="I173" s="191"/>
      <c r="J173" s="191"/>
      <c r="K173" s="191"/>
      <c r="L173" s="191"/>
      <c r="M173" s="191"/>
      <c r="N173" s="191"/>
      <c r="O173" s="191"/>
      <c r="P173" s="191"/>
      <c r="Q173" s="191"/>
      <c r="R173" s="191"/>
      <c r="S173" s="191"/>
      <c r="T173" s="191"/>
      <c r="U173" s="152"/>
      <c r="V173" s="14"/>
    </row>
    <row r="174" spans="3:22" hidden="1" x14ac:dyDescent="0.2">
      <c r="C174" s="152"/>
      <c r="D174" s="191"/>
      <c r="E174" s="191"/>
      <c r="F174" s="191"/>
      <c r="G174" s="191"/>
      <c r="H174" s="191"/>
      <c r="I174" s="191"/>
      <c r="J174" s="191"/>
      <c r="K174" s="191"/>
      <c r="L174" s="191"/>
      <c r="M174" s="191"/>
      <c r="N174" s="191"/>
      <c r="O174" s="191"/>
      <c r="P174" s="191"/>
      <c r="Q174" s="191"/>
      <c r="R174" s="191"/>
      <c r="S174" s="191"/>
      <c r="T174" s="191"/>
      <c r="U174" s="152"/>
      <c r="V174" s="14"/>
    </row>
    <row r="175" spans="3:22" hidden="1" x14ac:dyDescent="0.2">
      <c r="C175" s="152"/>
      <c r="D175" s="191"/>
      <c r="E175" s="191"/>
      <c r="F175" s="191"/>
      <c r="G175" s="191"/>
      <c r="H175" s="191"/>
      <c r="I175" s="191"/>
      <c r="J175" s="191"/>
      <c r="K175" s="191"/>
      <c r="L175" s="191"/>
      <c r="M175" s="191"/>
      <c r="N175" s="191"/>
      <c r="O175" s="191"/>
      <c r="P175" s="191"/>
      <c r="Q175" s="191"/>
      <c r="R175" s="191"/>
      <c r="S175" s="191"/>
      <c r="T175" s="191"/>
      <c r="U175" s="152"/>
      <c r="V175" s="14"/>
    </row>
    <row r="176" spans="3:22" hidden="1" x14ac:dyDescent="0.2">
      <c r="C176" s="152"/>
      <c r="D176" s="191"/>
      <c r="E176" s="191"/>
      <c r="F176" s="191"/>
      <c r="G176" s="191"/>
      <c r="H176" s="191"/>
      <c r="I176" s="191"/>
      <c r="J176" s="191"/>
      <c r="K176" s="191"/>
      <c r="L176" s="191"/>
      <c r="M176" s="191"/>
      <c r="N176" s="191"/>
      <c r="O176" s="191"/>
      <c r="P176" s="191"/>
      <c r="Q176" s="191"/>
      <c r="R176" s="191"/>
      <c r="S176" s="191"/>
      <c r="T176" s="191"/>
      <c r="U176" s="152"/>
      <c r="V176" s="14"/>
    </row>
    <row r="177" spans="2:22" hidden="1" x14ac:dyDescent="0.2">
      <c r="C177" s="152"/>
      <c r="D177" s="191"/>
      <c r="E177" s="191"/>
      <c r="F177" s="191"/>
      <c r="G177" s="191"/>
      <c r="H177" s="191"/>
      <c r="I177" s="191"/>
      <c r="J177" s="191"/>
      <c r="K177" s="191"/>
      <c r="L177" s="191"/>
      <c r="M177" s="191"/>
      <c r="N177" s="191"/>
      <c r="O177" s="191"/>
      <c r="P177" s="191"/>
      <c r="Q177" s="191"/>
      <c r="R177" s="191"/>
      <c r="S177" s="191"/>
      <c r="T177" s="191"/>
      <c r="U177" s="152"/>
      <c r="V177" s="14"/>
    </row>
    <row r="178" spans="2:22" hidden="1" x14ac:dyDescent="0.2">
      <c r="C178" s="152"/>
      <c r="D178" s="191"/>
      <c r="E178" s="191"/>
      <c r="F178" s="191"/>
      <c r="G178" s="191"/>
      <c r="H178" s="191"/>
      <c r="I178" s="191"/>
      <c r="J178" s="191"/>
      <c r="K178" s="191"/>
      <c r="L178" s="191"/>
      <c r="M178" s="191"/>
      <c r="N178" s="191"/>
      <c r="O178" s="191"/>
      <c r="P178" s="191"/>
      <c r="Q178" s="191"/>
      <c r="R178" s="191"/>
      <c r="S178" s="191"/>
      <c r="T178" s="191"/>
      <c r="U178" s="152"/>
      <c r="V178" s="14"/>
    </row>
    <row r="179" spans="2:22" hidden="1" x14ac:dyDescent="0.2">
      <c r="C179" s="152"/>
      <c r="D179" s="191"/>
      <c r="E179" s="191"/>
      <c r="F179" s="191"/>
      <c r="G179" s="191"/>
      <c r="H179" s="191"/>
      <c r="I179" s="191"/>
      <c r="J179" s="191"/>
      <c r="K179" s="191"/>
      <c r="L179" s="191"/>
      <c r="M179" s="191"/>
      <c r="N179" s="191"/>
      <c r="O179" s="191"/>
      <c r="P179" s="191"/>
      <c r="Q179" s="191"/>
      <c r="R179" s="191"/>
      <c r="S179" s="191"/>
      <c r="T179" s="191"/>
      <c r="U179" s="152"/>
      <c r="V179" s="20"/>
    </row>
    <row r="180" spans="2:22" ht="15.75" thickBot="1" x14ac:dyDescent="0.25">
      <c r="C180" s="152"/>
      <c r="D180" s="191"/>
      <c r="E180" s="191"/>
      <c r="F180" s="191"/>
      <c r="G180" s="191"/>
      <c r="H180" s="191"/>
      <c r="I180" s="191"/>
      <c r="J180" s="191"/>
      <c r="K180" s="191"/>
      <c r="L180" s="191"/>
      <c r="M180" s="191"/>
      <c r="N180" s="191"/>
      <c r="O180" s="191"/>
      <c r="P180" s="191"/>
      <c r="Q180" s="191"/>
      <c r="R180" s="191"/>
      <c r="S180" s="191"/>
      <c r="T180" s="191"/>
      <c r="U180" s="152"/>
      <c r="V180" s="9"/>
    </row>
    <row r="181" spans="2:22" ht="16.5" thickBot="1" x14ac:dyDescent="0.3">
      <c r="C181" s="154" t="s">
        <v>80</v>
      </c>
      <c r="D181" s="155" t="s">
        <v>8</v>
      </c>
      <c r="E181" s="155" t="s">
        <v>9</v>
      </c>
      <c r="F181" s="155" t="s">
        <v>10</v>
      </c>
      <c r="G181" s="155" t="s">
        <v>11</v>
      </c>
      <c r="H181" s="155" t="s">
        <v>12</v>
      </c>
      <c r="I181" s="155" t="s">
        <v>13</v>
      </c>
      <c r="J181" s="155" t="s">
        <v>14</v>
      </c>
      <c r="K181" s="155" t="s">
        <v>15</v>
      </c>
      <c r="L181" s="155" t="s">
        <v>16</v>
      </c>
      <c r="M181" s="155" t="s">
        <v>17</v>
      </c>
      <c r="N181" s="155" t="s">
        <v>18</v>
      </c>
      <c r="O181" s="155" t="s">
        <v>19</v>
      </c>
      <c r="P181" s="155" t="s">
        <v>20</v>
      </c>
      <c r="Q181" s="155" t="s">
        <v>21</v>
      </c>
      <c r="R181" s="155" t="s">
        <v>22</v>
      </c>
      <c r="S181" s="155" t="s">
        <v>23</v>
      </c>
      <c r="T181" s="156" t="s">
        <v>24</v>
      </c>
      <c r="U181" s="157"/>
    </row>
    <row r="182" spans="2:22" ht="15.75" x14ac:dyDescent="0.25">
      <c r="C182" s="158" t="s">
        <v>81</v>
      </c>
      <c r="D182" s="159">
        <f>(D56)*$D$92</f>
        <v>255676.26554798483</v>
      </c>
      <c r="E182" s="159">
        <f t="shared" ref="E182:S182" si="11">(E56)*$D$92</f>
        <v>534113.02951270435</v>
      </c>
      <c r="F182" s="159">
        <f t="shared" si="11"/>
        <v>1402805.3857514064</v>
      </c>
      <c r="G182" s="159">
        <f t="shared" si="11"/>
        <v>302714.6289425696</v>
      </c>
      <c r="H182" s="159">
        <f t="shared" si="11"/>
        <v>258710.99867021613</v>
      </c>
      <c r="I182" s="159">
        <f t="shared" si="11"/>
        <v>837586.34173583169</v>
      </c>
      <c r="J182" s="159">
        <f t="shared" si="11"/>
        <v>2465720.6618129103</v>
      </c>
      <c r="K182" s="159">
        <f t="shared" si="11"/>
        <v>184360.03717554992</v>
      </c>
      <c r="L182" s="159">
        <f t="shared" si="11"/>
        <v>125941.42457259788</v>
      </c>
      <c r="M182" s="159">
        <f t="shared" si="11"/>
        <v>1079606.3082337759</v>
      </c>
      <c r="N182" s="159">
        <f t="shared" si="11"/>
        <v>212431.31855618919</v>
      </c>
      <c r="O182" s="159">
        <f t="shared" si="11"/>
        <v>984012.2148834907</v>
      </c>
      <c r="P182" s="159">
        <f t="shared" si="11"/>
        <v>49314.41323625821</v>
      </c>
      <c r="Q182" s="159">
        <f t="shared" si="11"/>
        <v>553080.11152664979</v>
      </c>
      <c r="R182" s="159">
        <f t="shared" si="11"/>
        <v>223052.88448399864</v>
      </c>
      <c r="S182" s="159">
        <f t="shared" si="11"/>
        <v>6362317.9907578668</v>
      </c>
      <c r="T182" s="160">
        <f>SUM(D182:S182)</f>
        <v>15831444.015400004</v>
      </c>
      <c r="U182" s="161"/>
    </row>
    <row r="183" spans="2:22" ht="15.75" x14ac:dyDescent="0.25">
      <c r="C183" s="162"/>
      <c r="D183" s="163"/>
      <c r="E183" s="163"/>
      <c r="F183" s="163"/>
      <c r="G183" s="163"/>
      <c r="H183" s="163"/>
      <c r="I183" s="163"/>
      <c r="J183" s="163"/>
      <c r="K183" s="163"/>
      <c r="L183" s="163"/>
      <c r="M183" s="163"/>
      <c r="N183" s="163"/>
      <c r="O183" s="163"/>
      <c r="P183" s="163"/>
      <c r="Q183" s="163"/>
      <c r="R183" s="163"/>
      <c r="S183" s="163"/>
      <c r="T183" s="164"/>
      <c r="U183" s="165"/>
    </row>
    <row r="184" spans="2:22" ht="15.75" x14ac:dyDescent="0.25">
      <c r="C184" s="166" t="s">
        <v>83</v>
      </c>
      <c r="D184" s="163">
        <f>(-D182+D87)*Kontrollpanel!$D$39+(Kontrollpanel!$E$40*Kontrollpanel!$D$41*'4. Förslag, utjämning (2013)'!D47)</f>
        <v>-14464.042896190134</v>
      </c>
      <c r="E184" s="163">
        <f>(-E182+E87)*Kontrollpanel!$D$39+(Kontrollpanel!$E$40*Kontrollpanel!$D$41*'4. Förslag, utjämning (2013)'!E47)</f>
        <v>131056.5401367422</v>
      </c>
      <c r="F184" s="163">
        <f>(-F182+F87)*Kontrollpanel!$D$39+(Kontrollpanel!$E$40*Kontrollpanel!$D$41*'4. Förslag, utjämning (2013)'!F47)</f>
        <v>177473.7839315859</v>
      </c>
      <c r="G184" s="163">
        <f>(-G182+G87)*Kontrollpanel!$D$39+(Kontrollpanel!$E$40*Kontrollpanel!$D$41*'4. Förslag, utjämning (2013)'!G47)</f>
        <v>-4657.4276426702418</v>
      </c>
      <c r="H184" s="163">
        <f>(-H182+H87)*Kontrollpanel!$D$39+(Kontrollpanel!$E$40*Kontrollpanel!$D$41*'4. Förslag, utjämning (2013)'!H47)</f>
        <v>405536.98389435961</v>
      </c>
      <c r="I184" s="163">
        <f>(-I182+I87)*Kontrollpanel!$D$39+(Kontrollpanel!$E$40*Kontrollpanel!$D$41*'4. Förslag, utjämning (2013)'!I47)</f>
        <v>129193.69419170942</v>
      </c>
      <c r="J184" s="163">
        <f>(-J182+J87)*Kontrollpanel!$D$39+(Kontrollpanel!$E$40*Kontrollpanel!$D$41*'4. Förslag, utjämning (2013)'!J47)</f>
        <v>-203196.50767839182</v>
      </c>
      <c r="K184" s="163">
        <f>(-K182+K87)*Kontrollpanel!$D$39+(Kontrollpanel!$E$40*Kontrollpanel!$D$41*'4. Förslag, utjämning (2013)'!K47)</f>
        <v>-34574.072474107459</v>
      </c>
      <c r="L184" s="163">
        <f>(-L182+L87)*Kontrollpanel!$D$39+(Kontrollpanel!$E$40*Kontrollpanel!$D$41*'4. Förslag, utjämning (2013)'!L47)</f>
        <v>-37632.288192188622</v>
      </c>
      <c r="M184" s="163">
        <f>(-M182+M87)*Kontrollpanel!$D$39+(Kontrollpanel!$E$40*Kontrollpanel!$D$41*'4. Förslag, utjämning (2013)'!M47)</f>
        <v>-105922.86926195433</v>
      </c>
      <c r="N184" s="163">
        <f>(-N182+N87)*Kontrollpanel!$D$39+(Kontrollpanel!$E$40*Kontrollpanel!$D$41*'4. Förslag, utjämning (2013)'!N47)</f>
        <v>-1170.1246615229611</v>
      </c>
      <c r="O184" s="163">
        <f>(-O182+O87)*Kontrollpanel!$D$39+(Kontrollpanel!$E$40*Kontrollpanel!$D$41*'4. Förslag, utjämning (2013)'!O47)</f>
        <v>-85680.18816426897</v>
      </c>
      <c r="P184" s="163">
        <f>(-P182+P87)*Kontrollpanel!$D$39+(Kontrollpanel!$E$40*Kontrollpanel!$D$41*'4. Förslag, utjämning (2013)'!P47)</f>
        <v>-16893.064653567839</v>
      </c>
      <c r="Q184" s="163">
        <f>(-Q182+Q87)*Kontrollpanel!$D$39+(Kontrollpanel!$E$40*Kontrollpanel!$D$41*'4. Förslag, utjämning (2013)'!Q47)</f>
        <v>382477.78257767769</v>
      </c>
      <c r="R184" s="163">
        <f>(-R182+R87)*Kontrollpanel!$D$39+(Kontrollpanel!$E$40*Kontrollpanel!$D$41*'4. Förslag, utjämning (2013)'!R47)</f>
        <v>-34074.755894599111</v>
      </c>
      <c r="S184" s="163">
        <f>(-S182+S87)*Kontrollpanel!$D$39+(Kontrollpanel!$E$40*Kontrollpanel!$D$41*'4. Förslag, utjämning (2013)'!S47)</f>
        <v>1891141.0413873864</v>
      </c>
      <c r="T184" s="198">
        <f>SUM(D184:S184)</f>
        <v>2578614.4845999996</v>
      </c>
      <c r="U184" s="165"/>
    </row>
    <row r="185" spans="2:22" ht="15.75" x14ac:dyDescent="0.25">
      <c r="C185" s="166"/>
      <c r="D185" s="163">
        <v>-59150.133746655913</v>
      </c>
      <c r="E185" s="163">
        <v>39022.036540829737</v>
      </c>
      <c r="F185" s="163">
        <v>-42095.004187014281</v>
      </c>
      <c r="G185" s="163">
        <v>-54370.357382479087</v>
      </c>
      <c r="H185" s="163">
        <v>331142.39824196353</v>
      </c>
      <c r="I185" s="163">
        <v>-15636.88280181745</v>
      </c>
      <c r="J185" s="163">
        <v>-543879.121304514</v>
      </c>
      <c r="K185" s="163">
        <v>-58116.884457938781</v>
      </c>
      <c r="L185" s="163">
        <v>-60082.264856257156</v>
      </c>
      <c r="M185" s="163">
        <v>-252168.66495817236</v>
      </c>
      <c r="N185" s="163">
        <v>-37246.448150664582</v>
      </c>
      <c r="O185" s="163">
        <v>-227644.98166376492</v>
      </c>
      <c r="P185" s="163">
        <v>-24718.081561849755</v>
      </c>
      <c r="Q185" s="163">
        <v>258501.10281965265</v>
      </c>
      <c r="R185" s="163">
        <v>-70249.13604823983</v>
      </c>
      <c r="S185" s="163">
        <v>816692.42351692182</v>
      </c>
      <c r="T185" s="164"/>
      <c r="U185" s="165"/>
    </row>
    <row r="186" spans="2:22" ht="15.75" x14ac:dyDescent="0.25">
      <c r="C186" s="166"/>
      <c r="D186" s="163">
        <f>D184/0.6</f>
        <v>-24106.738160316891</v>
      </c>
      <c r="E186" s="163">
        <f t="shared" ref="E186:S186" si="12">E184/0.6</f>
        <v>218427.56689457034</v>
      </c>
      <c r="F186" s="163">
        <f t="shared" si="12"/>
        <v>295789.6398859765</v>
      </c>
      <c r="G186" s="163">
        <f t="shared" si="12"/>
        <v>-7762.3794044504029</v>
      </c>
      <c r="H186" s="163">
        <f t="shared" si="12"/>
        <v>675894.97315726604</v>
      </c>
      <c r="I186" s="163">
        <f t="shared" si="12"/>
        <v>215322.82365284904</v>
      </c>
      <c r="J186" s="163">
        <f t="shared" si="12"/>
        <v>-338660.84613065305</v>
      </c>
      <c r="K186" s="163">
        <f t="shared" si="12"/>
        <v>-57623.454123512434</v>
      </c>
      <c r="L186" s="163">
        <f t="shared" si="12"/>
        <v>-62720.480320314375</v>
      </c>
      <c r="M186" s="163">
        <f t="shared" si="12"/>
        <v>-176538.11543659057</v>
      </c>
      <c r="N186" s="163">
        <f t="shared" si="12"/>
        <v>-1950.2077692049352</v>
      </c>
      <c r="O186" s="163">
        <f t="shared" si="12"/>
        <v>-142800.31360711495</v>
      </c>
      <c r="P186" s="163">
        <f t="shared" si="12"/>
        <v>-28155.107755946399</v>
      </c>
      <c r="Q186" s="163">
        <f t="shared" si="12"/>
        <v>637462.97096279613</v>
      </c>
      <c r="R186" s="163">
        <f t="shared" si="12"/>
        <v>-56791.259824331857</v>
      </c>
      <c r="S186" s="163">
        <f t="shared" si="12"/>
        <v>3151901.7356456439</v>
      </c>
      <c r="T186" s="167"/>
      <c r="U186" s="165"/>
    </row>
    <row r="187" spans="2:22" ht="16.5" thickBot="1" x14ac:dyDescent="0.3">
      <c r="B187" s="9"/>
      <c r="C187" s="168"/>
      <c r="D187" s="169">
        <f>-D182+D87</f>
        <v>-86320.636147984827</v>
      </c>
      <c r="E187" s="169">
        <f t="shared" ref="E187:S187" si="13">-E182+E87</f>
        <v>67785.515287295682</v>
      </c>
      <c r="F187" s="169">
        <f t="shared" si="13"/>
        <v>-78483.341951406328</v>
      </c>
      <c r="G187" s="169">
        <f t="shared" si="13"/>
        <v>-83020.575142569607</v>
      </c>
      <c r="H187" s="169">
        <f t="shared" si="13"/>
        <v>559074.33552978397</v>
      </c>
      <c r="I187" s="169">
        <f t="shared" si="13"/>
        <v>-11125.816935831681</v>
      </c>
      <c r="J187" s="169">
        <f t="shared" si="13"/>
        <v>-930479.01181291044</v>
      </c>
      <c r="K187" s="169">
        <f t="shared" si="13"/>
        <v>-99388.470575549931</v>
      </c>
      <c r="L187" s="169">
        <f t="shared" si="13"/>
        <v>-89454.675372597878</v>
      </c>
      <c r="M187" s="169">
        <f t="shared" si="13"/>
        <v>-433489.82563377591</v>
      </c>
      <c r="N187" s="169">
        <f t="shared" si="13"/>
        <v>-55031.982556189178</v>
      </c>
      <c r="O187" s="169">
        <f t="shared" si="13"/>
        <v>-378392.93348349072</v>
      </c>
      <c r="P187" s="169">
        <f t="shared" si="13"/>
        <v>-38346.710236258208</v>
      </c>
      <c r="Q187" s="169">
        <f t="shared" si="13"/>
        <v>449834.58827335027</v>
      </c>
      <c r="R187" s="169">
        <f t="shared" si="13"/>
        <v>-108316.08168399864</v>
      </c>
      <c r="S187" s="169">
        <f t="shared" si="13"/>
        <v>1315155.6224421328</v>
      </c>
      <c r="T187" s="192"/>
      <c r="U187" s="170"/>
    </row>
    <row r="188" spans="2:22" ht="15.75" x14ac:dyDescent="0.25">
      <c r="B188" s="9"/>
      <c r="C188" s="6"/>
      <c r="D188" s="151"/>
      <c r="E188" s="193"/>
      <c r="F188" s="150"/>
      <c r="G188" s="193"/>
      <c r="H188" s="194"/>
      <c r="I188" s="114"/>
      <c r="J188" s="9"/>
      <c r="K188" s="9"/>
      <c r="L188" s="9"/>
      <c r="M188" s="9"/>
      <c r="N188" s="9"/>
      <c r="O188" s="9"/>
      <c r="P188" s="9"/>
      <c r="Q188" s="9"/>
      <c r="R188" s="9"/>
    </row>
    <row r="189" spans="2:22" ht="15.75" x14ac:dyDescent="0.25">
      <c r="B189" s="9"/>
      <c r="C189" s="9"/>
      <c r="D189" s="151"/>
      <c r="E189" s="193"/>
      <c r="F189" s="194"/>
      <c r="G189" s="193"/>
      <c r="H189" s="194"/>
      <c r="I189" s="114"/>
      <c r="J189" s="9"/>
      <c r="K189" s="9"/>
      <c r="L189" s="9"/>
      <c r="M189" s="9"/>
      <c r="N189" s="9"/>
      <c r="O189" s="9"/>
      <c r="P189" s="9"/>
      <c r="Q189" s="9"/>
      <c r="R189" s="9"/>
    </row>
    <row r="190" spans="2:22" x14ac:dyDescent="0.2">
      <c r="B190" s="9"/>
      <c r="C190" s="9"/>
      <c r="D190" s="9">
        <v>-44541.448252360176</v>
      </c>
      <c r="E190" s="9">
        <v>34977.325888244573</v>
      </c>
      <c r="F190" s="9">
        <v>-40497.404446925735</v>
      </c>
      <c r="G190" s="9">
        <v>-42838.616773565889</v>
      </c>
      <c r="H190" s="9">
        <v>288482.3571333685</v>
      </c>
      <c r="I190" s="9">
        <v>-5740.9215388891753</v>
      </c>
      <c r="J190" s="9">
        <v>-480127.17009546171</v>
      </c>
      <c r="K190" s="9">
        <v>-51284.450816983757</v>
      </c>
      <c r="L190" s="36">
        <v>-46158.612492260516</v>
      </c>
      <c r="M190" s="1">
        <v>-223680.75002702849</v>
      </c>
      <c r="N190" s="9">
        <v>-28396.502998993616</v>
      </c>
      <c r="O190" s="36">
        <v>-195250.7536774812</v>
      </c>
      <c r="P190" s="9">
        <v>-19786.902481909234</v>
      </c>
      <c r="Q190" s="9">
        <v>232114.64754904874</v>
      </c>
      <c r="R190" s="9">
        <v>-55891.098148943311</v>
      </c>
      <c r="S190" s="1">
        <v>678620.30118014105</v>
      </c>
    </row>
    <row r="191" spans="2:22" x14ac:dyDescent="0.2">
      <c r="B191" s="9"/>
      <c r="C191" s="9"/>
      <c r="D191" s="9"/>
      <c r="E191" s="9"/>
      <c r="F191" s="9"/>
      <c r="G191" s="9"/>
      <c r="H191" s="9"/>
      <c r="I191" s="9"/>
      <c r="J191" s="9"/>
      <c r="K191" s="9"/>
      <c r="L191" s="36"/>
      <c r="N191" s="9"/>
      <c r="O191" s="36"/>
      <c r="P191" s="9"/>
      <c r="Q191" s="9"/>
      <c r="R191" s="9"/>
    </row>
    <row r="192" spans="2:22" x14ac:dyDescent="0.2">
      <c r="B192" s="9"/>
      <c r="C192" s="9"/>
      <c r="D192" s="9"/>
      <c r="E192" s="9"/>
      <c r="F192" s="9"/>
      <c r="G192" s="9"/>
      <c r="H192" s="9"/>
      <c r="I192" s="9"/>
      <c r="J192" s="9"/>
      <c r="K192" s="9"/>
      <c r="L192" s="36"/>
      <c r="O192" s="36"/>
    </row>
    <row r="193" spans="2:19" ht="16.5" thickBot="1" x14ac:dyDescent="0.3">
      <c r="B193" s="9"/>
      <c r="C193" s="9"/>
      <c r="D193" s="9"/>
      <c r="E193" s="5" t="s">
        <v>85</v>
      </c>
      <c r="F193" s="9"/>
      <c r="G193" s="9"/>
      <c r="H193" s="6"/>
      <c r="I193" s="9"/>
      <c r="J193" s="9"/>
      <c r="K193" s="9"/>
      <c r="L193" s="36"/>
      <c r="O193" s="36"/>
      <c r="S193" s="9"/>
    </row>
    <row r="194" spans="2:19" ht="16.5" thickBot="1" x14ac:dyDescent="0.3">
      <c r="B194" s="9"/>
      <c r="C194" s="9"/>
      <c r="D194" s="9"/>
      <c r="E194" s="89" t="s">
        <v>84</v>
      </c>
      <c r="F194" s="150"/>
      <c r="G194" s="150"/>
      <c r="H194" s="150"/>
      <c r="I194" s="150"/>
      <c r="J194" s="492"/>
      <c r="K194" s="9"/>
      <c r="L194" s="36"/>
      <c r="O194" s="36"/>
      <c r="S194" s="9"/>
    </row>
    <row r="195" spans="2:19" ht="15.75" x14ac:dyDescent="0.25">
      <c r="B195" s="9"/>
      <c r="C195" s="214" t="s">
        <v>8</v>
      </c>
      <c r="E195" s="220">
        <f>D184</f>
        <v>-14464.042896190134</v>
      </c>
      <c r="F195" s="193"/>
      <c r="G195" s="220">
        <f>D87</f>
        <v>169355.62940000001</v>
      </c>
      <c r="H195" s="193">
        <f>F218-G195</f>
        <v>41644.370599999995</v>
      </c>
      <c r="I195" s="193"/>
      <c r="J195" s="114"/>
      <c r="K195" s="9"/>
      <c r="L195" s="36"/>
      <c r="O195" s="36"/>
      <c r="P195" s="96"/>
      <c r="Q195" s="96"/>
      <c r="R195" s="96"/>
      <c r="S195" s="9"/>
    </row>
    <row r="196" spans="2:19" ht="15.75" x14ac:dyDescent="0.25">
      <c r="B196" s="9"/>
      <c r="C196" s="215" t="s">
        <v>9</v>
      </c>
      <c r="D196" s="36"/>
      <c r="E196" s="220">
        <f>E184</f>
        <v>131056.5401367422</v>
      </c>
      <c r="F196" s="193"/>
      <c r="G196" s="220">
        <f>E87</f>
        <v>601898.54480000003</v>
      </c>
      <c r="H196" s="193">
        <f t="shared" ref="H196:H210" si="14">F219-G196</f>
        <v>86995.955199999968</v>
      </c>
      <c r="I196" s="193"/>
      <c r="J196" s="114"/>
      <c r="K196" s="9"/>
      <c r="L196" s="36"/>
      <c r="O196" s="36"/>
      <c r="S196" s="9"/>
    </row>
    <row r="197" spans="2:19" ht="15.75" x14ac:dyDescent="0.25">
      <c r="B197" s="9"/>
      <c r="C197" s="215" t="s">
        <v>10</v>
      </c>
      <c r="E197" s="220">
        <f>F184</f>
        <v>177473.7839315859</v>
      </c>
      <c r="F197" s="193"/>
      <c r="G197" s="220">
        <f>F87</f>
        <v>1324322.0438000001</v>
      </c>
      <c r="H197" s="193">
        <f t="shared" si="14"/>
        <v>228487.9561999999</v>
      </c>
      <c r="I197" s="193"/>
      <c r="J197" s="114"/>
      <c r="K197" s="9"/>
      <c r="L197" s="36"/>
      <c r="O197" s="36"/>
      <c r="S197" s="9"/>
    </row>
    <row r="198" spans="2:19" ht="15.75" x14ac:dyDescent="0.25">
      <c r="B198" s="9"/>
      <c r="C198" s="215" t="s">
        <v>11</v>
      </c>
      <c r="E198" s="220">
        <f>G184</f>
        <v>-4657.4276426702418</v>
      </c>
      <c r="F198" s="193"/>
      <c r="G198" s="220">
        <f>G87</f>
        <v>219694.05379999999</v>
      </c>
      <c r="H198" s="193">
        <f t="shared" si="14"/>
        <v>49305.946200000006</v>
      </c>
      <c r="I198" s="193"/>
      <c r="J198" s="114"/>
      <c r="K198" s="9"/>
      <c r="L198" s="36"/>
      <c r="O198" s="36"/>
      <c r="S198" s="9"/>
    </row>
    <row r="199" spans="2:19" ht="15.75" x14ac:dyDescent="0.25">
      <c r="B199" s="9"/>
      <c r="C199" s="215" t="s">
        <v>12</v>
      </c>
      <c r="D199" s="36"/>
      <c r="E199" s="220">
        <f>H184</f>
        <v>405536.98389435961</v>
      </c>
      <c r="F199" s="193"/>
      <c r="G199" s="220">
        <f>H87</f>
        <v>817785.33420000004</v>
      </c>
      <c r="H199" s="193">
        <f t="shared" si="14"/>
        <v>42138.665799999959</v>
      </c>
      <c r="I199" s="193"/>
      <c r="J199" s="114"/>
      <c r="K199" s="9"/>
      <c r="L199" s="36"/>
      <c r="O199" s="36"/>
      <c r="S199" s="9"/>
    </row>
    <row r="200" spans="2:19" ht="15.75" x14ac:dyDescent="0.25">
      <c r="B200" s="9"/>
      <c r="C200" s="215" t="s">
        <v>13</v>
      </c>
      <c r="E200" s="220">
        <f>I184</f>
        <v>129193.69419170942</v>
      </c>
      <c r="F200" s="193"/>
      <c r="G200" s="220">
        <f>I87</f>
        <v>826460.52480000001</v>
      </c>
      <c r="H200" s="193">
        <f t="shared" si="14"/>
        <v>136425.47519999999</v>
      </c>
      <c r="I200" s="193"/>
      <c r="J200" s="114"/>
      <c r="K200" s="9"/>
      <c r="S200" s="9"/>
    </row>
    <row r="201" spans="2:19" ht="15.75" x14ac:dyDescent="0.25">
      <c r="B201" s="9"/>
      <c r="C201" s="215" t="s">
        <v>14</v>
      </c>
      <c r="E201" s="220">
        <f>J184</f>
        <v>-203196.50767839182</v>
      </c>
      <c r="F201" s="193"/>
      <c r="G201" s="220">
        <f>J87</f>
        <v>1535241.65</v>
      </c>
      <c r="H201" s="193">
        <f t="shared" si="14"/>
        <v>401614.85000000009</v>
      </c>
      <c r="I201" s="193"/>
      <c r="J201" s="114"/>
      <c r="K201" s="9"/>
      <c r="S201" s="9"/>
    </row>
    <row r="202" spans="2:19" ht="15.75" x14ac:dyDescent="0.25">
      <c r="C202" s="215" t="s">
        <v>15</v>
      </c>
      <c r="E202" s="220">
        <f>K184</f>
        <v>-34574.072474107459</v>
      </c>
      <c r="F202" s="193"/>
      <c r="G202" s="220">
        <f>K87</f>
        <v>84971.566599999991</v>
      </c>
      <c r="H202" s="193">
        <f t="shared" si="14"/>
        <v>30028.433400000009</v>
      </c>
      <c r="I202" s="193"/>
      <c r="J202" s="114"/>
      <c r="K202" s="9"/>
      <c r="S202" s="9"/>
    </row>
    <row r="203" spans="2:19" ht="15.75" x14ac:dyDescent="0.25">
      <c r="C203" s="215" t="s">
        <v>16</v>
      </c>
      <c r="D203" s="9"/>
      <c r="E203" s="220">
        <f>L184</f>
        <v>-37632.288192188622</v>
      </c>
      <c r="F203" s="193"/>
      <c r="G203" s="220">
        <f>L87</f>
        <v>36486.749199999998</v>
      </c>
      <c r="H203" s="193">
        <f t="shared" si="14"/>
        <v>20513.250800000002</v>
      </c>
      <c r="I203" s="193"/>
      <c r="J203" s="114"/>
      <c r="K203" s="9"/>
      <c r="S203" s="9"/>
    </row>
    <row r="204" spans="2:19" ht="15.75" x14ac:dyDescent="0.25">
      <c r="C204" s="215" t="s">
        <v>17</v>
      </c>
      <c r="E204" s="220">
        <f>M184</f>
        <v>-105922.86926195433</v>
      </c>
      <c r="F204" s="193"/>
      <c r="G204" s="220">
        <f>M87</f>
        <v>646116.48259999999</v>
      </c>
      <c r="H204" s="193">
        <f t="shared" si="14"/>
        <v>175845.51740000001</v>
      </c>
      <c r="I204" s="193"/>
      <c r="J204" s="114"/>
      <c r="K204" s="9"/>
      <c r="S204" s="9"/>
    </row>
    <row r="205" spans="2:19" ht="15.75" x14ac:dyDescent="0.25">
      <c r="C205" s="215" t="s">
        <v>18</v>
      </c>
      <c r="E205" s="220">
        <f>N184</f>
        <v>-1170.1246615229611</v>
      </c>
      <c r="F205" s="193"/>
      <c r="G205" s="220">
        <f>N87</f>
        <v>157399.33600000001</v>
      </c>
      <c r="H205" s="193">
        <f t="shared" si="14"/>
        <v>34600.66399999999</v>
      </c>
      <c r="I205" s="193"/>
      <c r="J205" s="114"/>
      <c r="K205" s="9"/>
      <c r="S205" s="9"/>
    </row>
    <row r="206" spans="2:19" ht="15.75" x14ac:dyDescent="0.25">
      <c r="C206" s="215" t="s">
        <v>19</v>
      </c>
      <c r="E206" s="220">
        <f>O184</f>
        <v>-85680.18816426897</v>
      </c>
      <c r="F206" s="193"/>
      <c r="G206" s="220">
        <f>O87</f>
        <v>605619.28139999998</v>
      </c>
      <c r="H206" s="193">
        <f t="shared" si="14"/>
        <v>160275.21860000002</v>
      </c>
      <c r="I206" s="193"/>
      <c r="J206" s="114"/>
      <c r="K206" s="9"/>
      <c r="S206" s="9"/>
    </row>
    <row r="207" spans="2:19" ht="15.75" x14ac:dyDescent="0.25">
      <c r="C207" s="215" t="s">
        <v>20</v>
      </c>
      <c r="E207" s="220">
        <f>P184</f>
        <v>-16893.064653567839</v>
      </c>
      <c r="F207" s="193"/>
      <c r="G207" s="220">
        <f>P87</f>
        <v>10967.703</v>
      </c>
      <c r="H207" s="193">
        <f t="shared" si="14"/>
        <v>8032.2970000000005</v>
      </c>
      <c r="I207" s="193"/>
      <c r="J207" s="114"/>
      <c r="K207" s="9"/>
      <c r="S207" s="9"/>
    </row>
    <row r="208" spans="2:19" ht="15.75" x14ac:dyDescent="0.25">
      <c r="C208" s="215" t="s">
        <v>21</v>
      </c>
      <c r="E208" s="220">
        <f>Q184</f>
        <v>382477.78257767769</v>
      </c>
      <c r="F208" s="193"/>
      <c r="G208" s="220">
        <f>Q87</f>
        <v>1002914.6998000001</v>
      </c>
      <c r="H208" s="193">
        <f t="shared" si="14"/>
        <v>90085.30019999994</v>
      </c>
      <c r="I208" s="193"/>
      <c r="J208" s="114"/>
      <c r="K208" s="9"/>
      <c r="S208" s="9"/>
    </row>
    <row r="209" spans="3:19" ht="15.75" x14ac:dyDescent="0.25">
      <c r="C209" s="215" t="s">
        <v>22</v>
      </c>
      <c r="E209" s="220">
        <f>R184</f>
        <v>-34074.755894599111</v>
      </c>
      <c r="F209" s="193"/>
      <c r="G209" s="220">
        <f>R87</f>
        <v>114736.8028</v>
      </c>
      <c r="H209" s="193">
        <f t="shared" si="14"/>
        <v>36330.697199999995</v>
      </c>
      <c r="I209" s="193"/>
      <c r="J209" s="114"/>
      <c r="K209" s="9"/>
      <c r="S209" s="9"/>
    </row>
    <row r="210" spans="3:19" ht="16.5" thickBot="1" x14ac:dyDescent="0.3">
      <c r="C210" s="216" t="s">
        <v>23</v>
      </c>
      <c r="E210" s="221">
        <f>S184</f>
        <v>1891141.0413873864</v>
      </c>
      <c r="F210" s="193"/>
      <c r="G210" s="221">
        <f>S87</f>
        <v>7677473.6131999996</v>
      </c>
      <c r="H210" s="193">
        <f t="shared" si="14"/>
        <v>1036289.8868000004</v>
      </c>
      <c r="I210" s="193"/>
      <c r="J210" s="114"/>
      <c r="K210" s="9"/>
      <c r="S210" s="9"/>
    </row>
    <row r="211" spans="3:19" ht="15.75" x14ac:dyDescent="0.25">
      <c r="D211" s="9"/>
      <c r="E211" s="222">
        <f>SUM(E195:E210)</f>
        <v>2578614.4845999996</v>
      </c>
      <c r="F211" s="222"/>
      <c r="G211" s="222">
        <f>SUM(G195:G210)</f>
        <v>15831444.015399998</v>
      </c>
      <c r="H211" s="222">
        <f>SUM(H195:H210)</f>
        <v>2578614.4846000001</v>
      </c>
      <c r="I211" s="222"/>
      <c r="J211" s="6"/>
      <c r="K211" s="9"/>
      <c r="S211" s="9"/>
    </row>
    <row r="212" spans="3:19" x14ac:dyDescent="0.2">
      <c r="D212" s="9"/>
      <c r="E212" s="21"/>
      <c r="F212" s="9"/>
      <c r="G212" s="9"/>
      <c r="H212" s="9"/>
      <c r="I212" s="9"/>
      <c r="J212" s="9"/>
      <c r="K212" s="9"/>
      <c r="S212" s="9"/>
    </row>
    <row r="213" spans="3:19" x14ac:dyDescent="0.2">
      <c r="D213" s="9"/>
      <c r="E213" s="21"/>
      <c r="F213" s="9"/>
      <c r="G213" s="9"/>
      <c r="H213" s="9"/>
      <c r="I213" s="9"/>
      <c r="J213" s="9"/>
      <c r="K213" s="9"/>
      <c r="S213" s="9"/>
    </row>
    <row r="214" spans="3:19" x14ac:dyDescent="0.2">
      <c r="D214" s="9"/>
      <c r="E214" s="21"/>
      <c r="F214" s="9"/>
      <c r="G214" s="9"/>
      <c r="H214" s="9"/>
      <c r="I214" s="9"/>
      <c r="J214" s="9"/>
      <c r="K214" s="9"/>
      <c r="S214" s="9"/>
    </row>
    <row r="215" spans="3:19" x14ac:dyDescent="0.2">
      <c r="D215" s="9"/>
      <c r="E215" s="21"/>
      <c r="F215" s="9"/>
      <c r="G215" s="9"/>
      <c r="H215" s="9"/>
      <c r="I215" s="9"/>
      <c r="J215" s="9"/>
      <c r="K215" s="9"/>
      <c r="S215" s="9"/>
    </row>
    <row r="216" spans="3:19" x14ac:dyDescent="0.2">
      <c r="D216" s="9"/>
      <c r="E216" s="21"/>
      <c r="F216" s="9"/>
      <c r="G216" s="9"/>
      <c r="H216" s="9"/>
      <c r="I216" s="9"/>
      <c r="J216" s="9"/>
      <c r="S216" s="9"/>
    </row>
    <row r="217" spans="3:19" x14ac:dyDescent="0.2">
      <c r="D217" s="9"/>
      <c r="E217" s="21"/>
      <c r="F217" s="9"/>
      <c r="G217" s="9"/>
      <c r="H217" s="9"/>
      <c r="I217" s="9"/>
      <c r="J217" s="9"/>
      <c r="S217" s="9"/>
    </row>
    <row r="218" spans="3:19" x14ac:dyDescent="0.2">
      <c r="D218" s="9"/>
      <c r="E218" s="9"/>
      <c r="F218" s="9">
        <v>211000</v>
      </c>
      <c r="G218" s="9"/>
      <c r="H218" s="9"/>
      <c r="I218" s="9"/>
      <c r="J218" s="9"/>
      <c r="S218" s="9"/>
    </row>
    <row r="219" spans="3:19" x14ac:dyDescent="0.2">
      <c r="D219" s="9"/>
      <c r="E219" s="36"/>
      <c r="F219" s="9">
        <v>688894.5</v>
      </c>
      <c r="G219" s="9"/>
      <c r="H219" s="9"/>
      <c r="I219" s="9"/>
      <c r="J219" s="9"/>
      <c r="K219" s="9"/>
      <c r="L219" s="9"/>
      <c r="M219" s="9"/>
      <c r="N219" s="9"/>
      <c r="O219" s="9"/>
      <c r="S219" s="9"/>
    </row>
    <row r="220" spans="3:19" ht="15.75" x14ac:dyDescent="0.25">
      <c r="D220" s="9"/>
      <c r="E220" s="9"/>
      <c r="F220" s="9">
        <v>1552810</v>
      </c>
      <c r="G220" s="9"/>
      <c r="H220" s="9"/>
      <c r="I220" s="9"/>
      <c r="J220" s="9"/>
      <c r="K220" s="9"/>
      <c r="L220" s="9"/>
      <c r="M220" s="6"/>
      <c r="N220" s="9"/>
      <c r="O220" s="9"/>
      <c r="R220" s="9"/>
    </row>
    <row r="221" spans="3:19" x14ac:dyDescent="0.2">
      <c r="D221" s="9"/>
      <c r="E221" s="9"/>
      <c r="F221" s="9">
        <v>269000</v>
      </c>
      <c r="G221" s="9"/>
      <c r="H221" s="194"/>
      <c r="I221" s="194"/>
      <c r="J221" s="194"/>
      <c r="K221" s="195"/>
      <c r="L221" s="194"/>
      <c r="M221" s="194"/>
      <c r="N221" s="194"/>
      <c r="O221" s="9"/>
      <c r="R221" s="9"/>
    </row>
    <row r="222" spans="3:19" ht="15.75" x14ac:dyDescent="0.25">
      <c r="D222" s="9"/>
      <c r="E222" s="9"/>
      <c r="F222" s="9">
        <v>859924</v>
      </c>
      <c r="G222" s="114"/>
      <c r="H222" s="193"/>
      <c r="I222" s="96"/>
      <c r="J222" s="193"/>
      <c r="K222" s="193"/>
      <c r="L222" s="194"/>
      <c r="M222" s="196"/>
      <c r="N222" s="194"/>
      <c r="O222" s="9"/>
      <c r="R222" s="9"/>
    </row>
    <row r="223" spans="3:19" ht="15.75" x14ac:dyDescent="0.25">
      <c r="F223" s="1">
        <v>962886</v>
      </c>
      <c r="G223" s="37"/>
      <c r="H223" s="193"/>
      <c r="I223" s="194"/>
      <c r="J223" s="193"/>
      <c r="K223" s="193"/>
      <c r="L223" s="194"/>
      <c r="M223" s="196"/>
      <c r="N223" s="194"/>
      <c r="O223" s="9"/>
    </row>
    <row r="224" spans="3:19" ht="15.75" x14ac:dyDescent="0.25">
      <c r="F224" s="1">
        <v>1936856.5</v>
      </c>
      <c r="G224" s="37"/>
      <c r="H224" s="193"/>
      <c r="I224" s="194"/>
      <c r="J224" s="193"/>
      <c r="K224" s="193"/>
      <c r="L224" s="194"/>
      <c r="M224" s="196"/>
      <c r="N224" s="194"/>
      <c r="O224" s="9"/>
    </row>
    <row r="225" spans="5:15" ht="15.75" x14ac:dyDescent="0.25">
      <c r="F225" s="1">
        <v>115000</v>
      </c>
      <c r="G225" s="197"/>
      <c r="H225" s="193"/>
      <c r="I225" s="194"/>
      <c r="J225" s="193"/>
      <c r="K225" s="193"/>
      <c r="L225" s="194"/>
      <c r="M225" s="196"/>
      <c r="N225" s="194"/>
      <c r="O225" s="9"/>
    </row>
    <row r="226" spans="5:15" ht="15.75" x14ac:dyDescent="0.25">
      <c r="F226" s="1">
        <v>57000</v>
      </c>
      <c r="G226" s="197"/>
      <c r="H226" s="193"/>
      <c r="I226" s="194"/>
      <c r="J226" s="193"/>
      <c r="K226" s="193"/>
      <c r="L226" s="194"/>
      <c r="M226" s="196"/>
      <c r="N226" s="194"/>
      <c r="O226" s="9"/>
    </row>
    <row r="227" spans="5:15" ht="15.75" x14ac:dyDescent="0.25">
      <c r="F227" s="1">
        <v>821962</v>
      </c>
      <c r="G227" s="37"/>
      <c r="H227" s="193"/>
      <c r="I227" s="194"/>
      <c r="J227" s="193"/>
      <c r="K227" s="193"/>
      <c r="L227" s="194"/>
      <c r="M227" s="196"/>
      <c r="N227" s="194"/>
      <c r="O227" s="9"/>
    </row>
    <row r="228" spans="5:15" ht="15.75" x14ac:dyDescent="0.25">
      <c r="F228" s="1">
        <v>192000</v>
      </c>
      <c r="G228" s="37"/>
      <c r="H228" s="193"/>
      <c r="I228" s="194"/>
      <c r="J228" s="193"/>
      <c r="K228" s="193"/>
      <c r="L228" s="194"/>
      <c r="M228" s="196"/>
      <c r="N228" s="194"/>
      <c r="O228" s="9"/>
    </row>
    <row r="229" spans="5:15" ht="15.75" x14ac:dyDescent="0.25">
      <c r="F229" s="1">
        <v>765894.5</v>
      </c>
      <c r="G229" s="197"/>
      <c r="H229" s="193"/>
      <c r="I229" s="194"/>
      <c r="J229" s="193"/>
      <c r="K229" s="193"/>
      <c r="L229" s="194"/>
      <c r="M229" s="196"/>
      <c r="N229" s="194"/>
      <c r="O229" s="9"/>
    </row>
    <row r="230" spans="5:15" ht="15.75" x14ac:dyDescent="0.25">
      <c r="F230" s="1">
        <v>19000</v>
      </c>
      <c r="G230" s="197"/>
      <c r="H230" s="193"/>
      <c r="I230" s="194"/>
      <c r="J230" s="193"/>
      <c r="K230" s="193"/>
      <c r="L230" s="194"/>
      <c r="M230" s="196"/>
      <c r="N230" s="194"/>
      <c r="O230" s="9"/>
    </row>
    <row r="231" spans="5:15" ht="15.75" x14ac:dyDescent="0.25">
      <c r="F231" s="9">
        <v>1093000</v>
      </c>
      <c r="G231" s="37"/>
      <c r="H231" s="193"/>
      <c r="I231" s="194"/>
      <c r="J231" s="193"/>
      <c r="K231" s="193"/>
      <c r="L231" s="194"/>
      <c r="M231" s="196"/>
      <c r="N231" s="194"/>
      <c r="O231" s="9"/>
    </row>
    <row r="232" spans="5:15" ht="15.75" x14ac:dyDescent="0.25">
      <c r="F232" s="1">
        <v>151067.5</v>
      </c>
      <c r="G232" s="37"/>
      <c r="H232" s="193"/>
      <c r="I232" s="194"/>
      <c r="J232" s="193"/>
      <c r="K232" s="193"/>
      <c r="L232" s="194"/>
      <c r="M232" s="196"/>
      <c r="N232" s="194"/>
      <c r="O232" s="9"/>
    </row>
    <row r="233" spans="5:15" ht="15.75" x14ac:dyDescent="0.25">
      <c r="F233" s="1">
        <v>8713763.5</v>
      </c>
      <c r="G233" s="37"/>
      <c r="H233" s="193"/>
      <c r="I233" s="194"/>
      <c r="J233" s="193"/>
      <c r="K233" s="193"/>
      <c r="L233" s="194"/>
      <c r="M233" s="196"/>
      <c r="N233" s="194"/>
      <c r="O233" s="9"/>
    </row>
    <row r="234" spans="5:15" ht="15.75" x14ac:dyDescent="0.25">
      <c r="F234" s="1">
        <v>18410058.5</v>
      </c>
      <c r="G234" s="197"/>
      <c r="H234" s="193"/>
      <c r="I234" s="194"/>
      <c r="J234" s="193"/>
      <c r="K234" s="193"/>
      <c r="L234" s="194"/>
      <c r="M234" s="196"/>
      <c r="N234" s="194"/>
      <c r="O234" s="9"/>
    </row>
    <row r="235" spans="5:15" ht="15.75" x14ac:dyDescent="0.25">
      <c r="F235" s="9"/>
      <c r="G235" s="37"/>
      <c r="H235" s="193"/>
      <c r="I235" s="194"/>
      <c r="J235" s="193"/>
      <c r="K235" s="193"/>
      <c r="L235" s="194"/>
      <c r="M235" s="196"/>
      <c r="N235" s="194"/>
      <c r="O235" s="9"/>
    </row>
    <row r="236" spans="5:15" ht="15.75" x14ac:dyDescent="0.25">
      <c r="F236" s="9"/>
      <c r="G236" s="197"/>
      <c r="H236" s="193"/>
      <c r="I236" s="194"/>
      <c r="J236" s="193"/>
      <c r="K236" s="193"/>
      <c r="L236" s="194"/>
      <c r="M236" s="196"/>
      <c r="N236" s="194"/>
      <c r="O236" s="9"/>
    </row>
    <row r="237" spans="5:15" ht="15.75" x14ac:dyDescent="0.25">
      <c r="F237" s="9"/>
      <c r="G237" s="37"/>
      <c r="H237" s="193"/>
      <c r="I237" s="194"/>
      <c r="J237" s="193"/>
      <c r="K237" s="193"/>
      <c r="L237" s="194"/>
      <c r="M237" s="196"/>
      <c r="N237" s="194"/>
      <c r="O237" s="9"/>
    </row>
    <row r="238" spans="5:15" ht="15.75" x14ac:dyDescent="0.25">
      <c r="F238" s="9"/>
      <c r="G238" s="9"/>
      <c r="H238" s="222"/>
      <c r="I238" s="6"/>
      <c r="J238" s="222"/>
      <c r="K238" s="222"/>
      <c r="L238" s="6"/>
      <c r="M238" s="6"/>
      <c r="N238" s="6"/>
      <c r="O238" s="9"/>
    </row>
    <row r="239" spans="5:15" x14ac:dyDescent="0.2">
      <c r="F239" s="9"/>
      <c r="G239" s="9"/>
      <c r="H239" s="9"/>
      <c r="I239" s="9"/>
      <c r="J239" s="9"/>
      <c r="K239" s="9"/>
      <c r="L239" s="9"/>
      <c r="M239" s="9"/>
      <c r="N239" s="9"/>
      <c r="O239" s="9"/>
    </row>
    <row r="240" spans="5:15" x14ac:dyDescent="0.2">
      <c r="E240" s="119"/>
      <c r="F240" s="117"/>
      <c r="G240" s="117"/>
      <c r="H240" s="9"/>
      <c r="I240" s="9"/>
      <c r="J240" s="9"/>
      <c r="K240" s="9"/>
      <c r="L240" s="9"/>
      <c r="M240" s="9"/>
      <c r="N240" s="9"/>
      <c r="O240" s="9"/>
    </row>
    <row r="241" spans="4:15" x14ac:dyDescent="0.2">
      <c r="D241" s="116"/>
      <c r="E241" s="116"/>
      <c r="F241" s="116"/>
      <c r="G241" s="116"/>
      <c r="H241" s="116"/>
      <c r="I241" s="116"/>
      <c r="J241" s="116"/>
      <c r="K241" s="116"/>
      <c r="L241" s="9"/>
      <c r="M241" s="9"/>
      <c r="N241" s="9"/>
      <c r="O241" s="9"/>
    </row>
    <row r="242" spans="4:15" ht="15.75" x14ac:dyDescent="0.25">
      <c r="F242" s="9"/>
      <c r="G242" s="9"/>
      <c r="H242" s="9"/>
      <c r="I242" s="150"/>
      <c r="J242" s="184"/>
      <c r="K242" s="9"/>
      <c r="L242" s="9"/>
      <c r="M242" s="9"/>
      <c r="N242" s="9"/>
      <c r="O242" s="9"/>
    </row>
    <row r="243" spans="4:15" ht="15.75" x14ac:dyDescent="0.25">
      <c r="F243" s="9"/>
      <c r="G243" s="9"/>
      <c r="H243" s="9"/>
      <c r="I243" s="150"/>
      <c r="J243" s="184"/>
      <c r="K243" s="9"/>
      <c r="L243" s="9"/>
      <c r="M243" s="9"/>
      <c r="N243" s="9"/>
      <c r="O243" s="9"/>
    </row>
    <row r="244" spans="4:15" x14ac:dyDescent="0.2">
      <c r="F244" s="9"/>
      <c r="G244" s="9"/>
      <c r="H244" s="9"/>
      <c r="I244" s="9"/>
      <c r="J244" s="9"/>
      <c r="K244" s="9"/>
      <c r="L244" s="9"/>
      <c r="M244" s="9"/>
      <c r="N244" s="9"/>
      <c r="O244" s="9"/>
    </row>
    <row r="245" spans="4:15" x14ac:dyDescent="0.2">
      <c r="I245" s="1" t="s">
        <v>86</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245"/>
  <sheetViews>
    <sheetView topLeftCell="A85" zoomScale="115" zoomScaleNormal="115" workbookViewId="0">
      <selection activeCell="D87" sqref="D87:T87"/>
    </sheetView>
  </sheetViews>
  <sheetFormatPr defaultColWidth="8.88671875" defaultRowHeight="15" x14ac:dyDescent="0.2"/>
  <cols>
    <col min="1" max="1" width="2.21875" style="1" customWidth="1"/>
    <col min="2" max="2" width="2" style="1" customWidth="1"/>
    <col min="3" max="3" width="32.6640625" style="1" customWidth="1"/>
    <col min="4" max="4" width="10.6640625" style="1" customWidth="1"/>
    <col min="5" max="5" width="16" style="1" customWidth="1"/>
    <col min="6" max="6" width="13.6640625" style="1" bestFit="1" customWidth="1"/>
    <col min="7" max="7" width="12.109375" style="1" customWidth="1"/>
    <col min="8" max="8" width="14.6640625" style="1" customWidth="1"/>
    <col min="9" max="9" width="15.77734375" style="1" customWidth="1"/>
    <col min="10" max="10" width="15.88671875" style="1" customWidth="1"/>
    <col min="11" max="11" width="12.109375" style="1" customWidth="1"/>
    <col min="12" max="12" width="10.6640625" style="1" customWidth="1"/>
    <col min="13" max="13" width="10.77734375" style="1" customWidth="1"/>
    <col min="14" max="14" width="9.44140625" style="1" bestFit="1" customWidth="1"/>
    <col min="15" max="15" width="13.6640625" style="1" bestFit="1" customWidth="1"/>
    <col min="16" max="16" width="9.109375" style="1" bestFit="1" customWidth="1"/>
    <col min="17" max="17" width="10.5546875" style="1" bestFit="1" customWidth="1"/>
    <col min="18" max="18" width="13.6640625" style="1" bestFit="1" customWidth="1"/>
    <col min="19" max="19" width="11.5546875" style="1" customWidth="1"/>
    <col min="20" max="20" width="14.77734375" style="1" customWidth="1"/>
    <col min="21" max="21" width="15.88671875" style="1" customWidth="1"/>
    <col min="22" max="22" width="10.88671875" style="1" customWidth="1"/>
    <col min="23" max="16384" width="8.88671875" style="1"/>
  </cols>
  <sheetData>
    <row r="2" spans="3:8" ht="23.25" thickBot="1" x14ac:dyDescent="0.35">
      <c r="C2" s="225" t="s">
        <v>467</v>
      </c>
      <c r="D2" s="121"/>
      <c r="E2" s="120"/>
      <c r="F2" s="120"/>
      <c r="G2" s="120"/>
    </row>
    <row r="3" spans="3:8" ht="15.75" thickTop="1" x14ac:dyDescent="0.2"/>
    <row r="5" spans="3:8" ht="17.25" customHeight="1" thickBot="1" x14ac:dyDescent="0.3">
      <c r="C5" s="223" t="s">
        <v>98</v>
      </c>
      <c r="D5" s="224"/>
      <c r="E5" s="224"/>
      <c r="F5" s="224"/>
      <c r="G5" s="224"/>
      <c r="H5" s="224"/>
    </row>
    <row r="6" spans="3:8" ht="17.25" hidden="1" customHeight="1" thickTop="1" x14ac:dyDescent="0.2"/>
    <row r="7" spans="3:8" ht="17.25" hidden="1" customHeight="1" x14ac:dyDescent="0.2"/>
    <row r="8" spans="3:8" ht="17.25" hidden="1" customHeight="1" x14ac:dyDescent="0.2"/>
    <row r="9" spans="3:8" ht="17.25" hidden="1" customHeight="1" x14ac:dyDescent="0.2"/>
    <row r="10" spans="3:8" ht="17.25" hidden="1" customHeight="1" x14ac:dyDescent="0.2"/>
    <row r="11" spans="3:8" ht="17.25" hidden="1" customHeight="1" x14ac:dyDescent="0.2"/>
    <row r="12" spans="3:8" ht="17.25" hidden="1" customHeight="1" x14ac:dyDescent="0.2"/>
    <row r="13" spans="3:8" ht="17.25" hidden="1" customHeight="1" x14ac:dyDescent="0.2"/>
    <row r="14" spans="3:8" ht="17.25" hidden="1" customHeight="1" x14ac:dyDescent="0.2"/>
    <row r="15" spans="3:8" ht="17.25" hidden="1" customHeight="1" x14ac:dyDescent="0.2"/>
    <row r="16" spans="3:8" ht="15" hidden="1" customHeight="1" x14ac:dyDescent="0.2"/>
    <row r="17" spans="2:13" ht="15" hidden="1" customHeight="1" x14ac:dyDescent="0.2"/>
    <row r="18" spans="2:13" ht="15" hidden="1" customHeight="1" x14ac:dyDescent="0.2"/>
    <row r="19" spans="2:13" ht="15" hidden="1" customHeight="1" x14ac:dyDescent="0.2"/>
    <row r="20" spans="2:13" ht="15" hidden="1" customHeight="1" x14ac:dyDescent="0.2"/>
    <row r="21" spans="2:13" ht="15" hidden="1" customHeight="1" x14ac:dyDescent="0.2"/>
    <row r="22" spans="2:13" ht="15" hidden="1" customHeight="1" x14ac:dyDescent="0.2"/>
    <row r="23" spans="2:13" ht="15" hidden="1" customHeight="1" x14ac:dyDescent="0.2"/>
    <row r="24" spans="2:13" ht="15" hidden="1" customHeight="1" x14ac:dyDescent="0.2"/>
    <row r="25" spans="2:13" ht="15.75" thickTop="1" x14ac:dyDescent="0.2"/>
    <row r="27" spans="2:13" ht="17.25" thickBot="1" x14ac:dyDescent="0.3">
      <c r="B27" s="34"/>
      <c r="C27" s="227" t="s">
        <v>97</v>
      </c>
      <c r="D27" s="227"/>
      <c r="E27" s="227"/>
      <c r="F27" s="227"/>
      <c r="G27" s="227"/>
      <c r="H27" s="226"/>
    </row>
    <row r="28" spans="2:13" ht="15.75" thickTop="1" x14ac:dyDescent="0.2">
      <c r="H28" s="9"/>
      <c r="I28" s="9"/>
      <c r="J28" s="9"/>
    </row>
    <row r="29" spans="2:13" ht="15.75" x14ac:dyDescent="0.25">
      <c r="H29" s="9"/>
      <c r="I29" s="46"/>
      <c r="J29" s="9"/>
      <c r="L29" s="9"/>
    </row>
    <row r="30" spans="2:13" ht="15.75" x14ac:dyDescent="0.25">
      <c r="H30" s="9"/>
      <c r="I30" s="46"/>
      <c r="J30" s="124"/>
      <c r="L30" s="123"/>
      <c r="M30" s="45"/>
    </row>
    <row r="31" spans="2:13" ht="15.75" x14ac:dyDescent="0.25">
      <c r="H31" s="9"/>
      <c r="I31" s="46"/>
      <c r="J31" s="124"/>
      <c r="L31" s="46"/>
      <c r="M31" s="46"/>
    </row>
    <row r="32" spans="2:13" ht="15.75" x14ac:dyDescent="0.25">
      <c r="H32" s="9"/>
      <c r="I32" s="46"/>
      <c r="J32" s="124"/>
      <c r="L32" s="125"/>
      <c r="M32" s="46"/>
    </row>
    <row r="33" spans="1:23" ht="15.75" x14ac:dyDescent="0.25">
      <c r="H33" s="9"/>
      <c r="I33" s="46"/>
      <c r="J33" s="124"/>
      <c r="K33" s="9"/>
      <c r="L33" s="125"/>
      <c r="M33" s="46"/>
    </row>
    <row r="34" spans="1:23" ht="15.75" x14ac:dyDescent="0.25">
      <c r="H34" s="9"/>
      <c r="I34" s="46"/>
      <c r="J34" s="124"/>
      <c r="K34" s="9"/>
      <c r="L34" s="125"/>
      <c r="M34" s="46"/>
    </row>
    <row r="35" spans="1:23" ht="15.75" x14ac:dyDescent="0.25">
      <c r="H35" s="9"/>
      <c r="I35" s="9"/>
      <c r="J35" s="46"/>
      <c r="K35" s="124"/>
      <c r="L35" s="125"/>
      <c r="M35" s="46"/>
    </row>
    <row r="36" spans="1:23" ht="15.75" x14ac:dyDescent="0.25">
      <c r="H36" s="9"/>
      <c r="I36" s="9"/>
      <c r="J36" s="46"/>
      <c r="K36" s="124"/>
      <c r="L36" s="125"/>
      <c r="M36" s="46"/>
    </row>
    <row r="37" spans="1:23" x14ac:dyDescent="0.2">
      <c r="I37" s="9"/>
      <c r="J37" s="9"/>
      <c r="K37" s="9"/>
      <c r="L37" s="9"/>
      <c r="M37" s="9"/>
    </row>
    <row r="38" spans="1:23" x14ac:dyDescent="0.2">
      <c r="M38" s="9"/>
    </row>
    <row r="39" spans="1:23" ht="15.75" thickBot="1" x14ac:dyDescent="0.25">
      <c r="V39" s="9"/>
      <c r="W39" s="9"/>
    </row>
    <row r="40" spans="1:23" ht="15.75" x14ac:dyDescent="0.25">
      <c r="C40" s="2"/>
      <c r="D40" s="3"/>
      <c r="E40" s="3"/>
      <c r="F40" s="3"/>
      <c r="G40" s="3"/>
      <c r="H40" s="3"/>
      <c r="I40" s="3"/>
      <c r="J40" s="3"/>
      <c r="K40" s="3"/>
      <c r="L40" s="3"/>
      <c r="M40" s="3"/>
      <c r="N40" s="3"/>
      <c r="O40" s="3"/>
      <c r="P40" s="3"/>
      <c r="Q40" s="3"/>
      <c r="R40" s="3"/>
      <c r="S40" s="3"/>
      <c r="T40" s="3"/>
      <c r="U40" s="4"/>
      <c r="V40" s="6"/>
      <c r="W40" s="9"/>
    </row>
    <row r="41" spans="1:23" ht="16.5" thickBot="1" x14ac:dyDescent="0.3">
      <c r="B41" s="5"/>
      <c r="C41" s="52" t="s">
        <v>463</v>
      </c>
      <c r="D41" s="75" t="s">
        <v>50</v>
      </c>
      <c r="E41" s="9"/>
      <c r="F41" s="9"/>
      <c r="G41" s="9"/>
      <c r="H41" s="9"/>
      <c r="I41" s="9"/>
      <c r="J41" s="9"/>
      <c r="K41" s="9"/>
      <c r="L41" s="9"/>
      <c r="M41" s="9"/>
      <c r="N41" s="9"/>
      <c r="O41" s="9"/>
      <c r="P41" s="9"/>
      <c r="Q41" s="9"/>
      <c r="R41" s="9"/>
      <c r="S41" s="9"/>
      <c r="T41" s="9"/>
      <c r="U41" s="108" t="s">
        <v>47</v>
      </c>
      <c r="V41" s="6"/>
      <c r="W41" s="9"/>
    </row>
    <row r="42" spans="1:23" ht="15.75" x14ac:dyDescent="0.25">
      <c r="C42" s="122" t="s">
        <v>66</v>
      </c>
      <c r="D42" s="126" t="s">
        <v>8</v>
      </c>
      <c r="E42" s="57" t="s">
        <v>9</v>
      </c>
      <c r="F42" s="57" t="s">
        <v>10</v>
      </c>
      <c r="G42" s="57" t="s">
        <v>11</v>
      </c>
      <c r="H42" s="57" t="s">
        <v>12</v>
      </c>
      <c r="I42" s="57" t="s">
        <v>13</v>
      </c>
      <c r="J42" s="57" t="s">
        <v>14</v>
      </c>
      <c r="K42" s="57" t="s">
        <v>15</v>
      </c>
      <c r="L42" s="57" t="s">
        <v>16</v>
      </c>
      <c r="M42" s="57" t="s">
        <v>17</v>
      </c>
      <c r="N42" s="57" t="s">
        <v>18</v>
      </c>
      <c r="O42" s="57" t="s">
        <v>19</v>
      </c>
      <c r="P42" s="57" t="s">
        <v>20</v>
      </c>
      <c r="Q42" s="57" t="s">
        <v>21</v>
      </c>
      <c r="R42" s="57" t="s">
        <v>22</v>
      </c>
      <c r="S42" s="57" t="s">
        <v>23</v>
      </c>
      <c r="T42" s="127" t="s">
        <v>24</v>
      </c>
      <c r="U42" s="128"/>
      <c r="V42" s="9"/>
      <c r="W42" s="9"/>
    </row>
    <row r="43" spans="1:23" ht="15.75" x14ac:dyDescent="0.25">
      <c r="B43" s="7"/>
      <c r="C43" s="129" t="s">
        <v>67</v>
      </c>
      <c r="D43" s="130">
        <v>386</v>
      </c>
      <c r="E43" s="54">
        <v>776</v>
      </c>
      <c r="F43" s="54">
        <v>2073</v>
      </c>
      <c r="G43" s="54">
        <v>459</v>
      </c>
      <c r="H43" s="54">
        <v>395</v>
      </c>
      <c r="I43" s="54">
        <v>1262</v>
      </c>
      <c r="J43" s="54">
        <v>3709</v>
      </c>
      <c r="K43" s="54">
        <v>255</v>
      </c>
      <c r="L43" s="54">
        <v>196</v>
      </c>
      <c r="M43" s="54">
        <v>1606</v>
      </c>
      <c r="N43" s="54">
        <v>317</v>
      </c>
      <c r="O43" s="54">
        <v>1491</v>
      </c>
      <c r="P43" s="54">
        <v>79</v>
      </c>
      <c r="Q43" s="54">
        <v>862</v>
      </c>
      <c r="R43" s="54">
        <v>319</v>
      </c>
      <c r="S43" s="54">
        <v>9454</v>
      </c>
      <c r="T43" s="131">
        <f>SUM(D43:S43)</f>
        <v>23639</v>
      </c>
      <c r="U43" s="132">
        <f>T43/$T$49</f>
        <v>1</v>
      </c>
      <c r="V43" s="37"/>
      <c r="W43" s="9"/>
    </row>
    <row r="44" spans="1:23" ht="15.75" x14ac:dyDescent="0.25">
      <c r="B44" s="7"/>
      <c r="C44" s="40" t="s">
        <v>68</v>
      </c>
      <c r="D44" s="130"/>
      <c r="E44" s="54"/>
      <c r="F44" s="54"/>
      <c r="G44" s="54"/>
      <c r="H44" s="54"/>
      <c r="I44" s="54"/>
      <c r="J44" s="54"/>
      <c r="K44" s="54"/>
      <c r="L44" s="54"/>
      <c r="M44" s="54"/>
      <c r="N44" s="54"/>
      <c r="O44" s="54"/>
      <c r="P44" s="54"/>
      <c r="Q44" s="54"/>
      <c r="R44" s="54"/>
      <c r="S44" s="54"/>
      <c r="T44" s="131">
        <f>SUM(D44:S44)</f>
        <v>0</v>
      </c>
      <c r="U44" s="132">
        <f>T44/$T$49</f>
        <v>0</v>
      </c>
      <c r="V44" s="37"/>
      <c r="W44" s="9"/>
    </row>
    <row r="45" spans="1:23" ht="15.75" x14ac:dyDescent="0.25">
      <c r="B45" s="7"/>
      <c r="C45" s="40" t="s">
        <v>69</v>
      </c>
      <c r="D45" s="130"/>
      <c r="E45" s="54"/>
      <c r="F45" s="54"/>
      <c r="G45" s="54"/>
      <c r="H45" s="54"/>
      <c r="I45" s="54"/>
      <c r="J45" s="54"/>
      <c r="K45" s="54"/>
      <c r="L45" s="54"/>
      <c r="M45" s="54"/>
      <c r="N45" s="54"/>
      <c r="O45" s="54"/>
      <c r="P45" s="54"/>
      <c r="Q45" s="54"/>
      <c r="R45" s="54"/>
      <c r="S45" s="54"/>
      <c r="T45" s="131">
        <f>SUM(D45:S45)</f>
        <v>0</v>
      </c>
      <c r="U45" s="132">
        <f>T45/$T$49</f>
        <v>0</v>
      </c>
      <c r="V45" s="37"/>
      <c r="W45" s="9"/>
    </row>
    <row r="46" spans="1:23" ht="15.75" x14ac:dyDescent="0.25">
      <c r="B46" s="7"/>
      <c r="C46" s="40"/>
      <c r="D46" s="130"/>
      <c r="E46" s="54"/>
      <c r="F46" s="54"/>
      <c r="G46" s="54"/>
      <c r="H46" s="54"/>
      <c r="I46" s="54"/>
      <c r="J46" s="54"/>
      <c r="K46" s="54"/>
      <c r="L46" s="54"/>
      <c r="M46" s="54"/>
      <c r="N46" s="54"/>
      <c r="O46" s="54"/>
      <c r="P46" s="54"/>
      <c r="Q46" s="54"/>
      <c r="R46" s="54"/>
      <c r="S46" s="54"/>
      <c r="T46" s="131"/>
      <c r="U46" s="133"/>
      <c r="V46" s="37"/>
      <c r="W46" s="9"/>
    </row>
    <row r="47" spans="1:23" ht="15.75" x14ac:dyDescent="0.25">
      <c r="A47" s="119"/>
      <c r="B47" s="136"/>
      <c r="C47" s="129" t="s">
        <v>4</v>
      </c>
      <c r="D47" s="134">
        <v>323</v>
      </c>
      <c r="E47" s="38">
        <v>682</v>
      </c>
      <c r="F47" s="38">
        <v>1840</v>
      </c>
      <c r="G47" s="38">
        <v>402</v>
      </c>
      <c r="H47" s="38">
        <v>342</v>
      </c>
      <c r="I47" s="38">
        <v>1097</v>
      </c>
      <c r="J47" s="38">
        <v>3302</v>
      </c>
      <c r="K47" s="38">
        <v>229</v>
      </c>
      <c r="L47" s="38">
        <v>161</v>
      </c>
      <c r="M47" s="38">
        <v>1432</v>
      </c>
      <c r="N47" s="38">
        <v>269</v>
      </c>
      <c r="O47" s="38">
        <v>1298</v>
      </c>
      <c r="P47" s="38">
        <v>67</v>
      </c>
      <c r="Q47" s="38">
        <v>736</v>
      </c>
      <c r="R47" s="38">
        <v>272</v>
      </c>
      <c r="S47" s="38">
        <v>8357</v>
      </c>
      <c r="T47" s="135">
        <v>20809</v>
      </c>
      <c r="U47" s="133"/>
      <c r="V47" s="825">
        <v>23639</v>
      </c>
      <c r="W47" s="9"/>
    </row>
    <row r="48" spans="1:23" ht="15.75" x14ac:dyDescent="0.25">
      <c r="A48" s="119"/>
      <c r="B48" s="136"/>
      <c r="C48" s="40"/>
      <c r="D48" s="134"/>
      <c r="E48" s="38"/>
      <c r="F48" s="38"/>
      <c r="G48" s="38"/>
      <c r="H48" s="38"/>
      <c r="I48" s="38"/>
      <c r="J48" s="38"/>
      <c r="K48" s="38"/>
      <c r="L48" s="38"/>
      <c r="M48" s="38"/>
      <c r="N48" s="38"/>
      <c r="O48" s="38"/>
      <c r="P48" s="38"/>
      <c r="Q48" s="38"/>
      <c r="R48" s="38"/>
      <c r="S48" s="38"/>
      <c r="T48" s="135"/>
      <c r="U48" s="133"/>
      <c r="V48" s="37"/>
      <c r="W48" s="9"/>
    </row>
    <row r="49" spans="1:23" ht="16.5" thickBot="1" x14ac:dyDescent="0.3">
      <c r="A49" s="119"/>
      <c r="B49" s="136"/>
      <c r="C49" s="42" t="s">
        <v>27</v>
      </c>
      <c r="D49" s="307">
        <f t="shared" ref="D49:T49" si="0">SUM(D43:D45)</f>
        <v>386</v>
      </c>
      <c r="E49" s="192">
        <f t="shared" si="0"/>
        <v>776</v>
      </c>
      <c r="F49" s="192">
        <f t="shared" si="0"/>
        <v>2073</v>
      </c>
      <c r="G49" s="192">
        <f t="shared" si="0"/>
        <v>459</v>
      </c>
      <c r="H49" s="192">
        <f t="shared" si="0"/>
        <v>395</v>
      </c>
      <c r="I49" s="192">
        <f t="shared" si="0"/>
        <v>1262</v>
      </c>
      <c r="J49" s="192">
        <f t="shared" si="0"/>
        <v>3709</v>
      </c>
      <c r="K49" s="192">
        <f t="shared" si="0"/>
        <v>255</v>
      </c>
      <c r="L49" s="192">
        <f t="shared" si="0"/>
        <v>196</v>
      </c>
      <c r="M49" s="192">
        <f t="shared" si="0"/>
        <v>1606</v>
      </c>
      <c r="N49" s="192">
        <f t="shared" si="0"/>
        <v>317</v>
      </c>
      <c r="O49" s="192">
        <f t="shared" si="0"/>
        <v>1491</v>
      </c>
      <c r="P49" s="192">
        <f t="shared" si="0"/>
        <v>79</v>
      </c>
      <c r="Q49" s="192">
        <f t="shared" si="0"/>
        <v>862</v>
      </c>
      <c r="R49" s="192">
        <f t="shared" si="0"/>
        <v>319</v>
      </c>
      <c r="S49" s="192">
        <f t="shared" si="0"/>
        <v>9454</v>
      </c>
      <c r="T49" s="308">
        <f t="shared" si="0"/>
        <v>23639</v>
      </c>
      <c r="U49" s="137"/>
      <c r="V49" s="37"/>
      <c r="W49" s="9"/>
    </row>
    <row r="50" spans="1:23" ht="16.5" thickBot="1" x14ac:dyDescent="0.3">
      <c r="A50" s="119"/>
      <c r="B50" s="136"/>
      <c r="C50" s="6"/>
      <c r="D50" s="6"/>
      <c r="E50" s="6"/>
      <c r="F50" s="6"/>
      <c r="G50" s="6"/>
      <c r="H50" s="6"/>
      <c r="I50" s="6"/>
      <c r="J50" s="6"/>
      <c r="K50" s="6"/>
      <c r="L50" s="6"/>
      <c r="M50" s="6"/>
      <c r="N50" s="6"/>
      <c r="O50" s="6"/>
      <c r="P50" s="6"/>
      <c r="Q50" s="6"/>
      <c r="R50" s="6"/>
      <c r="S50" s="6"/>
      <c r="T50" s="138"/>
      <c r="U50" s="9"/>
      <c r="V50" s="9"/>
      <c r="W50" s="9"/>
    </row>
    <row r="51" spans="1:23" ht="15.75" x14ac:dyDescent="0.25">
      <c r="A51" s="119"/>
      <c r="B51" s="136"/>
      <c r="C51" s="139" t="s">
        <v>28</v>
      </c>
      <c r="D51" s="297"/>
      <c r="E51" s="140"/>
      <c r="F51" s="140"/>
      <c r="G51" s="140"/>
      <c r="H51" s="140"/>
      <c r="I51" s="140"/>
      <c r="J51" s="140"/>
      <c r="K51" s="140"/>
      <c r="L51" s="140"/>
      <c r="M51" s="140"/>
      <c r="N51" s="140"/>
      <c r="O51" s="140"/>
      <c r="P51" s="140"/>
      <c r="Q51" s="140"/>
      <c r="R51" s="140"/>
      <c r="S51" s="298"/>
      <c r="T51" s="141" t="s">
        <v>24</v>
      </c>
      <c r="U51" s="9"/>
      <c r="V51" s="9"/>
      <c r="W51" s="9"/>
    </row>
    <row r="52" spans="1:23" ht="15.75" x14ac:dyDescent="0.25">
      <c r="A52" s="119"/>
      <c r="B52" s="136"/>
      <c r="C52" s="142" t="s">
        <v>71</v>
      </c>
      <c r="D52" s="299">
        <f t="shared" ref="D52:T52" si="1">D43/D$49</f>
        <v>1</v>
      </c>
      <c r="E52" s="143">
        <f t="shared" si="1"/>
        <v>1</v>
      </c>
      <c r="F52" s="143">
        <f t="shared" si="1"/>
        <v>1</v>
      </c>
      <c r="G52" s="143">
        <f t="shared" si="1"/>
        <v>1</v>
      </c>
      <c r="H52" s="143">
        <f t="shared" si="1"/>
        <v>1</v>
      </c>
      <c r="I52" s="143">
        <f t="shared" si="1"/>
        <v>1</v>
      </c>
      <c r="J52" s="143">
        <f t="shared" si="1"/>
        <v>1</v>
      </c>
      <c r="K52" s="143">
        <f t="shared" si="1"/>
        <v>1</v>
      </c>
      <c r="L52" s="143">
        <f t="shared" si="1"/>
        <v>1</v>
      </c>
      <c r="M52" s="143">
        <f t="shared" si="1"/>
        <v>1</v>
      </c>
      <c r="N52" s="143">
        <f t="shared" si="1"/>
        <v>1</v>
      </c>
      <c r="O52" s="143">
        <f t="shared" si="1"/>
        <v>1</v>
      </c>
      <c r="P52" s="143">
        <f t="shared" si="1"/>
        <v>1</v>
      </c>
      <c r="Q52" s="143">
        <f t="shared" si="1"/>
        <v>1</v>
      </c>
      <c r="R52" s="143">
        <f t="shared" si="1"/>
        <v>1</v>
      </c>
      <c r="S52" s="300">
        <f t="shared" si="1"/>
        <v>1</v>
      </c>
      <c r="T52" s="144">
        <f t="shared" si="1"/>
        <v>1</v>
      </c>
      <c r="U52" s="9"/>
      <c r="V52" s="9"/>
      <c r="W52" s="9"/>
    </row>
    <row r="53" spans="1:23" ht="15.75" x14ac:dyDescent="0.25">
      <c r="A53" s="119"/>
      <c r="B53" s="136"/>
      <c r="C53" s="145"/>
      <c r="D53" s="299"/>
      <c r="E53" s="143"/>
      <c r="F53" s="143"/>
      <c r="G53" s="143"/>
      <c r="H53" s="143"/>
      <c r="I53" s="143"/>
      <c r="J53" s="143"/>
      <c r="K53" s="143"/>
      <c r="L53" s="143"/>
      <c r="M53" s="143"/>
      <c r="N53" s="143"/>
      <c r="O53" s="143"/>
      <c r="P53" s="143"/>
      <c r="Q53" s="143"/>
      <c r="R53" s="143"/>
      <c r="S53" s="300"/>
      <c r="T53" s="144"/>
      <c r="U53" s="9"/>
      <c r="V53" s="9"/>
      <c r="W53" s="9"/>
    </row>
    <row r="54" spans="1:23" ht="15.75" x14ac:dyDescent="0.25">
      <c r="A54" s="119"/>
      <c r="B54" s="136"/>
      <c r="C54" s="142" t="s">
        <v>92</v>
      </c>
      <c r="D54" s="299">
        <f t="shared" ref="D54:S54" si="2">D43/$T$43</f>
        <v>1.6328947925039129E-2</v>
      </c>
      <c r="E54" s="143">
        <f t="shared" si="2"/>
        <v>3.2827107745674523E-2</v>
      </c>
      <c r="F54" s="143">
        <f t="shared" si="2"/>
        <v>8.7694064892761964E-2</v>
      </c>
      <c r="G54" s="143">
        <f t="shared" si="2"/>
        <v>1.9417065019670884E-2</v>
      </c>
      <c r="H54" s="143">
        <f t="shared" si="2"/>
        <v>1.6709674690130717E-2</v>
      </c>
      <c r="I54" s="143">
        <f t="shared" si="2"/>
        <v>5.3386353060620159E-2</v>
      </c>
      <c r="J54" s="143">
        <f t="shared" si="2"/>
        <v>0.15690173019163248</v>
      </c>
      <c r="K54" s="143">
        <f t="shared" si="2"/>
        <v>1.0787258344261601E-2</v>
      </c>
      <c r="L54" s="143">
        <f t="shared" si="2"/>
        <v>8.2913828842167605E-3</v>
      </c>
      <c r="M54" s="143">
        <f t="shared" si="2"/>
        <v>6.7938576081898558E-2</v>
      </c>
      <c r="N54" s="143">
        <f t="shared" si="2"/>
        <v>1.3410042726003638E-2</v>
      </c>
      <c r="O54" s="143">
        <f t="shared" si="2"/>
        <v>6.3073734083506069E-2</v>
      </c>
      <c r="P54" s="143">
        <f t="shared" si="2"/>
        <v>3.3419349380261433E-3</v>
      </c>
      <c r="Q54" s="143">
        <f t="shared" si="2"/>
        <v>3.6465163500994123E-2</v>
      </c>
      <c r="R54" s="143">
        <f t="shared" si="2"/>
        <v>1.3494648673801768E-2</v>
      </c>
      <c r="S54" s="300">
        <f t="shared" si="2"/>
        <v>0.39993231524176148</v>
      </c>
      <c r="T54" s="228">
        <f>SUM(D54:S54)</f>
        <v>1</v>
      </c>
      <c r="U54" s="9"/>
      <c r="V54" s="9"/>
      <c r="W54" s="9"/>
    </row>
    <row r="55" spans="1:23" ht="15.75" x14ac:dyDescent="0.25">
      <c r="A55" s="119"/>
      <c r="B55" s="136"/>
      <c r="C55" s="145" t="s">
        <v>93</v>
      </c>
      <c r="D55" s="299">
        <f>D49/$T$49</f>
        <v>1.6328947925039129E-2</v>
      </c>
      <c r="E55" s="143">
        <f t="shared" ref="E55:S55" si="3">E49/$T$49</f>
        <v>3.2827107745674523E-2</v>
      </c>
      <c r="F55" s="143">
        <f t="shared" si="3"/>
        <v>8.7694064892761964E-2</v>
      </c>
      <c r="G55" s="143">
        <f t="shared" si="3"/>
        <v>1.9417065019670884E-2</v>
      </c>
      <c r="H55" s="143">
        <f t="shared" si="3"/>
        <v>1.6709674690130717E-2</v>
      </c>
      <c r="I55" s="143">
        <f t="shared" si="3"/>
        <v>5.3386353060620159E-2</v>
      </c>
      <c r="J55" s="143">
        <f t="shared" si="3"/>
        <v>0.15690173019163248</v>
      </c>
      <c r="K55" s="143">
        <f t="shared" si="3"/>
        <v>1.0787258344261601E-2</v>
      </c>
      <c r="L55" s="143">
        <f t="shared" si="3"/>
        <v>8.2913828842167605E-3</v>
      </c>
      <c r="M55" s="143">
        <f t="shared" si="3"/>
        <v>6.7938576081898558E-2</v>
      </c>
      <c r="N55" s="143">
        <f t="shared" si="3"/>
        <v>1.3410042726003638E-2</v>
      </c>
      <c r="O55" s="143">
        <f t="shared" si="3"/>
        <v>6.3073734083506069E-2</v>
      </c>
      <c r="P55" s="143">
        <f t="shared" si="3"/>
        <v>3.3419349380261433E-3</v>
      </c>
      <c r="Q55" s="143">
        <f t="shared" si="3"/>
        <v>3.6465163500994123E-2</v>
      </c>
      <c r="R55" s="143">
        <f t="shared" si="3"/>
        <v>1.3494648673801768E-2</v>
      </c>
      <c r="S55" s="300">
        <f t="shared" si="3"/>
        <v>0.39993231524176148</v>
      </c>
      <c r="T55" s="144"/>
      <c r="U55" s="9"/>
      <c r="V55" s="9"/>
      <c r="W55" s="9"/>
    </row>
    <row r="56" spans="1:23" ht="15.75" x14ac:dyDescent="0.25">
      <c r="A56" s="119"/>
      <c r="B56" s="136"/>
      <c r="C56" s="145" t="s">
        <v>728</v>
      </c>
      <c r="D56" s="299">
        <f>D47/$T$47</f>
        <v>1.552212984766207E-2</v>
      </c>
      <c r="E56" s="299">
        <f t="shared" ref="E56:S56" si="4">E47/$T$47</f>
        <v>3.2774280359459847E-2</v>
      </c>
      <c r="F56" s="299">
        <f t="shared" si="4"/>
        <v>8.8423278389158533E-2</v>
      </c>
      <c r="G56" s="299">
        <f t="shared" si="4"/>
        <v>1.9318564082848766E-2</v>
      </c>
      <c r="H56" s="299">
        <f t="shared" si="4"/>
        <v>1.643519630928925E-2</v>
      </c>
      <c r="I56" s="299">
        <f t="shared" si="4"/>
        <v>5.2717574126579847E-2</v>
      </c>
      <c r="J56" s="299">
        <f t="shared" si="4"/>
        <v>0.1586813398048921</v>
      </c>
      <c r="K56" s="299">
        <f t="shared" si="4"/>
        <v>1.1004853669085492E-2</v>
      </c>
      <c r="L56" s="299">
        <f t="shared" si="4"/>
        <v>7.7370368590513718E-3</v>
      </c>
      <c r="M56" s="299">
        <f t="shared" si="4"/>
        <v>6.8816377528953823E-2</v>
      </c>
      <c r="N56" s="299">
        <f t="shared" si="4"/>
        <v>1.2927098851458504E-2</v>
      </c>
      <c r="O56" s="299">
        <f t="shared" si="4"/>
        <v>6.237685616800423E-2</v>
      </c>
      <c r="P56" s="299">
        <f t="shared" si="4"/>
        <v>3.2197606804747945E-3</v>
      </c>
      <c r="Q56" s="299">
        <f t="shared" si="4"/>
        <v>3.5369311355663416E-2</v>
      </c>
      <c r="R56" s="299">
        <f t="shared" si="4"/>
        <v>1.3071267240136479E-2</v>
      </c>
      <c r="S56" s="299">
        <f t="shared" si="4"/>
        <v>0.40160507472728146</v>
      </c>
      <c r="T56" s="144"/>
      <c r="U56" s="9"/>
      <c r="V56" s="9"/>
      <c r="W56" s="9"/>
    </row>
    <row r="57" spans="1:23" ht="15.75" x14ac:dyDescent="0.25">
      <c r="A57" s="119"/>
      <c r="B57" s="136"/>
      <c r="C57" s="146" t="s">
        <v>466</v>
      </c>
      <c r="D57" s="301"/>
      <c r="E57" s="147"/>
      <c r="F57" s="147"/>
      <c r="G57" s="147"/>
      <c r="H57" s="147"/>
      <c r="I57" s="147"/>
      <c r="J57" s="147"/>
      <c r="K57" s="147"/>
      <c r="L57" s="147"/>
      <c r="M57" s="147"/>
      <c r="N57" s="147"/>
      <c r="O57" s="147"/>
      <c r="P57" s="147"/>
      <c r="Q57" s="147"/>
      <c r="R57" s="147"/>
      <c r="S57" s="302"/>
      <c r="T57" s="148"/>
      <c r="U57" s="9"/>
      <c r="V57" s="9"/>
      <c r="W57" s="9"/>
    </row>
    <row r="58" spans="1:23" ht="15.75" x14ac:dyDescent="0.25">
      <c r="A58" s="119"/>
      <c r="B58" s="136"/>
      <c r="C58" s="142" t="s">
        <v>168</v>
      </c>
      <c r="D58" s="301">
        <v>11000</v>
      </c>
      <c r="E58" s="147">
        <v>35000</v>
      </c>
      <c r="F58" s="147">
        <v>126000</v>
      </c>
      <c r="G58" s="147">
        <v>184000</v>
      </c>
      <c r="H58" s="147">
        <v>82000</v>
      </c>
      <c r="I58" s="147">
        <v>118000</v>
      </c>
      <c r="J58" s="147">
        <v>423000</v>
      </c>
      <c r="K58" s="147">
        <v>4000</v>
      </c>
      <c r="L58" s="147">
        <v>0</v>
      </c>
      <c r="M58" s="147">
        <v>431000</v>
      </c>
      <c r="N58" s="147">
        <v>4000</v>
      </c>
      <c r="O58" s="147">
        <v>100000</v>
      </c>
      <c r="P58" s="147">
        <v>0</v>
      </c>
      <c r="Q58" s="147">
        <v>419000</v>
      </c>
      <c r="R58" s="147">
        <v>5000</v>
      </c>
      <c r="S58" s="302">
        <v>1432000</v>
      </c>
      <c r="T58" s="294">
        <f t="shared" ref="T58:T63" si="5">SUM(D58:S58)</f>
        <v>3374000</v>
      </c>
      <c r="U58" s="9">
        <v>-3374000</v>
      </c>
      <c r="V58" s="9"/>
      <c r="W58" s="9"/>
    </row>
    <row r="59" spans="1:23" ht="15.75" x14ac:dyDescent="0.25">
      <c r="A59" s="119"/>
      <c r="B59" s="136"/>
      <c r="C59" s="142" t="s">
        <v>235</v>
      </c>
      <c r="D59" s="303">
        <v>125000</v>
      </c>
      <c r="E59" s="295">
        <v>581000</v>
      </c>
      <c r="F59" s="295">
        <v>696000</v>
      </c>
      <c r="G59" s="295">
        <v>107000</v>
      </c>
      <c r="H59" s="295">
        <v>334000</v>
      </c>
      <c r="I59" s="295">
        <v>369000</v>
      </c>
      <c r="J59" s="295">
        <v>725000</v>
      </c>
      <c r="K59" s="295">
        <v>94000</v>
      </c>
      <c r="L59" s="295">
        <v>0</v>
      </c>
      <c r="M59" s="295">
        <v>311000</v>
      </c>
      <c r="N59" s="295">
        <v>0</v>
      </c>
      <c r="O59" s="295">
        <v>347000</v>
      </c>
      <c r="P59" s="295">
        <v>0</v>
      </c>
      <c r="Q59" s="295">
        <v>170000</v>
      </c>
      <c r="R59" s="295">
        <v>204000</v>
      </c>
      <c r="S59" s="304">
        <v>4401000</v>
      </c>
      <c r="T59" s="294">
        <f t="shared" si="5"/>
        <v>8464000</v>
      </c>
      <c r="U59" s="9">
        <v>8464000</v>
      </c>
      <c r="V59" s="9"/>
      <c r="W59" s="9"/>
    </row>
    <row r="60" spans="1:23" ht="15.75" x14ac:dyDescent="0.25">
      <c r="A60" s="119"/>
      <c r="B60" s="136"/>
      <c r="C60" s="142" t="s">
        <v>470</v>
      </c>
      <c r="D60" s="303">
        <v>11000</v>
      </c>
      <c r="E60" s="295">
        <v>132000</v>
      </c>
      <c r="F60" s="295">
        <v>348000</v>
      </c>
      <c r="G60" s="295">
        <v>15000</v>
      </c>
      <c r="H60" s="295">
        <v>134000</v>
      </c>
      <c r="I60" s="295">
        <v>284000</v>
      </c>
      <c r="J60" s="295">
        <v>488000</v>
      </c>
      <c r="K60" s="295">
        <v>3000</v>
      </c>
      <c r="L60" s="295">
        <v>29000</v>
      </c>
      <c r="M60" s="295">
        <v>423000</v>
      </c>
      <c r="N60" s="295">
        <v>22000</v>
      </c>
      <c r="O60" s="295">
        <v>98000</v>
      </c>
      <c r="P60" s="295">
        <v>1000</v>
      </c>
      <c r="Q60" s="295">
        <v>499000</v>
      </c>
      <c r="R60" s="295">
        <v>118000</v>
      </c>
      <c r="S60" s="304">
        <v>1513000</v>
      </c>
      <c r="T60" s="826">
        <f t="shared" si="5"/>
        <v>4118000</v>
      </c>
      <c r="U60" s="827">
        <v>4115000</v>
      </c>
      <c r="V60" s="9"/>
      <c r="W60" s="9"/>
    </row>
    <row r="61" spans="1:23" ht="15.75" x14ac:dyDescent="0.25">
      <c r="A61" s="119"/>
      <c r="B61" s="136"/>
      <c r="C61" s="142" t="s">
        <v>234</v>
      </c>
      <c r="D61" s="301">
        <v>3000</v>
      </c>
      <c r="E61" s="147">
        <v>18000</v>
      </c>
      <c r="F61" s="147">
        <v>41000</v>
      </c>
      <c r="G61" s="147">
        <v>14000</v>
      </c>
      <c r="H61" s="147">
        <v>3000</v>
      </c>
      <c r="I61" s="147">
        <v>15000</v>
      </c>
      <c r="J61" s="147">
        <v>139000</v>
      </c>
      <c r="K61" s="147">
        <v>1000</v>
      </c>
      <c r="L61" s="147">
        <v>4000</v>
      </c>
      <c r="M61" s="147">
        <v>27000</v>
      </c>
      <c r="N61" s="147">
        <v>7000</v>
      </c>
      <c r="O61" s="147">
        <v>23000</v>
      </c>
      <c r="P61" s="147">
        <v>0</v>
      </c>
      <c r="Q61" s="147">
        <v>3000</v>
      </c>
      <c r="R61" s="147">
        <v>1000</v>
      </c>
      <c r="S61" s="302">
        <v>280000</v>
      </c>
      <c r="T61" s="294">
        <f t="shared" si="5"/>
        <v>579000</v>
      </c>
      <c r="U61" s="9">
        <v>579000</v>
      </c>
      <c r="V61" s="9"/>
      <c r="W61" s="9"/>
    </row>
    <row r="62" spans="1:23" ht="15.75" x14ac:dyDescent="0.25">
      <c r="A62" s="119"/>
      <c r="B62" s="136"/>
      <c r="C62" s="142" t="s">
        <v>233</v>
      </c>
      <c r="D62" s="301">
        <v>96000</v>
      </c>
      <c r="E62" s="147">
        <v>62000</v>
      </c>
      <c r="F62" s="147">
        <v>180000</v>
      </c>
      <c r="G62" s="147">
        <v>27000</v>
      </c>
      <c r="H62" s="147">
        <v>19000</v>
      </c>
      <c r="I62" s="147">
        <v>107000</v>
      </c>
      <c r="J62" s="147">
        <v>152000</v>
      </c>
      <c r="K62" s="147">
        <v>2000</v>
      </c>
      <c r="L62" s="147">
        <v>2000</v>
      </c>
      <c r="M62" s="147">
        <v>120000</v>
      </c>
      <c r="N62" s="147">
        <v>171000</v>
      </c>
      <c r="O62" s="147">
        <v>58000</v>
      </c>
      <c r="P62" s="147">
        <v>0</v>
      </c>
      <c r="Q62" s="147">
        <v>15000</v>
      </c>
      <c r="R62" s="147">
        <v>5000</v>
      </c>
      <c r="S62" s="302">
        <v>1132000</v>
      </c>
      <c r="T62" s="294">
        <f t="shared" si="5"/>
        <v>2148000</v>
      </c>
      <c r="U62" s="230"/>
      <c r="V62" s="9"/>
      <c r="W62" s="9"/>
    </row>
    <row r="63" spans="1:23" ht="15.75" x14ac:dyDescent="0.25">
      <c r="A63" s="119"/>
      <c r="B63" s="136"/>
      <c r="C63" s="142" t="s">
        <v>469</v>
      </c>
      <c r="D63" s="305"/>
      <c r="E63" s="149">
        <v>1</v>
      </c>
      <c r="F63" s="149">
        <v>4</v>
      </c>
      <c r="G63" s="149"/>
      <c r="H63" s="149">
        <v>1</v>
      </c>
      <c r="I63" s="149">
        <v>2</v>
      </c>
      <c r="J63" s="149">
        <v>2</v>
      </c>
      <c r="K63" s="149"/>
      <c r="L63" s="149"/>
      <c r="M63" s="149">
        <v>1</v>
      </c>
      <c r="N63" s="149"/>
      <c r="O63" s="149"/>
      <c r="P63" s="149"/>
      <c r="Q63" s="149"/>
      <c r="R63" s="149">
        <v>1</v>
      </c>
      <c r="S63" s="306">
        <v>6</v>
      </c>
      <c r="T63" s="1064">
        <f t="shared" si="5"/>
        <v>18</v>
      </c>
      <c r="U63" s="230"/>
      <c r="V63" s="9"/>
      <c r="W63" s="9"/>
    </row>
    <row r="64" spans="1:23" ht="16.5" thickBot="1" x14ac:dyDescent="0.3">
      <c r="A64" s="119"/>
      <c r="B64" s="136"/>
      <c r="C64" s="142" t="s">
        <v>597</v>
      </c>
      <c r="D64" s="301">
        <v>12000</v>
      </c>
      <c r="E64" s="147">
        <v>25000</v>
      </c>
      <c r="F64" s="147">
        <v>66000</v>
      </c>
      <c r="G64" s="147">
        <v>14000</v>
      </c>
      <c r="H64" s="147">
        <v>12000</v>
      </c>
      <c r="I64" s="147">
        <v>40000</v>
      </c>
      <c r="J64" s="147">
        <v>113000</v>
      </c>
      <c r="K64" s="147">
        <v>9000</v>
      </c>
      <c r="L64" s="147">
        <v>7000</v>
      </c>
      <c r="M64" s="147">
        <v>51000</v>
      </c>
      <c r="N64" s="147">
        <v>10000</v>
      </c>
      <c r="O64" s="147">
        <v>47000</v>
      </c>
      <c r="P64" s="147">
        <v>3000</v>
      </c>
      <c r="Q64" s="147">
        <v>27000</v>
      </c>
      <c r="R64" s="147">
        <v>11000</v>
      </c>
      <c r="S64" s="302">
        <v>306000</v>
      </c>
      <c r="T64" s="294">
        <v>753000</v>
      </c>
      <c r="U64" s="230"/>
      <c r="V64" s="9"/>
      <c r="W64" s="9"/>
    </row>
    <row r="65" spans="1:23" ht="16.5" thickBot="1" x14ac:dyDescent="0.3">
      <c r="A65" s="119"/>
      <c r="B65" s="136"/>
      <c r="C65" s="296" t="s">
        <v>169</v>
      </c>
      <c r="D65" s="1066">
        <f>SUM(D58:D62)+D64</f>
        <v>258000</v>
      </c>
      <c r="E65" s="1067">
        <f t="shared" ref="E65:S65" si="6">SUM(E58:E62)+E64</f>
        <v>853000</v>
      </c>
      <c r="F65" s="1067">
        <f t="shared" si="6"/>
        <v>1457000</v>
      </c>
      <c r="G65" s="1067">
        <f t="shared" si="6"/>
        <v>361000</v>
      </c>
      <c r="H65" s="1067">
        <f t="shared" si="6"/>
        <v>584000</v>
      </c>
      <c r="I65" s="1067">
        <f t="shared" si="6"/>
        <v>933000</v>
      </c>
      <c r="J65" s="1067">
        <f t="shared" si="6"/>
        <v>2040000</v>
      </c>
      <c r="K65" s="1067">
        <f t="shared" si="6"/>
        <v>113000</v>
      </c>
      <c r="L65" s="1067">
        <f t="shared" si="6"/>
        <v>42000</v>
      </c>
      <c r="M65" s="1067">
        <f t="shared" si="6"/>
        <v>1363000</v>
      </c>
      <c r="N65" s="1067">
        <f t="shared" si="6"/>
        <v>214000</v>
      </c>
      <c r="O65" s="1067">
        <f t="shared" si="6"/>
        <v>673000</v>
      </c>
      <c r="P65" s="1067">
        <f t="shared" si="6"/>
        <v>4000</v>
      </c>
      <c r="Q65" s="1067">
        <f t="shared" si="6"/>
        <v>1133000</v>
      </c>
      <c r="R65" s="1067">
        <f t="shared" si="6"/>
        <v>344000</v>
      </c>
      <c r="S65" s="1068">
        <f t="shared" si="6"/>
        <v>9064000</v>
      </c>
      <c r="T65" s="294">
        <f>SUM(T58:T63)+T64</f>
        <v>19436018</v>
      </c>
      <c r="U65" s="9"/>
      <c r="V65" s="9"/>
      <c r="W65" s="9"/>
    </row>
    <row r="66" spans="1:23" ht="15.75" x14ac:dyDescent="0.25">
      <c r="A66" s="119"/>
      <c r="B66" s="136"/>
      <c r="C66" s="231"/>
      <c r="D66" s="232"/>
      <c r="E66" s="232"/>
      <c r="F66" s="232"/>
      <c r="G66" s="232"/>
      <c r="H66" s="232"/>
      <c r="I66" s="232"/>
      <c r="J66" s="232"/>
      <c r="K66" s="232"/>
      <c r="L66" s="232"/>
      <c r="M66" s="232"/>
      <c r="N66" s="232"/>
      <c r="O66" s="232"/>
      <c r="P66" s="232"/>
      <c r="Q66" s="232"/>
      <c r="R66" s="232"/>
      <c r="S66" s="232"/>
      <c r="T66" s="233"/>
      <c r="U66" s="9"/>
      <c r="V66" s="9"/>
      <c r="W66" s="9"/>
    </row>
    <row r="67" spans="1:23" ht="15.75" x14ac:dyDescent="0.25">
      <c r="A67" s="119"/>
      <c r="B67" s="311"/>
      <c r="C67" s="231"/>
      <c r="D67" s="1283">
        <f>SUM(D58:D62)+D64</f>
        <v>258000</v>
      </c>
      <c r="E67" s="1283">
        <f t="shared" ref="E67:S67" si="7">SUM(E58:E62)+E64</f>
        <v>853000</v>
      </c>
      <c r="F67" s="1283">
        <f t="shared" si="7"/>
        <v>1457000</v>
      </c>
      <c r="G67" s="1283">
        <f t="shared" si="7"/>
        <v>361000</v>
      </c>
      <c r="H67" s="1283">
        <f t="shared" si="7"/>
        <v>584000</v>
      </c>
      <c r="I67" s="1283">
        <f t="shared" si="7"/>
        <v>933000</v>
      </c>
      <c r="J67" s="1283">
        <f t="shared" si="7"/>
        <v>2040000</v>
      </c>
      <c r="K67" s="1283">
        <f t="shared" si="7"/>
        <v>113000</v>
      </c>
      <c r="L67" s="1283">
        <f t="shared" si="7"/>
        <v>42000</v>
      </c>
      <c r="M67" s="1283">
        <f t="shared" si="7"/>
        <v>1363000</v>
      </c>
      <c r="N67" s="1283">
        <f t="shared" si="7"/>
        <v>214000</v>
      </c>
      <c r="O67" s="1283">
        <f t="shared" si="7"/>
        <v>673000</v>
      </c>
      <c r="P67" s="1283">
        <f t="shared" si="7"/>
        <v>4000</v>
      </c>
      <c r="Q67" s="1283">
        <f t="shared" si="7"/>
        <v>1133000</v>
      </c>
      <c r="R67" s="1283">
        <f t="shared" si="7"/>
        <v>344000</v>
      </c>
      <c r="S67" s="1283">
        <f t="shared" si="7"/>
        <v>9064000</v>
      </c>
      <c r="T67" s="1065"/>
      <c r="U67" s="9">
        <v>754000</v>
      </c>
      <c r="V67" s="9"/>
      <c r="W67" s="9"/>
    </row>
    <row r="68" spans="1:23" ht="15.75" x14ac:dyDescent="0.25">
      <c r="A68" s="822"/>
      <c r="B68" s="823"/>
      <c r="C68" s="313"/>
      <c r="D68" s="232"/>
      <c r="E68" s="232"/>
      <c r="F68" s="232"/>
      <c r="G68" s="232"/>
      <c r="H68" s="232"/>
      <c r="I68" s="232"/>
      <c r="J68" s="232"/>
      <c r="K68" s="232"/>
      <c r="L68" s="232"/>
      <c r="M68" s="232"/>
      <c r="N68" s="232"/>
      <c r="O68" s="232"/>
      <c r="P68" s="232"/>
      <c r="Q68" s="232"/>
      <c r="R68" s="232"/>
      <c r="S68" s="232"/>
      <c r="T68" s="1063">
        <f>SUM(T67+T65)</f>
        <v>19436018</v>
      </c>
      <c r="U68" s="9"/>
      <c r="V68" s="9"/>
      <c r="W68" s="9"/>
    </row>
    <row r="69" spans="1:23" ht="15.75" hidden="1" x14ac:dyDescent="0.25">
      <c r="A69" s="822"/>
      <c r="B69" s="823"/>
      <c r="C69" s="313"/>
      <c r="D69" s="310"/>
      <c r="E69" s="310"/>
      <c r="F69" s="310"/>
      <c r="G69" s="310"/>
      <c r="H69" s="310"/>
      <c r="I69" s="310"/>
      <c r="J69" s="310"/>
      <c r="K69" s="310"/>
      <c r="L69" s="310"/>
      <c r="M69" s="310"/>
      <c r="N69" s="310"/>
      <c r="O69" s="310"/>
      <c r="P69" s="310"/>
      <c r="Q69" s="310"/>
      <c r="R69" s="310"/>
      <c r="S69" s="310"/>
      <c r="T69" s="312"/>
      <c r="U69" s="9"/>
      <c r="V69" s="9"/>
      <c r="W69" s="9"/>
    </row>
    <row r="70" spans="1:23" ht="15.75" hidden="1" x14ac:dyDescent="0.25">
      <c r="A70" s="822"/>
      <c r="B70" s="824"/>
      <c r="C70" s="139" t="s">
        <v>172</v>
      </c>
      <c r="D70" s="140"/>
      <c r="E70" s="140"/>
      <c r="F70" s="140"/>
      <c r="G70" s="140"/>
      <c r="H70" s="140"/>
      <c r="I70" s="140"/>
      <c r="J70" s="140"/>
      <c r="K70" s="140"/>
      <c r="L70" s="140"/>
      <c r="M70" s="140"/>
      <c r="N70" s="140"/>
      <c r="O70" s="140"/>
      <c r="P70" s="140"/>
      <c r="Q70" s="140"/>
      <c r="R70" s="140"/>
      <c r="S70" s="140"/>
      <c r="T70" s="141"/>
      <c r="U70" s="9"/>
      <c r="V70" s="9"/>
      <c r="W70" s="9"/>
    </row>
    <row r="71" spans="1:23" ht="15.75" hidden="1" x14ac:dyDescent="0.25">
      <c r="A71" s="822"/>
      <c r="B71" s="824"/>
      <c r="C71" s="142" t="s">
        <v>168</v>
      </c>
      <c r="D71" s="147"/>
      <c r="E71" s="147"/>
      <c r="F71" s="147"/>
      <c r="G71" s="147"/>
      <c r="H71" s="147"/>
      <c r="I71" s="147"/>
      <c r="J71" s="147"/>
      <c r="K71" s="147"/>
      <c r="L71" s="147"/>
      <c r="M71" s="147"/>
      <c r="N71" s="147"/>
      <c r="O71" s="147"/>
      <c r="P71" s="147"/>
      <c r="Q71" s="147"/>
      <c r="R71" s="147"/>
      <c r="S71" s="302"/>
      <c r="T71" s="294">
        <f>SUM(D71:S71)</f>
        <v>0</v>
      </c>
      <c r="U71" s="9"/>
      <c r="V71" s="9"/>
      <c r="W71" s="9"/>
    </row>
    <row r="72" spans="1:23" ht="15.75" hidden="1" x14ac:dyDescent="0.25">
      <c r="A72" s="822"/>
      <c r="B72" s="824"/>
      <c r="C72" s="142" t="s">
        <v>95</v>
      </c>
      <c r="D72" s="295"/>
      <c r="E72" s="295"/>
      <c r="F72" s="295"/>
      <c r="G72" s="295"/>
      <c r="H72" s="295"/>
      <c r="I72" s="295"/>
      <c r="J72" s="295"/>
      <c r="K72" s="295"/>
      <c r="L72" s="295"/>
      <c r="M72" s="295"/>
      <c r="N72" s="295"/>
      <c r="O72" s="295"/>
      <c r="P72" s="295"/>
      <c r="Q72" s="295"/>
      <c r="R72" s="295"/>
      <c r="S72" s="304"/>
      <c r="T72" s="294">
        <f t="shared" ref="T72:T77" si="8">SUM(D72:S72)</f>
        <v>0</v>
      </c>
      <c r="U72" s="9"/>
      <c r="V72" s="9"/>
      <c r="W72" s="9"/>
    </row>
    <row r="73" spans="1:23" ht="15.75" hidden="1" x14ac:dyDescent="0.25">
      <c r="A73" s="822"/>
      <c r="B73" s="824"/>
      <c r="C73" s="142" t="s">
        <v>171</v>
      </c>
      <c r="D73" s="295"/>
      <c r="E73" s="295"/>
      <c r="F73" s="295"/>
      <c r="G73" s="295"/>
      <c r="H73" s="295"/>
      <c r="I73" s="295"/>
      <c r="J73" s="295"/>
      <c r="K73" s="295"/>
      <c r="L73" s="295"/>
      <c r="M73" s="295"/>
      <c r="N73" s="295"/>
      <c r="O73" s="295"/>
      <c r="P73" s="295"/>
      <c r="Q73" s="295"/>
      <c r="R73" s="295"/>
      <c r="S73" s="304"/>
      <c r="T73" s="294">
        <f t="shared" si="8"/>
        <v>0</v>
      </c>
      <c r="U73" s="9"/>
      <c r="V73" s="9"/>
      <c r="W73" s="9"/>
    </row>
    <row r="74" spans="1:23" ht="15.75" hidden="1" x14ac:dyDescent="0.25">
      <c r="A74" s="822"/>
      <c r="B74" s="824"/>
      <c r="C74" s="142" t="s">
        <v>96</v>
      </c>
      <c r="D74" s="147"/>
      <c r="E74" s="147"/>
      <c r="F74" s="147"/>
      <c r="G74" s="147"/>
      <c r="H74" s="147"/>
      <c r="I74" s="147"/>
      <c r="J74" s="147"/>
      <c r="K74" s="147"/>
      <c r="L74" s="147"/>
      <c r="M74" s="147"/>
      <c r="N74" s="147"/>
      <c r="O74" s="147"/>
      <c r="P74" s="147"/>
      <c r="Q74" s="147"/>
      <c r="R74" s="147"/>
      <c r="S74" s="302"/>
      <c r="T74" s="294">
        <f t="shared" si="8"/>
        <v>0</v>
      </c>
      <c r="U74" s="9"/>
      <c r="V74" s="9"/>
      <c r="W74" s="9"/>
    </row>
    <row r="75" spans="1:23" ht="15.75" hidden="1" x14ac:dyDescent="0.25">
      <c r="A75" s="822"/>
      <c r="B75" s="824"/>
      <c r="C75" s="142" t="s">
        <v>233</v>
      </c>
      <c r="D75" s="147"/>
      <c r="E75" s="147"/>
      <c r="F75" s="147"/>
      <c r="G75" s="147"/>
      <c r="H75" s="147"/>
      <c r="I75" s="147"/>
      <c r="J75" s="147"/>
      <c r="K75" s="147"/>
      <c r="L75" s="147"/>
      <c r="M75" s="147"/>
      <c r="N75" s="147"/>
      <c r="O75" s="147"/>
      <c r="P75" s="147"/>
      <c r="Q75" s="147"/>
      <c r="R75" s="147"/>
      <c r="S75" s="302"/>
      <c r="T75" s="294">
        <f t="shared" si="8"/>
        <v>0</v>
      </c>
      <c r="U75" s="9"/>
      <c r="V75" s="9"/>
      <c r="W75" s="9"/>
    </row>
    <row r="76" spans="1:23" ht="15.75" hidden="1" x14ac:dyDescent="0.25">
      <c r="A76" s="822"/>
      <c r="B76" s="824"/>
      <c r="C76" s="142" t="s">
        <v>70</v>
      </c>
      <c r="D76" s="149"/>
      <c r="E76" s="149"/>
      <c r="F76" s="149"/>
      <c r="G76" s="149"/>
      <c r="H76" s="149"/>
      <c r="I76" s="149"/>
      <c r="J76" s="149"/>
      <c r="K76" s="149"/>
      <c r="L76" s="149"/>
      <c r="M76" s="149"/>
      <c r="N76" s="149"/>
      <c r="O76" s="149"/>
      <c r="P76" s="149"/>
      <c r="Q76" s="149"/>
      <c r="R76" s="149"/>
      <c r="S76" s="306"/>
      <c r="T76" s="294"/>
      <c r="U76" s="9"/>
      <c r="V76" s="9"/>
      <c r="W76" s="9"/>
    </row>
    <row r="77" spans="1:23" ht="16.5" hidden="1" thickBot="1" x14ac:dyDescent="0.3">
      <c r="A77" s="822"/>
      <c r="B77" s="824"/>
      <c r="C77" s="296" t="s">
        <v>169</v>
      </c>
      <c r="D77" s="580"/>
      <c r="E77" s="580"/>
      <c r="F77" s="580"/>
      <c r="G77" s="580"/>
      <c r="H77" s="580"/>
      <c r="I77" s="580"/>
      <c r="J77" s="580"/>
      <c r="K77" s="580"/>
      <c r="L77" s="580"/>
      <c r="M77" s="580"/>
      <c r="N77" s="580"/>
      <c r="O77" s="580"/>
      <c r="P77" s="580"/>
      <c r="Q77" s="580"/>
      <c r="R77" s="580"/>
      <c r="S77" s="580"/>
      <c r="T77" s="581">
        <f t="shared" si="8"/>
        <v>0</v>
      </c>
      <c r="U77" s="9"/>
      <c r="V77" s="9"/>
      <c r="W77" s="9"/>
    </row>
    <row r="78" spans="1:23" ht="15.75" hidden="1" x14ac:dyDescent="0.25">
      <c r="A78" s="822"/>
      <c r="B78" s="824"/>
      <c r="C78" s="231"/>
      <c r="D78" s="232"/>
      <c r="E78" s="232"/>
      <c r="F78" s="293"/>
      <c r="G78" s="232"/>
      <c r="H78" s="232"/>
      <c r="I78" s="232"/>
      <c r="J78" s="232"/>
      <c r="K78" s="232"/>
      <c r="L78" s="232"/>
      <c r="M78" s="232"/>
      <c r="N78" s="232"/>
      <c r="O78" s="232"/>
      <c r="P78" s="232"/>
      <c r="Q78" s="232"/>
      <c r="R78" s="232"/>
      <c r="S78" s="232"/>
      <c r="T78" s="233"/>
      <c r="U78" s="9"/>
      <c r="V78" s="9"/>
      <c r="W78" s="9"/>
    </row>
    <row r="79" spans="1:23" ht="15.75" x14ac:dyDescent="0.25">
      <c r="A79" s="822"/>
      <c r="B79" s="824"/>
      <c r="C79" s="231"/>
      <c r="D79" s="232"/>
      <c r="E79" s="232"/>
      <c r="F79" s="232"/>
      <c r="G79" s="232"/>
      <c r="H79" s="232"/>
      <c r="I79" s="232"/>
      <c r="J79" s="232"/>
      <c r="K79" s="232"/>
      <c r="L79" s="232"/>
      <c r="M79" s="232"/>
      <c r="N79" s="232"/>
      <c r="O79" s="232"/>
      <c r="P79" s="232"/>
      <c r="Q79" s="232"/>
      <c r="R79" s="232"/>
      <c r="S79" s="232"/>
      <c r="T79" s="233" t="s">
        <v>594</v>
      </c>
      <c r="U79" s="9"/>
      <c r="V79" s="9"/>
      <c r="W79" s="9"/>
    </row>
    <row r="80" spans="1:23" ht="15.75" x14ac:dyDescent="0.25">
      <c r="A80" s="119"/>
      <c r="B80" s="136"/>
      <c r="C80" s="231"/>
      <c r="D80" s="232"/>
      <c r="E80" s="232"/>
      <c r="F80" s="232"/>
      <c r="G80" s="232"/>
      <c r="H80" s="232"/>
      <c r="I80" s="232"/>
      <c r="J80" s="232"/>
      <c r="K80" s="232"/>
      <c r="L80" s="232"/>
      <c r="M80" s="232"/>
      <c r="N80" s="232"/>
      <c r="O80" s="232"/>
      <c r="P80" s="232"/>
      <c r="Q80" s="232"/>
      <c r="R80" s="232"/>
      <c r="S80" s="232"/>
      <c r="T80" s="233"/>
      <c r="U80" s="9"/>
      <c r="V80" s="9"/>
      <c r="W80" s="9"/>
    </row>
    <row r="81" spans="1:23" ht="21.75" customHeight="1" thickBot="1" x14ac:dyDescent="0.3">
      <c r="A81" s="119"/>
      <c r="B81" s="136"/>
      <c r="C81" s="150"/>
      <c r="D81" s="151"/>
      <c r="E81" s="152"/>
      <c r="F81" s="152"/>
      <c r="G81" s="152"/>
      <c r="H81" s="152"/>
      <c r="I81" s="152"/>
      <c r="J81" s="152"/>
      <c r="K81" s="152"/>
      <c r="L81" s="152"/>
      <c r="M81" s="152"/>
      <c r="N81" s="152"/>
      <c r="O81" s="152"/>
      <c r="P81" s="152"/>
      <c r="Q81" s="152"/>
      <c r="R81" s="152"/>
      <c r="S81" s="152"/>
      <c r="T81" s="153"/>
      <c r="U81" s="152"/>
      <c r="V81" s="9"/>
      <c r="W81" s="9"/>
    </row>
    <row r="82" spans="1:23" ht="21.75" customHeight="1" thickBot="1" x14ac:dyDescent="0.3">
      <c r="B82" s="7"/>
      <c r="C82" s="154" t="s">
        <v>468</v>
      </c>
      <c r="D82" s="205" t="s">
        <v>8</v>
      </c>
      <c r="E82" s="205" t="s">
        <v>9</v>
      </c>
      <c r="F82" s="205" t="s">
        <v>10</v>
      </c>
      <c r="G82" s="205" t="s">
        <v>11</v>
      </c>
      <c r="H82" s="205" t="s">
        <v>12</v>
      </c>
      <c r="I82" s="205" t="s">
        <v>13</v>
      </c>
      <c r="J82" s="205" t="s">
        <v>14</v>
      </c>
      <c r="K82" s="205" t="s">
        <v>15</v>
      </c>
      <c r="L82" s="205" t="s">
        <v>16</v>
      </c>
      <c r="M82" s="205" t="s">
        <v>17</v>
      </c>
      <c r="N82" s="205" t="s">
        <v>18</v>
      </c>
      <c r="O82" s="205" t="s">
        <v>19</v>
      </c>
      <c r="P82" s="205" t="s">
        <v>20</v>
      </c>
      <c r="Q82" s="205" t="s">
        <v>21</v>
      </c>
      <c r="R82" s="205" t="s">
        <v>22</v>
      </c>
      <c r="S82" s="205" t="s">
        <v>23</v>
      </c>
      <c r="T82" s="206" t="s">
        <v>24</v>
      </c>
      <c r="U82" s="157"/>
      <c r="V82" s="9"/>
      <c r="W82" s="9"/>
    </row>
    <row r="83" spans="1:23" ht="21.75" customHeight="1" x14ac:dyDescent="0.25">
      <c r="B83" s="7"/>
      <c r="C83" s="199" t="s">
        <v>72</v>
      </c>
      <c r="D83" s="207">
        <f>Kontrollpanel!$E$37*D63</f>
        <v>0</v>
      </c>
      <c r="E83" s="207">
        <f>Kontrollpanel!$E$37*E63</f>
        <v>53968.3</v>
      </c>
      <c r="F83" s="207">
        <f>Kontrollpanel!$E$37*F63</f>
        <v>215873.2</v>
      </c>
      <c r="G83" s="207">
        <f>Kontrollpanel!$E$37*G63</f>
        <v>0</v>
      </c>
      <c r="H83" s="207">
        <f>Kontrollpanel!$E$37*H63</f>
        <v>53968.3</v>
      </c>
      <c r="I83" s="207">
        <f>Kontrollpanel!$E$37*I63</f>
        <v>107936.6</v>
      </c>
      <c r="J83" s="207">
        <f>Kontrollpanel!$E$37*J63</f>
        <v>107936.6</v>
      </c>
      <c r="K83" s="207">
        <f>Kontrollpanel!$E$37*K63</f>
        <v>0</v>
      </c>
      <c r="L83" s="207">
        <f>Kontrollpanel!$E$37*L63</f>
        <v>0</v>
      </c>
      <c r="M83" s="207">
        <f>Kontrollpanel!$E$37*M63</f>
        <v>53968.3</v>
      </c>
      <c r="N83" s="207">
        <f>Kontrollpanel!$E$37*N63</f>
        <v>0</v>
      </c>
      <c r="O83" s="207">
        <f>Kontrollpanel!$E$37*O63</f>
        <v>0</v>
      </c>
      <c r="P83" s="207">
        <f>Kontrollpanel!$E$37*P63</f>
        <v>0</v>
      </c>
      <c r="Q83" s="207">
        <f>Kontrollpanel!$E$37*Q63</f>
        <v>0</v>
      </c>
      <c r="R83" s="207">
        <f>Kontrollpanel!$E$37*R63</f>
        <v>53968.3</v>
      </c>
      <c r="S83" s="207">
        <f>Kontrollpanel!$E$37*S63</f>
        <v>323809.80000000005</v>
      </c>
      <c r="T83" s="208">
        <f>SUM(D83:S83)</f>
        <v>971429.40000000014</v>
      </c>
      <c r="U83" s="202"/>
      <c r="V83" s="9"/>
      <c r="W83" s="9"/>
    </row>
    <row r="84" spans="1:23" ht="18" customHeight="1" x14ac:dyDescent="0.25">
      <c r="B84" s="7"/>
      <c r="C84" s="200" t="s">
        <v>73</v>
      </c>
      <c r="D84" s="209">
        <v>0</v>
      </c>
      <c r="E84" s="163"/>
      <c r="F84" s="163"/>
      <c r="G84" s="163"/>
      <c r="H84" s="163"/>
      <c r="I84" s="163"/>
      <c r="J84" s="163"/>
      <c r="K84" s="163"/>
      <c r="L84" s="163"/>
      <c r="M84" s="163"/>
      <c r="N84" s="163"/>
      <c r="O84" s="163"/>
      <c r="P84" s="163"/>
      <c r="Q84" s="163"/>
      <c r="R84" s="163"/>
      <c r="S84" s="163"/>
      <c r="T84" s="210"/>
      <c r="U84" s="203"/>
      <c r="V84" s="9"/>
      <c r="W84" s="9"/>
    </row>
    <row r="85" spans="1:23" ht="16.5" customHeight="1" x14ac:dyDescent="0.25">
      <c r="B85" s="7"/>
      <c r="C85" s="134" t="s">
        <v>82</v>
      </c>
      <c r="D85" s="209">
        <f t="shared" ref="D85:S85" si="9">D65</f>
        <v>258000</v>
      </c>
      <c r="E85" s="209">
        <f t="shared" si="9"/>
        <v>853000</v>
      </c>
      <c r="F85" s="209">
        <f t="shared" si="9"/>
        <v>1457000</v>
      </c>
      <c r="G85" s="209">
        <f t="shared" si="9"/>
        <v>361000</v>
      </c>
      <c r="H85" s="209">
        <f t="shared" si="9"/>
        <v>584000</v>
      </c>
      <c r="I85" s="209">
        <f t="shared" si="9"/>
        <v>933000</v>
      </c>
      <c r="J85" s="209">
        <f t="shared" si="9"/>
        <v>2040000</v>
      </c>
      <c r="K85" s="209">
        <f t="shared" si="9"/>
        <v>113000</v>
      </c>
      <c r="L85" s="209">
        <f t="shared" si="9"/>
        <v>42000</v>
      </c>
      <c r="M85" s="209">
        <f t="shared" si="9"/>
        <v>1363000</v>
      </c>
      <c r="N85" s="209">
        <f t="shared" si="9"/>
        <v>214000</v>
      </c>
      <c r="O85" s="209">
        <f t="shared" si="9"/>
        <v>673000</v>
      </c>
      <c r="P85" s="209">
        <f t="shared" si="9"/>
        <v>4000</v>
      </c>
      <c r="Q85" s="209">
        <f t="shared" si="9"/>
        <v>1133000</v>
      </c>
      <c r="R85" s="209">
        <f t="shared" si="9"/>
        <v>344000</v>
      </c>
      <c r="S85" s="209">
        <f t="shared" si="9"/>
        <v>9064000</v>
      </c>
      <c r="T85" s="210">
        <f>SUM(D85:S85)</f>
        <v>19436000</v>
      </c>
      <c r="U85" s="203"/>
      <c r="V85" s="9"/>
      <c r="W85" s="9"/>
    </row>
    <row r="86" spans="1:23" ht="15.75" x14ac:dyDescent="0.25">
      <c r="B86" s="7"/>
      <c r="C86" s="134"/>
      <c r="D86" s="209"/>
      <c r="E86" s="163"/>
      <c r="F86" s="163"/>
      <c r="G86" s="163"/>
      <c r="H86" s="163"/>
      <c r="I86" s="163"/>
      <c r="J86" s="163"/>
      <c r="K86" s="163"/>
      <c r="L86" s="163"/>
      <c r="M86" s="163"/>
      <c r="N86" s="163"/>
      <c r="O86" s="163"/>
      <c r="P86" s="163"/>
      <c r="Q86" s="163"/>
      <c r="R86" s="163"/>
      <c r="S86" s="163"/>
      <c r="T86" s="211"/>
      <c r="U86" s="203"/>
      <c r="V86" s="9"/>
      <c r="W86" s="9"/>
    </row>
    <row r="87" spans="1:23" ht="17.25" customHeight="1" thickBot="1" x14ac:dyDescent="0.25">
      <c r="B87" s="64"/>
      <c r="C87" s="134" t="s">
        <v>109</v>
      </c>
      <c r="D87" s="212">
        <f>D88-(Kontrollpanel!$F$40*Kontrollpanel!$D$41*D47)</f>
        <v>217327.32319999998</v>
      </c>
      <c r="E87" s="212">
        <f>E88-(Kontrollpanel!$F$40*Kontrollpanel!$D$41*E47)</f>
        <v>821089.76880000008</v>
      </c>
      <c r="F87" s="212">
        <f>F88-(Kontrollpanel!$F$40*Kontrollpanel!$D$41*F47)</f>
        <v>1441177.456</v>
      </c>
      <c r="G87" s="212">
        <f>G88-(Kontrollpanel!$F$40*Kontrollpanel!$D$41*G47)</f>
        <v>310379.51679999998</v>
      </c>
      <c r="H87" s="212">
        <f>H88-(Kontrollpanel!$F$40*Kontrollpanel!$D$41*H47)</f>
        <v>594903.1128</v>
      </c>
      <c r="I87" s="212">
        <f>I88-(Kontrollpanel!$F$40*Kontrollpanel!$D$41*I47)</f>
        <v>902800.60479999997</v>
      </c>
      <c r="J87" s="212">
        <f>J88-(Kontrollpanel!$F$40*Kontrollpanel!$D$41*J47)</f>
        <v>1732143.4768000001</v>
      </c>
      <c r="K87" s="212">
        <f>K88-(Kontrollpanel!$F$40*Kontrollpanel!$D$41*K47)</f>
        <v>84163.953599999993</v>
      </c>
      <c r="L87" s="212">
        <f>L88-(Kontrollpanel!$F$40*Kontrollpanel!$D$41*L47)</f>
        <v>21726.622399999997</v>
      </c>
      <c r="M87" s="212">
        <f>M88-(Kontrollpanel!$F$40*Kontrollpanel!$D$41*M47)</f>
        <v>1236648.5688</v>
      </c>
      <c r="N87" s="212">
        <f>N88-(Kontrollpanel!$F$40*Kontrollpanel!$D$41*N47)</f>
        <v>180127.08960000001</v>
      </c>
      <c r="O87" s="212">
        <f>O88-(Kontrollpanel!$F$40*Kontrollpanel!$D$41*O47)</f>
        <v>509553.76319999993</v>
      </c>
      <c r="P87" s="212">
        <f>P88-(Kontrollpanel!$F$40*Kontrollpanel!$D$41*P47)</f>
        <v>-4436.7472000000016</v>
      </c>
      <c r="Q87" s="212">
        <f>Q88-(Kontrollpanel!$F$40*Kontrollpanel!$D$41*Q47)</f>
        <v>1040321.7024</v>
      </c>
      <c r="R87" s="212">
        <f>R88-(Kontrollpanel!$F$40*Kontrollpanel!$D$41*R47)</f>
        <v>363717.62479999999</v>
      </c>
      <c r="S87" s="212">
        <f>S88-(Kontrollpanel!$F$40*Kontrollpanel!$D$41*S47)</f>
        <v>8335482.9888000004</v>
      </c>
      <c r="T87" s="212">
        <f>T88-(Kontrollpanel!$F$40*Kontrollpanel!$D$41*T47)</f>
        <v>17787126.825599998</v>
      </c>
      <c r="U87" s="203"/>
      <c r="V87" s="36">
        <f>SUM(D87:S87)</f>
        <v>17787126.825599998</v>
      </c>
      <c r="W87" s="9"/>
    </row>
    <row r="88" spans="1:23" ht="16.5" thickBot="1" x14ac:dyDescent="0.3">
      <c r="B88" s="64"/>
      <c r="C88" s="201" t="s">
        <v>74</v>
      </c>
      <c r="D88" s="212">
        <f>SUM(D83:D85)</f>
        <v>258000</v>
      </c>
      <c r="E88" s="212">
        <f t="shared" ref="E88:S88" si="10">SUM(E83:E85)</f>
        <v>906968.3</v>
      </c>
      <c r="F88" s="212">
        <f t="shared" si="10"/>
        <v>1672873.2</v>
      </c>
      <c r="G88" s="212">
        <f t="shared" si="10"/>
        <v>361000</v>
      </c>
      <c r="H88" s="212">
        <f t="shared" si="10"/>
        <v>637968.30000000005</v>
      </c>
      <c r="I88" s="212">
        <f t="shared" si="10"/>
        <v>1040936.6</v>
      </c>
      <c r="J88" s="212">
        <f t="shared" si="10"/>
        <v>2147936.6</v>
      </c>
      <c r="K88" s="212">
        <f t="shared" si="10"/>
        <v>113000</v>
      </c>
      <c r="L88" s="212">
        <f t="shared" si="10"/>
        <v>42000</v>
      </c>
      <c r="M88" s="212">
        <f t="shared" si="10"/>
        <v>1416968.3</v>
      </c>
      <c r="N88" s="212">
        <f t="shared" si="10"/>
        <v>214000</v>
      </c>
      <c r="O88" s="212">
        <f t="shared" si="10"/>
        <v>673000</v>
      </c>
      <c r="P88" s="212">
        <f t="shared" si="10"/>
        <v>4000</v>
      </c>
      <c r="Q88" s="212">
        <f t="shared" si="10"/>
        <v>1133000</v>
      </c>
      <c r="R88" s="212">
        <f t="shared" si="10"/>
        <v>397968.3</v>
      </c>
      <c r="S88" s="212">
        <f t="shared" si="10"/>
        <v>9387809.8000000007</v>
      </c>
      <c r="T88" s="213">
        <f>SUM(T83:T85)</f>
        <v>20407429.399999999</v>
      </c>
      <c r="U88" s="204" t="s">
        <v>410</v>
      </c>
      <c r="V88" s="9"/>
      <c r="W88" s="9"/>
    </row>
    <row r="89" spans="1:23" ht="16.5" thickBot="1" x14ac:dyDescent="0.3">
      <c r="B89" s="64"/>
      <c r="C89" s="124"/>
      <c r="D89" s="171"/>
      <c r="E89" s="171"/>
      <c r="F89" s="171"/>
      <c r="G89" s="171"/>
      <c r="H89" s="171"/>
      <c r="I89" s="171"/>
      <c r="J89" s="171"/>
      <c r="K89" s="171"/>
      <c r="L89" s="171"/>
      <c r="M89" s="171"/>
      <c r="N89" s="171"/>
      <c r="O89" s="171"/>
      <c r="P89" s="171"/>
      <c r="Q89" s="171"/>
      <c r="R89" s="171"/>
      <c r="S89" s="171"/>
      <c r="T89" s="172"/>
      <c r="U89" s="173"/>
      <c r="V89" s="9"/>
      <c r="W89" s="9"/>
    </row>
    <row r="90" spans="1:23" ht="16.5" thickBot="1" x14ac:dyDescent="0.3">
      <c r="B90" s="64"/>
      <c r="C90" s="174" t="s">
        <v>99</v>
      </c>
      <c r="D90" s="175"/>
      <c r="E90" s="175"/>
      <c r="F90" s="175"/>
      <c r="G90" s="176"/>
      <c r="H90" s="175"/>
      <c r="I90" s="175"/>
      <c r="J90" s="175"/>
      <c r="K90" s="175"/>
      <c r="L90" s="175"/>
      <c r="M90" s="175"/>
      <c r="N90" s="176"/>
      <c r="O90" s="177"/>
      <c r="P90" s="177"/>
      <c r="Q90" s="177"/>
      <c r="R90" s="177"/>
      <c r="S90" s="177"/>
      <c r="T90" s="172"/>
      <c r="U90" s="173"/>
      <c r="V90" s="9"/>
      <c r="W90" s="9"/>
    </row>
    <row r="91" spans="1:23" ht="16.5" thickBot="1" x14ac:dyDescent="0.3">
      <c r="B91" s="64"/>
      <c r="C91" s="124"/>
      <c r="D91" s="177"/>
      <c r="E91" s="177"/>
      <c r="F91" s="177"/>
      <c r="G91" s="177"/>
      <c r="H91" s="177"/>
      <c r="I91" s="177"/>
      <c r="J91" s="177"/>
      <c r="K91" s="177"/>
      <c r="L91" s="177"/>
      <c r="M91" s="177"/>
      <c r="N91" s="177"/>
      <c r="O91" s="177"/>
      <c r="P91" s="177"/>
      <c r="Q91" s="177"/>
      <c r="R91" s="177"/>
      <c r="S91" s="177"/>
      <c r="T91" s="172"/>
      <c r="U91" s="173"/>
      <c r="V91" s="9"/>
      <c r="W91" s="9"/>
    </row>
    <row r="92" spans="1:23" ht="15.75" x14ac:dyDescent="0.25">
      <c r="B92" s="64"/>
      <c r="C92" s="178" t="s">
        <v>693</v>
      </c>
      <c r="D92" s="1303">
        <f>T87</f>
        <v>17787126.825599998</v>
      </c>
      <c r="E92" s="179"/>
      <c r="F92" s="179"/>
      <c r="G92" s="179"/>
      <c r="H92" s="180"/>
      <c r="I92" s="177"/>
      <c r="J92" s="1301" t="s">
        <v>694</v>
      </c>
      <c r="K92" s="1302">
        <f>T88-T87</f>
        <v>2620302.5744000003</v>
      </c>
      <c r="L92" s="177"/>
      <c r="M92" s="177"/>
      <c r="N92" s="177"/>
      <c r="O92" s="177"/>
      <c r="P92" s="177"/>
      <c r="Q92" s="177"/>
      <c r="R92" s="177"/>
      <c r="S92" s="177"/>
      <c r="T92" s="172"/>
      <c r="U92" s="173"/>
      <c r="V92" s="9"/>
      <c r="W92" s="9"/>
    </row>
    <row r="93" spans="1:23" ht="15.75" x14ac:dyDescent="0.25">
      <c r="B93" s="64"/>
      <c r="C93" s="181" t="s">
        <v>74</v>
      </c>
      <c r="D93" s="182">
        <f>SUM(T83:T85)</f>
        <v>20407429.399999999</v>
      </c>
      <c r="E93" s="182"/>
      <c r="F93" s="182"/>
      <c r="G93" s="182"/>
      <c r="H93" s="183"/>
      <c r="I93" s="96"/>
      <c r="J93" s="96"/>
      <c r="K93" s="96"/>
      <c r="L93" s="96"/>
      <c r="M93" s="96"/>
      <c r="N93" s="96"/>
      <c r="O93" s="96"/>
      <c r="P93" s="96"/>
      <c r="Q93" s="96"/>
      <c r="R93" s="96"/>
      <c r="S93" s="96"/>
      <c r="T93" s="96"/>
      <c r="U93" s="184"/>
      <c r="V93" s="9"/>
      <c r="W93" s="9"/>
    </row>
    <row r="94" spans="1:23" ht="15.75" x14ac:dyDescent="0.25">
      <c r="B94" s="64"/>
      <c r="C94" s="181" t="s">
        <v>75</v>
      </c>
      <c r="D94" s="1210">
        <f>Kontrollpanel!D39</f>
        <v>0.65</v>
      </c>
      <c r="E94" s="182"/>
      <c r="F94" s="182" t="s">
        <v>76</v>
      </c>
      <c r="G94" s="182"/>
      <c r="H94" s="183"/>
      <c r="I94" s="96"/>
      <c r="J94" s="96"/>
      <c r="K94" s="1302">
        <f>D93-D92</f>
        <v>2620302.5744000003</v>
      </c>
      <c r="L94" s="96"/>
      <c r="M94" s="96"/>
      <c r="N94" s="96"/>
      <c r="O94" s="96"/>
      <c r="P94" s="96"/>
      <c r="Q94" s="96"/>
      <c r="R94" s="96"/>
      <c r="S94" s="96"/>
      <c r="T94" s="96"/>
      <c r="U94" s="184"/>
      <c r="V94" s="9"/>
      <c r="W94" s="9"/>
    </row>
    <row r="95" spans="1:23" ht="15.75" x14ac:dyDescent="0.25">
      <c r="B95" s="7"/>
      <c r="C95" s="181" t="s">
        <v>77</v>
      </c>
      <c r="D95" s="182">
        <f>D92</f>
        <v>17787126.825599998</v>
      </c>
      <c r="E95" s="182"/>
      <c r="F95" s="182" t="s">
        <v>78</v>
      </c>
      <c r="G95" s="182"/>
      <c r="H95" s="183"/>
      <c r="I95" s="185"/>
      <c r="J95" s="185"/>
      <c r="K95" s="185"/>
      <c r="L95" s="185"/>
      <c r="M95" s="185"/>
      <c r="N95" s="185"/>
      <c r="O95" s="185"/>
      <c r="P95" s="185"/>
      <c r="Q95" s="185"/>
      <c r="R95" s="185"/>
      <c r="S95" s="185"/>
      <c r="T95" s="185"/>
      <c r="U95" s="186"/>
      <c r="V95" s="9"/>
      <c r="W95" s="9"/>
    </row>
    <row r="96" spans="1:23" ht="15.75" x14ac:dyDescent="0.25">
      <c r="B96" s="7"/>
      <c r="C96" s="181"/>
      <c r="D96" s="182"/>
      <c r="E96" s="182"/>
      <c r="F96" s="182"/>
      <c r="G96" s="182"/>
      <c r="H96" s="183"/>
      <c r="I96" s="185"/>
      <c r="J96" s="185"/>
      <c r="K96" s="185"/>
      <c r="L96" s="185"/>
      <c r="M96" s="185"/>
      <c r="N96" s="185"/>
      <c r="O96" s="185"/>
      <c r="P96" s="185"/>
      <c r="Q96" s="185"/>
      <c r="R96" s="185"/>
      <c r="S96" s="185"/>
      <c r="T96" s="185"/>
      <c r="U96" s="186"/>
      <c r="V96" s="9"/>
      <c r="W96" s="9"/>
    </row>
    <row r="97" spans="2:23" ht="16.5" thickBot="1" x14ac:dyDescent="0.3">
      <c r="B97" s="7"/>
      <c r="C97" s="187" t="s">
        <v>79</v>
      </c>
      <c r="D97" s="188">
        <f>D95/T43</f>
        <v>752.44836184271742</v>
      </c>
      <c r="E97" s="189"/>
      <c r="F97" s="189"/>
      <c r="G97" s="189"/>
      <c r="H97" s="190"/>
      <c r="I97" s="191"/>
      <c r="J97" s="191"/>
      <c r="K97" s="191"/>
      <c r="L97" s="191"/>
      <c r="M97" s="191"/>
      <c r="N97" s="191"/>
      <c r="O97" s="191"/>
      <c r="P97" s="191"/>
      <c r="Q97" s="191"/>
      <c r="R97" s="191"/>
      <c r="S97" s="191"/>
      <c r="T97" s="191"/>
      <c r="U97" s="152"/>
      <c r="V97" s="9"/>
      <c r="W97" s="9"/>
    </row>
    <row r="98" spans="2:23" hidden="1" x14ac:dyDescent="0.2">
      <c r="B98" s="7">
        <v>2012</v>
      </c>
      <c r="C98" s="152"/>
      <c r="D98" s="191"/>
      <c r="E98" s="191"/>
      <c r="F98" s="191"/>
      <c r="G98" s="191"/>
      <c r="H98" s="191"/>
      <c r="I98" s="191"/>
      <c r="J98" s="191"/>
      <c r="K98" s="191"/>
      <c r="L98" s="191"/>
      <c r="M98" s="191"/>
      <c r="N98" s="191"/>
      <c r="O98" s="191"/>
      <c r="P98" s="191"/>
      <c r="Q98" s="191"/>
      <c r="R98" s="191"/>
      <c r="S98" s="191"/>
      <c r="T98" s="191"/>
      <c r="U98" s="152"/>
      <c r="V98" s="18"/>
    </row>
    <row r="99" spans="2:23" hidden="1" x14ac:dyDescent="0.2">
      <c r="B99" s="7"/>
      <c r="C99" s="152"/>
      <c r="D99" s="191"/>
      <c r="E99" s="191"/>
      <c r="F99" s="191"/>
      <c r="G99" s="191"/>
      <c r="H99" s="191"/>
      <c r="I99" s="191"/>
      <c r="J99" s="191"/>
      <c r="K99" s="191"/>
      <c r="L99" s="191"/>
      <c r="M99" s="191"/>
      <c r="N99" s="191"/>
      <c r="O99" s="191"/>
      <c r="P99" s="191"/>
      <c r="Q99" s="191"/>
      <c r="R99" s="191"/>
      <c r="S99" s="191"/>
      <c r="T99" s="191"/>
      <c r="U99" s="152"/>
      <c r="V99" s="18"/>
    </row>
    <row r="100" spans="2:23" hidden="1" x14ac:dyDescent="0.2">
      <c r="B100" s="7"/>
      <c r="C100" s="152"/>
      <c r="D100" s="191"/>
      <c r="E100" s="191"/>
      <c r="F100" s="191"/>
      <c r="G100" s="191"/>
      <c r="H100" s="191"/>
      <c r="I100" s="191"/>
      <c r="J100" s="191"/>
      <c r="K100" s="191"/>
      <c r="L100" s="191"/>
      <c r="M100" s="191"/>
      <c r="N100" s="191"/>
      <c r="O100" s="191"/>
      <c r="P100" s="191"/>
      <c r="Q100" s="191"/>
      <c r="R100" s="191"/>
      <c r="S100" s="191"/>
      <c r="T100" s="191"/>
      <c r="U100" s="152"/>
      <c r="V100" s="18"/>
    </row>
    <row r="101" spans="2:23" hidden="1" x14ac:dyDescent="0.2">
      <c r="B101" s="7"/>
      <c r="C101" s="152"/>
      <c r="D101" s="191"/>
      <c r="E101" s="191"/>
      <c r="F101" s="191"/>
      <c r="G101" s="191"/>
      <c r="H101" s="191"/>
      <c r="I101" s="191"/>
      <c r="J101" s="191"/>
      <c r="K101" s="191"/>
      <c r="L101" s="191"/>
      <c r="M101" s="191"/>
      <c r="N101" s="191"/>
      <c r="O101" s="191"/>
      <c r="P101" s="191"/>
      <c r="Q101" s="191"/>
      <c r="R101" s="191"/>
      <c r="S101" s="191"/>
      <c r="T101" s="191"/>
      <c r="U101" s="152"/>
      <c r="V101" s="18"/>
    </row>
    <row r="102" spans="2:23" hidden="1" x14ac:dyDescent="0.2">
      <c r="B102" s="7"/>
      <c r="C102" s="152"/>
      <c r="D102" s="191"/>
      <c r="E102" s="191"/>
      <c r="F102" s="191"/>
      <c r="G102" s="191"/>
      <c r="H102" s="191"/>
      <c r="I102" s="191"/>
      <c r="J102" s="191"/>
      <c r="K102" s="191"/>
      <c r="L102" s="191"/>
      <c r="M102" s="191"/>
      <c r="N102" s="191"/>
      <c r="O102" s="191"/>
      <c r="P102" s="191"/>
      <c r="Q102" s="191"/>
      <c r="R102" s="191"/>
      <c r="S102" s="191"/>
      <c r="T102" s="191"/>
      <c r="U102" s="152"/>
      <c r="V102" s="18"/>
    </row>
    <row r="103" spans="2:23" hidden="1" x14ac:dyDescent="0.2">
      <c r="B103" s="7"/>
      <c r="C103" s="152"/>
      <c r="D103" s="191"/>
      <c r="E103" s="191"/>
      <c r="F103" s="191"/>
      <c r="G103" s="191"/>
      <c r="H103" s="191"/>
      <c r="I103" s="191"/>
      <c r="J103" s="191"/>
      <c r="K103" s="191"/>
      <c r="L103" s="191"/>
      <c r="M103" s="191"/>
      <c r="N103" s="191"/>
      <c r="O103" s="191"/>
      <c r="P103" s="191"/>
      <c r="Q103" s="191"/>
      <c r="R103" s="191"/>
      <c r="S103" s="191"/>
      <c r="T103" s="191"/>
      <c r="U103" s="152"/>
      <c r="V103" s="18"/>
    </row>
    <row r="104" spans="2:23" hidden="1" x14ac:dyDescent="0.2">
      <c r="B104" s="7"/>
      <c r="C104" s="152"/>
      <c r="D104" s="191"/>
      <c r="E104" s="191"/>
      <c r="F104" s="191"/>
      <c r="G104" s="191"/>
      <c r="H104" s="191"/>
      <c r="I104" s="191"/>
      <c r="J104" s="191"/>
      <c r="K104" s="191"/>
      <c r="L104" s="191"/>
      <c r="M104" s="191"/>
      <c r="N104" s="191"/>
      <c r="O104" s="191"/>
      <c r="P104" s="191"/>
      <c r="Q104" s="191"/>
      <c r="R104" s="191"/>
      <c r="S104" s="191"/>
      <c r="T104" s="191"/>
      <c r="U104" s="152"/>
      <c r="V104" s="18"/>
    </row>
    <row r="105" spans="2:23" hidden="1" x14ac:dyDescent="0.2">
      <c r="B105" s="7"/>
      <c r="C105" s="152"/>
      <c r="D105" s="191"/>
      <c r="E105" s="191"/>
      <c r="F105" s="191"/>
      <c r="G105" s="191"/>
      <c r="H105" s="191"/>
      <c r="I105" s="191"/>
      <c r="J105" s="191"/>
      <c r="K105" s="191"/>
      <c r="L105" s="191"/>
      <c r="M105" s="191"/>
      <c r="N105" s="191"/>
      <c r="O105" s="191"/>
      <c r="P105" s="191"/>
      <c r="Q105" s="191"/>
      <c r="R105" s="191"/>
      <c r="S105" s="191"/>
      <c r="T105" s="191"/>
      <c r="U105" s="152"/>
      <c r="V105" s="18"/>
    </row>
    <row r="106" spans="2:23" hidden="1" x14ac:dyDescent="0.2">
      <c r="B106" s="7"/>
      <c r="C106" s="152"/>
      <c r="D106" s="191"/>
      <c r="E106" s="191"/>
      <c r="F106" s="191"/>
      <c r="G106" s="191"/>
      <c r="H106" s="191"/>
      <c r="I106" s="191"/>
      <c r="J106" s="191"/>
      <c r="K106" s="191"/>
      <c r="L106" s="191"/>
      <c r="M106" s="191"/>
      <c r="N106" s="191"/>
      <c r="O106" s="191"/>
      <c r="P106" s="191"/>
      <c r="Q106" s="191"/>
      <c r="R106" s="191"/>
      <c r="S106" s="191"/>
      <c r="T106" s="191"/>
      <c r="U106" s="152"/>
      <c r="V106" s="18"/>
    </row>
    <row r="107" spans="2:23" hidden="1" x14ac:dyDescent="0.2">
      <c r="B107" s="7"/>
      <c r="C107" s="152"/>
      <c r="D107" s="191"/>
      <c r="E107" s="191"/>
      <c r="F107" s="191"/>
      <c r="G107" s="191"/>
      <c r="H107" s="191"/>
      <c r="I107" s="191"/>
      <c r="J107" s="191"/>
      <c r="K107" s="191"/>
      <c r="L107" s="191"/>
      <c r="M107" s="191"/>
      <c r="N107" s="191"/>
      <c r="O107" s="191"/>
      <c r="P107" s="191"/>
      <c r="Q107" s="191"/>
      <c r="R107" s="191"/>
      <c r="S107" s="191"/>
      <c r="T107" s="191"/>
      <c r="U107" s="152"/>
      <c r="V107" s="18"/>
    </row>
    <row r="108" spans="2:23" hidden="1" x14ac:dyDescent="0.2">
      <c r="B108" s="7"/>
      <c r="C108" s="152"/>
      <c r="D108" s="191"/>
      <c r="E108" s="191"/>
      <c r="F108" s="191"/>
      <c r="G108" s="191"/>
      <c r="H108" s="191"/>
      <c r="I108" s="191"/>
      <c r="J108" s="191"/>
      <c r="K108" s="191"/>
      <c r="L108" s="191"/>
      <c r="M108" s="191"/>
      <c r="N108" s="191"/>
      <c r="O108" s="191"/>
      <c r="P108" s="191"/>
      <c r="Q108" s="191"/>
      <c r="R108" s="191"/>
      <c r="S108" s="191"/>
      <c r="T108" s="191"/>
      <c r="U108" s="152"/>
      <c r="V108" s="19"/>
    </row>
    <row r="109" spans="2:23" hidden="1" x14ac:dyDescent="0.2">
      <c r="B109" s="7"/>
      <c r="C109" s="152"/>
      <c r="D109" s="191"/>
      <c r="E109" s="191"/>
      <c r="F109" s="191"/>
      <c r="G109" s="191"/>
      <c r="H109" s="191"/>
      <c r="I109" s="191"/>
      <c r="J109" s="191"/>
      <c r="K109" s="191"/>
      <c r="L109" s="191"/>
      <c r="M109" s="191"/>
      <c r="N109" s="191"/>
      <c r="O109" s="191"/>
      <c r="P109" s="191"/>
      <c r="Q109" s="191"/>
      <c r="R109" s="191"/>
      <c r="S109" s="191"/>
      <c r="T109" s="191"/>
      <c r="U109" s="152"/>
      <c r="V109" s="11"/>
    </row>
    <row r="110" spans="2:23" hidden="1" x14ac:dyDescent="0.2">
      <c r="B110" s="7"/>
      <c r="C110" s="152"/>
      <c r="D110" s="191"/>
      <c r="E110" s="191"/>
      <c r="F110" s="191"/>
      <c r="G110" s="191"/>
      <c r="H110" s="191"/>
      <c r="I110" s="191"/>
      <c r="J110" s="191"/>
      <c r="K110" s="191"/>
      <c r="L110" s="191"/>
      <c r="M110" s="191"/>
      <c r="N110" s="191"/>
      <c r="O110" s="191"/>
      <c r="P110" s="191"/>
      <c r="Q110" s="191"/>
      <c r="R110" s="191"/>
      <c r="S110" s="191"/>
      <c r="T110" s="191"/>
      <c r="U110" s="152"/>
      <c r="V110" s="14"/>
    </row>
    <row r="111" spans="2:23" hidden="1" x14ac:dyDescent="0.2">
      <c r="B111" s="7"/>
      <c r="C111" s="152"/>
      <c r="D111" s="191"/>
      <c r="E111" s="191"/>
      <c r="F111" s="191"/>
      <c r="G111" s="191"/>
      <c r="H111" s="191"/>
      <c r="I111" s="191"/>
      <c r="J111" s="191"/>
      <c r="K111" s="191"/>
      <c r="L111" s="191"/>
      <c r="M111" s="191"/>
      <c r="N111" s="191"/>
      <c r="O111" s="191"/>
      <c r="P111" s="191"/>
      <c r="Q111" s="191"/>
      <c r="R111" s="191"/>
      <c r="S111" s="191"/>
      <c r="T111" s="191"/>
      <c r="U111" s="152"/>
      <c r="V111" s="14"/>
    </row>
    <row r="112" spans="2:23" hidden="1" x14ac:dyDescent="0.2">
      <c r="B112" s="7"/>
      <c r="C112" s="152"/>
      <c r="D112" s="191"/>
      <c r="E112" s="191"/>
      <c r="F112" s="191"/>
      <c r="G112" s="191"/>
      <c r="H112" s="191"/>
      <c r="I112" s="191"/>
      <c r="J112" s="191"/>
      <c r="K112" s="191"/>
      <c r="L112" s="191"/>
      <c r="M112" s="191"/>
      <c r="N112" s="191"/>
      <c r="O112" s="191"/>
      <c r="P112" s="191"/>
      <c r="Q112" s="191"/>
      <c r="R112" s="191"/>
      <c r="S112" s="191"/>
      <c r="T112" s="191"/>
      <c r="U112" s="152"/>
      <c r="V112" s="14"/>
    </row>
    <row r="113" spans="2:22" hidden="1" x14ac:dyDescent="0.2">
      <c r="B113" s="7"/>
      <c r="C113" s="152"/>
      <c r="D113" s="191"/>
      <c r="E113" s="191"/>
      <c r="F113" s="191"/>
      <c r="G113" s="191"/>
      <c r="H113" s="191"/>
      <c r="I113" s="191"/>
      <c r="J113" s="191"/>
      <c r="K113" s="191"/>
      <c r="L113" s="191"/>
      <c r="M113" s="191"/>
      <c r="N113" s="191"/>
      <c r="O113" s="191"/>
      <c r="P113" s="191"/>
      <c r="Q113" s="191"/>
      <c r="R113" s="191"/>
      <c r="S113" s="191"/>
      <c r="T113" s="191"/>
      <c r="U113" s="152"/>
      <c r="V113" s="14"/>
    </row>
    <row r="114" spans="2:22" hidden="1" x14ac:dyDescent="0.2">
      <c r="B114" s="7"/>
      <c r="C114" s="152"/>
      <c r="D114" s="191"/>
      <c r="E114" s="191"/>
      <c r="F114" s="191"/>
      <c r="G114" s="191"/>
      <c r="H114" s="191"/>
      <c r="I114" s="191"/>
      <c r="J114" s="191"/>
      <c r="K114" s="191"/>
      <c r="L114" s="191"/>
      <c r="M114" s="191"/>
      <c r="N114" s="191"/>
      <c r="O114" s="191"/>
      <c r="P114" s="191"/>
      <c r="Q114" s="191"/>
      <c r="R114" s="191"/>
      <c r="S114" s="191"/>
      <c r="T114" s="191"/>
      <c r="U114" s="152"/>
      <c r="V114" s="14"/>
    </row>
    <row r="115" spans="2:22" hidden="1" x14ac:dyDescent="0.2">
      <c r="B115" s="7"/>
      <c r="C115" s="152"/>
      <c r="D115" s="191"/>
      <c r="E115" s="191"/>
      <c r="F115" s="191"/>
      <c r="G115" s="191"/>
      <c r="H115" s="191"/>
      <c r="I115" s="191"/>
      <c r="J115" s="191"/>
      <c r="K115" s="191"/>
      <c r="L115" s="191"/>
      <c r="M115" s="191"/>
      <c r="N115" s="191"/>
      <c r="O115" s="191"/>
      <c r="P115" s="191"/>
      <c r="Q115" s="191"/>
      <c r="R115" s="191"/>
      <c r="S115" s="191"/>
      <c r="T115" s="191"/>
      <c r="U115" s="152"/>
      <c r="V115" s="14"/>
    </row>
    <row r="116" spans="2:22" hidden="1" x14ac:dyDescent="0.2">
      <c r="B116" s="7"/>
      <c r="C116" s="152"/>
      <c r="D116" s="191"/>
      <c r="E116" s="191"/>
      <c r="F116" s="191"/>
      <c r="G116" s="191"/>
      <c r="H116" s="191"/>
      <c r="I116" s="191"/>
      <c r="J116" s="191"/>
      <c r="K116" s="191"/>
      <c r="L116" s="191"/>
      <c r="M116" s="191"/>
      <c r="N116" s="191"/>
      <c r="O116" s="191"/>
      <c r="P116" s="191"/>
      <c r="Q116" s="191"/>
      <c r="R116" s="191"/>
      <c r="S116" s="191"/>
      <c r="T116" s="191"/>
      <c r="U116" s="152"/>
      <c r="V116" s="14"/>
    </row>
    <row r="117" spans="2:22" hidden="1" x14ac:dyDescent="0.2">
      <c r="B117" s="7"/>
      <c r="C117" s="152"/>
      <c r="D117" s="191"/>
      <c r="E117" s="191"/>
      <c r="F117" s="191"/>
      <c r="G117" s="191"/>
      <c r="H117" s="191"/>
      <c r="I117" s="191"/>
      <c r="J117" s="191"/>
      <c r="K117" s="191"/>
      <c r="L117" s="191"/>
      <c r="M117" s="191"/>
      <c r="N117" s="191"/>
      <c r="O117" s="191"/>
      <c r="P117" s="191"/>
      <c r="Q117" s="191"/>
      <c r="R117" s="191"/>
      <c r="S117" s="191"/>
      <c r="T117" s="191"/>
      <c r="U117" s="152"/>
      <c r="V117" s="14"/>
    </row>
    <row r="118" spans="2:22" hidden="1" x14ac:dyDescent="0.2">
      <c r="B118" s="7"/>
      <c r="C118" s="152"/>
      <c r="D118" s="191"/>
      <c r="E118" s="191"/>
      <c r="F118" s="191"/>
      <c r="G118" s="191"/>
      <c r="H118" s="191"/>
      <c r="I118" s="191"/>
      <c r="J118" s="191"/>
      <c r="K118" s="191"/>
      <c r="L118" s="191"/>
      <c r="M118" s="191"/>
      <c r="N118" s="191"/>
      <c r="O118" s="191"/>
      <c r="P118" s="191"/>
      <c r="Q118" s="191"/>
      <c r="R118" s="191"/>
      <c r="S118" s="191"/>
      <c r="T118" s="191"/>
      <c r="U118" s="152"/>
      <c r="V118" s="14"/>
    </row>
    <row r="119" spans="2:22" hidden="1" x14ac:dyDescent="0.2">
      <c r="B119" s="7"/>
      <c r="C119" s="152"/>
      <c r="D119" s="191"/>
      <c r="E119" s="191"/>
      <c r="F119" s="191"/>
      <c r="G119" s="191"/>
      <c r="H119" s="191"/>
      <c r="I119" s="191"/>
      <c r="J119" s="191"/>
      <c r="K119" s="191"/>
      <c r="L119" s="191"/>
      <c r="M119" s="191"/>
      <c r="N119" s="191"/>
      <c r="O119" s="191"/>
      <c r="P119" s="191"/>
      <c r="Q119" s="191"/>
      <c r="R119" s="191"/>
      <c r="S119" s="191"/>
      <c r="T119" s="191"/>
      <c r="U119" s="152"/>
      <c r="V119" s="14"/>
    </row>
    <row r="120" spans="2:22" hidden="1" x14ac:dyDescent="0.2">
      <c r="B120" s="7"/>
      <c r="C120" s="152"/>
      <c r="D120" s="191"/>
      <c r="E120" s="191"/>
      <c r="F120" s="191"/>
      <c r="G120" s="191"/>
      <c r="H120" s="191"/>
      <c r="I120" s="191"/>
      <c r="J120" s="191"/>
      <c r="K120" s="191"/>
      <c r="L120" s="191"/>
      <c r="M120" s="191"/>
      <c r="N120" s="191"/>
      <c r="O120" s="191"/>
      <c r="P120" s="191"/>
      <c r="Q120" s="191"/>
      <c r="R120" s="191"/>
      <c r="S120" s="191"/>
      <c r="T120" s="191"/>
      <c r="U120" s="152"/>
      <c r="V120" s="14"/>
    </row>
    <row r="121" spans="2:22" hidden="1" x14ac:dyDescent="0.2">
      <c r="B121" s="7"/>
      <c r="C121" s="152"/>
      <c r="D121" s="191"/>
      <c r="E121" s="191"/>
      <c r="F121" s="191"/>
      <c r="G121" s="191"/>
      <c r="H121" s="191"/>
      <c r="I121" s="191"/>
      <c r="J121" s="191"/>
      <c r="K121" s="191"/>
      <c r="L121" s="191"/>
      <c r="M121" s="191"/>
      <c r="N121" s="191"/>
      <c r="O121" s="191"/>
      <c r="P121" s="191"/>
      <c r="Q121" s="191"/>
      <c r="R121" s="191"/>
      <c r="S121" s="191"/>
      <c r="T121" s="191"/>
      <c r="U121" s="152"/>
      <c r="V121" s="14"/>
    </row>
    <row r="122" spans="2:22" hidden="1" x14ac:dyDescent="0.2">
      <c r="B122" s="7"/>
      <c r="C122" s="152"/>
      <c r="D122" s="191"/>
      <c r="E122" s="191"/>
      <c r="F122" s="191"/>
      <c r="G122" s="191"/>
      <c r="H122" s="191"/>
      <c r="I122" s="191"/>
      <c r="J122" s="191"/>
      <c r="K122" s="191"/>
      <c r="L122" s="191"/>
      <c r="M122" s="191"/>
      <c r="N122" s="191"/>
      <c r="O122" s="191"/>
      <c r="P122" s="191"/>
      <c r="Q122" s="191"/>
      <c r="R122" s="191"/>
      <c r="S122" s="191"/>
      <c r="T122" s="191"/>
      <c r="U122" s="152"/>
      <c r="V122" s="14"/>
    </row>
    <row r="123" spans="2:22" hidden="1" x14ac:dyDescent="0.2">
      <c r="B123" s="7"/>
      <c r="C123" s="152"/>
      <c r="D123" s="191"/>
      <c r="E123" s="191"/>
      <c r="F123" s="191"/>
      <c r="G123" s="191"/>
      <c r="H123" s="191"/>
      <c r="I123" s="191"/>
      <c r="J123" s="191"/>
      <c r="K123" s="191"/>
      <c r="L123" s="191"/>
      <c r="M123" s="191"/>
      <c r="N123" s="191"/>
      <c r="O123" s="191"/>
      <c r="P123" s="191"/>
      <c r="Q123" s="191"/>
      <c r="R123" s="191"/>
      <c r="S123" s="191"/>
      <c r="T123" s="191"/>
      <c r="U123" s="152"/>
      <c r="V123" s="11"/>
    </row>
    <row r="124" spans="2:22" hidden="1" x14ac:dyDescent="0.2">
      <c r="B124" s="7"/>
      <c r="C124" s="152"/>
      <c r="D124" s="191"/>
      <c r="E124" s="191"/>
      <c r="F124" s="191"/>
      <c r="G124" s="191"/>
      <c r="H124" s="191"/>
      <c r="I124" s="191"/>
      <c r="J124" s="191"/>
      <c r="K124" s="191"/>
      <c r="L124" s="191"/>
      <c r="M124" s="191"/>
      <c r="N124" s="191"/>
      <c r="O124" s="191"/>
      <c r="P124" s="191"/>
      <c r="Q124" s="191"/>
      <c r="R124" s="191"/>
      <c r="S124" s="191"/>
      <c r="T124" s="191"/>
      <c r="U124" s="152"/>
      <c r="V124" s="11"/>
    </row>
    <row r="125" spans="2:22" hidden="1" x14ac:dyDescent="0.2">
      <c r="B125" s="7"/>
      <c r="C125" s="152"/>
      <c r="D125" s="191"/>
      <c r="E125" s="191"/>
      <c r="F125" s="191"/>
      <c r="G125" s="191"/>
      <c r="H125" s="191"/>
      <c r="I125" s="191"/>
      <c r="J125" s="191"/>
      <c r="K125" s="191"/>
      <c r="L125" s="191"/>
      <c r="M125" s="191"/>
      <c r="N125" s="191"/>
      <c r="O125" s="191"/>
      <c r="P125" s="191"/>
      <c r="Q125" s="191"/>
      <c r="R125" s="191"/>
      <c r="S125" s="191"/>
      <c r="T125" s="191"/>
      <c r="U125" s="152"/>
      <c r="V125" s="11"/>
    </row>
    <row r="126" spans="2:22" hidden="1" x14ac:dyDescent="0.2">
      <c r="B126" s="7">
        <v>2011</v>
      </c>
      <c r="C126" s="152"/>
      <c r="D126" s="191"/>
      <c r="E126" s="191"/>
      <c r="F126" s="191"/>
      <c r="G126" s="191"/>
      <c r="H126" s="191"/>
      <c r="I126" s="191"/>
      <c r="J126" s="191"/>
      <c r="K126" s="191"/>
      <c r="L126" s="191"/>
      <c r="M126" s="191"/>
      <c r="N126" s="191"/>
      <c r="O126" s="191"/>
      <c r="P126" s="191"/>
      <c r="Q126" s="191"/>
      <c r="R126" s="191"/>
      <c r="S126" s="191"/>
      <c r="T126" s="191"/>
      <c r="U126" s="152"/>
      <c r="V126" s="8"/>
    </row>
    <row r="127" spans="2:22" hidden="1" x14ac:dyDescent="0.2">
      <c r="B127" s="7"/>
      <c r="C127" s="152"/>
      <c r="D127" s="191"/>
      <c r="E127" s="191"/>
      <c r="F127" s="191"/>
      <c r="G127" s="191"/>
      <c r="H127" s="191"/>
      <c r="I127" s="191"/>
      <c r="J127" s="191"/>
      <c r="K127" s="191"/>
      <c r="L127" s="191"/>
      <c r="M127" s="191"/>
      <c r="N127" s="191"/>
      <c r="O127" s="191"/>
      <c r="P127" s="191"/>
      <c r="Q127" s="191"/>
      <c r="R127" s="191"/>
      <c r="S127" s="191"/>
      <c r="T127" s="191"/>
      <c r="U127" s="152"/>
      <c r="V127" s="18"/>
    </row>
    <row r="128" spans="2:22" hidden="1" x14ac:dyDescent="0.2">
      <c r="B128" s="7"/>
      <c r="C128" s="152"/>
      <c r="D128" s="191"/>
      <c r="E128" s="191"/>
      <c r="F128" s="191"/>
      <c r="G128" s="191"/>
      <c r="H128" s="191"/>
      <c r="I128" s="191"/>
      <c r="J128" s="191"/>
      <c r="K128" s="191"/>
      <c r="L128" s="191"/>
      <c r="M128" s="191"/>
      <c r="N128" s="191"/>
      <c r="O128" s="191"/>
      <c r="P128" s="191"/>
      <c r="Q128" s="191"/>
      <c r="R128" s="191"/>
      <c r="S128" s="191"/>
      <c r="T128" s="191"/>
      <c r="U128" s="152"/>
      <c r="V128" s="18"/>
    </row>
    <row r="129" spans="2:22" hidden="1" x14ac:dyDescent="0.2">
      <c r="B129" s="7"/>
      <c r="C129" s="152"/>
      <c r="D129" s="191"/>
      <c r="E129" s="191"/>
      <c r="F129" s="191"/>
      <c r="G129" s="191"/>
      <c r="H129" s="191"/>
      <c r="I129" s="191"/>
      <c r="J129" s="191"/>
      <c r="K129" s="191"/>
      <c r="L129" s="191"/>
      <c r="M129" s="191"/>
      <c r="N129" s="191"/>
      <c r="O129" s="191"/>
      <c r="P129" s="191"/>
      <c r="Q129" s="191"/>
      <c r="R129" s="191"/>
      <c r="S129" s="191"/>
      <c r="T129" s="191"/>
      <c r="U129" s="152"/>
      <c r="V129" s="18"/>
    </row>
    <row r="130" spans="2:22" hidden="1" x14ac:dyDescent="0.2">
      <c r="B130" s="7"/>
      <c r="C130" s="152"/>
      <c r="D130" s="191"/>
      <c r="E130" s="191"/>
      <c r="F130" s="191"/>
      <c r="G130" s="191"/>
      <c r="H130" s="191"/>
      <c r="I130" s="191"/>
      <c r="J130" s="191"/>
      <c r="K130" s="191"/>
      <c r="L130" s="191"/>
      <c r="M130" s="191"/>
      <c r="N130" s="191"/>
      <c r="O130" s="191"/>
      <c r="P130" s="191"/>
      <c r="Q130" s="191"/>
      <c r="R130" s="191"/>
      <c r="S130" s="191"/>
      <c r="T130" s="191"/>
      <c r="U130" s="152"/>
      <c r="V130" s="18"/>
    </row>
    <row r="131" spans="2:22" hidden="1" x14ac:dyDescent="0.2">
      <c r="B131" s="7"/>
      <c r="C131" s="152"/>
      <c r="D131" s="191"/>
      <c r="E131" s="191"/>
      <c r="F131" s="191"/>
      <c r="G131" s="191"/>
      <c r="H131" s="191"/>
      <c r="I131" s="191"/>
      <c r="J131" s="191"/>
      <c r="K131" s="191"/>
      <c r="L131" s="191"/>
      <c r="M131" s="191"/>
      <c r="N131" s="191"/>
      <c r="O131" s="191"/>
      <c r="P131" s="191"/>
      <c r="Q131" s="191"/>
      <c r="R131" s="191"/>
      <c r="S131" s="191"/>
      <c r="T131" s="191"/>
      <c r="U131" s="152"/>
      <c r="V131" s="18"/>
    </row>
    <row r="132" spans="2:22" hidden="1" x14ac:dyDescent="0.2">
      <c r="B132" s="7"/>
      <c r="C132" s="152"/>
      <c r="D132" s="191"/>
      <c r="E132" s="191"/>
      <c r="F132" s="191"/>
      <c r="G132" s="191"/>
      <c r="H132" s="191"/>
      <c r="I132" s="191"/>
      <c r="J132" s="191"/>
      <c r="K132" s="191"/>
      <c r="L132" s="191"/>
      <c r="M132" s="191"/>
      <c r="N132" s="191"/>
      <c r="O132" s="191"/>
      <c r="P132" s="191"/>
      <c r="Q132" s="191"/>
      <c r="R132" s="191"/>
      <c r="S132" s="191"/>
      <c r="T132" s="191"/>
      <c r="U132" s="152"/>
      <c r="V132" s="18"/>
    </row>
    <row r="133" spans="2:22" hidden="1" x14ac:dyDescent="0.2">
      <c r="B133" s="7"/>
      <c r="C133" s="152"/>
      <c r="D133" s="191"/>
      <c r="E133" s="191"/>
      <c r="F133" s="191"/>
      <c r="G133" s="191"/>
      <c r="H133" s="191"/>
      <c r="I133" s="191"/>
      <c r="J133" s="191"/>
      <c r="K133" s="191"/>
      <c r="L133" s="191"/>
      <c r="M133" s="191"/>
      <c r="N133" s="191"/>
      <c r="O133" s="191"/>
      <c r="P133" s="191"/>
      <c r="Q133" s="191"/>
      <c r="R133" s="191"/>
      <c r="S133" s="191"/>
      <c r="T133" s="191"/>
      <c r="U133" s="152"/>
      <c r="V133" s="18"/>
    </row>
    <row r="134" spans="2:22" hidden="1" x14ac:dyDescent="0.2">
      <c r="B134" s="7"/>
      <c r="C134" s="152"/>
      <c r="D134" s="191"/>
      <c r="E134" s="191"/>
      <c r="F134" s="191"/>
      <c r="G134" s="191"/>
      <c r="H134" s="191"/>
      <c r="I134" s="191"/>
      <c r="J134" s="191"/>
      <c r="K134" s="191"/>
      <c r="L134" s="191"/>
      <c r="M134" s="191"/>
      <c r="N134" s="191"/>
      <c r="O134" s="191"/>
      <c r="P134" s="191"/>
      <c r="Q134" s="191"/>
      <c r="R134" s="191"/>
      <c r="S134" s="191"/>
      <c r="T134" s="191"/>
      <c r="U134" s="152"/>
      <c r="V134" s="18"/>
    </row>
    <row r="135" spans="2:22" hidden="1" x14ac:dyDescent="0.2">
      <c r="B135" s="7"/>
      <c r="C135" s="152"/>
      <c r="D135" s="191"/>
      <c r="E135" s="191"/>
      <c r="F135" s="191"/>
      <c r="G135" s="191"/>
      <c r="H135" s="191"/>
      <c r="I135" s="191"/>
      <c r="J135" s="191"/>
      <c r="K135" s="191"/>
      <c r="L135" s="191"/>
      <c r="M135" s="191"/>
      <c r="N135" s="191"/>
      <c r="O135" s="191"/>
      <c r="P135" s="191"/>
      <c r="Q135" s="191"/>
      <c r="R135" s="191"/>
      <c r="S135" s="191"/>
      <c r="T135" s="191"/>
      <c r="U135" s="152"/>
      <c r="V135" s="18"/>
    </row>
    <row r="136" spans="2:22" ht="25.5" hidden="1" customHeight="1" x14ac:dyDescent="0.2">
      <c r="B136" s="7"/>
      <c r="C136" s="152"/>
      <c r="D136" s="191"/>
      <c r="E136" s="191"/>
      <c r="F136" s="191"/>
      <c r="G136" s="191"/>
      <c r="H136" s="191"/>
      <c r="I136" s="191"/>
      <c r="J136" s="191"/>
      <c r="K136" s="191"/>
      <c r="L136" s="191"/>
      <c r="M136" s="191"/>
      <c r="N136" s="191"/>
      <c r="O136" s="191"/>
      <c r="P136" s="191"/>
      <c r="Q136" s="191"/>
      <c r="R136" s="191"/>
      <c r="S136" s="191"/>
      <c r="T136" s="191"/>
      <c r="U136" s="152"/>
      <c r="V136" s="19"/>
    </row>
    <row r="137" spans="2:22" ht="22.5" hidden="1" customHeight="1" x14ac:dyDescent="0.2">
      <c r="B137" s="7"/>
      <c r="C137" s="152"/>
      <c r="D137" s="191"/>
      <c r="E137" s="191"/>
      <c r="F137" s="191"/>
      <c r="G137" s="191"/>
      <c r="H137" s="191"/>
      <c r="I137" s="191"/>
      <c r="J137" s="191"/>
      <c r="K137" s="191"/>
      <c r="L137" s="191"/>
      <c r="M137" s="191"/>
      <c r="N137" s="191"/>
      <c r="O137" s="191"/>
      <c r="P137" s="191"/>
      <c r="Q137" s="191"/>
      <c r="R137" s="191"/>
      <c r="S137" s="191"/>
      <c r="T137" s="191"/>
      <c r="U137" s="152"/>
      <c r="V137" s="11"/>
    </row>
    <row r="138" spans="2:22" ht="21.75" hidden="1" customHeight="1" x14ac:dyDescent="0.2">
      <c r="B138" s="7"/>
      <c r="C138" s="152"/>
      <c r="D138" s="191"/>
      <c r="E138" s="191"/>
      <c r="F138" s="191"/>
      <c r="G138" s="191"/>
      <c r="H138" s="191"/>
      <c r="I138" s="191"/>
      <c r="J138" s="191"/>
      <c r="K138" s="191"/>
      <c r="L138" s="191"/>
      <c r="M138" s="191"/>
      <c r="N138" s="191"/>
      <c r="O138" s="191"/>
      <c r="P138" s="191"/>
      <c r="Q138" s="191"/>
      <c r="R138" s="191"/>
      <c r="S138" s="191"/>
      <c r="T138" s="191"/>
      <c r="U138" s="152"/>
      <c r="V138" s="14"/>
    </row>
    <row r="139" spans="2:22" ht="21.75" hidden="1" customHeight="1" x14ac:dyDescent="0.2">
      <c r="B139" s="7"/>
      <c r="C139" s="152"/>
      <c r="D139" s="191"/>
      <c r="E139" s="191"/>
      <c r="F139" s="191"/>
      <c r="G139" s="191"/>
      <c r="H139" s="191"/>
      <c r="I139" s="191"/>
      <c r="J139" s="191"/>
      <c r="K139" s="191"/>
      <c r="L139" s="191"/>
      <c r="M139" s="191"/>
      <c r="N139" s="191"/>
      <c r="O139" s="191"/>
      <c r="P139" s="191"/>
      <c r="Q139" s="191"/>
      <c r="R139" s="191"/>
      <c r="S139" s="191"/>
      <c r="T139" s="191"/>
      <c r="U139" s="152"/>
      <c r="V139" s="14"/>
    </row>
    <row r="140" spans="2:22" ht="21.75" hidden="1" customHeight="1" x14ac:dyDescent="0.2">
      <c r="B140" s="7"/>
      <c r="C140" s="152"/>
      <c r="D140" s="191"/>
      <c r="E140" s="191"/>
      <c r="F140" s="191"/>
      <c r="G140" s="191"/>
      <c r="H140" s="191"/>
      <c r="I140" s="191"/>
      <c r="J140" s="191"/>
      <c r="K140" s="191"/>
      <c r="L140" s="191"/>
      <c r="M140" s="191"/>
      <c r="N140" s="191"/>
      <c r="O140" s="191"/>
      <c r="P140" s="191"/>
      <c r="Q140" s="191"/>
      <c r="R140" s="191"/>
      <c r="S140" s="191"/>
      <c r="T140" s="191"/>
      <c r="U140" s="152"/>
      <c r="V140" s="14"/>
    </row>
    <row r="141" spans="2:22" ht="20.25" hidden="1" customHeight="1" x14ac:dyDescent="0.2">
      <c r="B141" s="7"/>
      <c r="C141" s="152"/>
      <c r="D141" s="191"/>
      <c r="E141" s="191"/>
      <c r="F141" s="191"/>
      <c r="G141" s="191"/>
      <c r="H141" s="191"/>
      <c r="I141" s="191"/>
      <c r="J141" s="191"/>
      <c r="K141" s="191"/>
      <c r="L141" s="191"/>
      <c r="M141" s="191"/>
      <c r="N141" s="191"/>
      <c r="O141" s="191"/>
      <c r="P141" s="191"/>
      <c r="Q141" s="191"/>
      <c r="R141" s="191"/>
      <c r="S141" s="191"/>
      <c r="T141" s="191"/>
      <c r="U141" s="152"/>
      <c r="V141" s="14"/>
    </row>
    <row r="142" spans="2:22" ht="18.75" hidden="1" customHeight="1" x14ac:dyDescent="0.2">
      <c r="B142" s="7"/>
      <c r="C142" s="152"/>
      <c r="D142" s="191"/>
      <c r="E142" s="191"/>
      <c r="F142" s="191"/>
      <c r="G142" s="191"/>
      <c r="H142" s="191"/>
      <c r="I142" s="191"/>
      <c r="J142" s="191"/>
      <c r="K142" s="191"/>
      <c r="L142" s="191"/>
      <c r="M142" s="191"/>
      <c r="N142" s="191"/>
      <c r="O142" s="191"/>
      <c r="P142" s="191"/>
      <c r="Q142" s="191"/>
      <c r="R142" s="191"/>
      <c r="S142" s="191"/>
      <c r="T142" s="191"/>
      <c r="U142" s="152"/>
      <c r="V142" s="14"/>
    </row>
    <row r="143" spans="2:22" ht="18.75" hidden="1" customHeight="1" x14ac:dyDescent="0.2">
      <c r="B143" s="7"/>
      <c r="C143" s="152"/>
      <c r="D143" s="191"/>
      <c r="E143" s="191"/>
      <c r="F143" s="191"/>
      <c r="G143" s="191"/>
      <c r="H143" s="191"/>
      <c r="I143" s="191"/>
      <c r="J143" s="191"/>
      <c r="K143" s="191"/>
      <c r="L143" s="191"/>
      <c r="M143" s="191"/>
      <c r="N143" s="191"/>
      <c r="O143" s="191"/>
      <c r="P143" s="191"/>
      <c r="Q143" s="191"/>
      <c r="R143" s="191"/>
      <c r="S143" s="191"/>
      <c r="T143" s="191"/>
      <c r="U143" s="152"/>
      <c r="V143" s="14"/>
    </row>
    <row r="144" spans="2:22" ht="19.5" hidden="1" customHeight="1" x14ac:dyDescent="0.2">
      <c r="B144" s="7"/>
      <c r="C144" s="152"/>
      <c r="D144" s="191"/>
      <c r="E144" s="191"/>
      <c r="F144" s="191"/>
      <c r="G144" s="191"/>
      <c r="H144" s="191"/>
      <c r="I144" s="191"/>
      <c r="J144" s="191"/>
      <c r="K144" s="191"/>
      <c r="L144" s="191"/>
      <c r="M144" s="191"/>
      <c r="N144" s="191"/>
      <c r="O144" s="191"/>
      <c r="P144" s="191"/>
      <c r="Q144" s="191"/>
      <c r="R144" s="191"/>
      <c r="S144" s="191"/>
      <c r="T144" s="191"/>
      <c r="U144" s="152"/>
      <c r="V144" s="14"/>
    </row>
    <row r="145" spans="2:22" ht="21" hidden="1" customHeight="1" x14ac:dyDescent="0.2">
      <c r="B145" s="7"/>
      <c r="C145" s="152"/>
      <c r="D145" s="191"/>
      <c r="E145" s="191"/>
      <c r="F145" s="191"/>
      <c r="G145" s="191"/>
      <c r="H145" s="191"/>
      <c r="I145" s="191"/>
      <c r="J145" s="191"/>
      <c r="K145" s="191"/>
      <c r="L145" s="191"/>
      <c r="M145" s="191"/>
      <c r="N145" s="191"/>
      <c r="O145" s="191"/>
      <c r="P145" s="191"/>
      <c r="Q145" s="191"/>
      <c r="R145" s="191"/>
      <c r="S145" s="191"/>
      <c r="T145" s="191"/>
      <c r="U145" s="152"/>
      <c r="V145" s="14"/>
    </row>
    <row r="146" spans="2:22" ht="19.5" hidden="1" customHeight="1" x14ac:dyDescent="0.2">
      <c r="B146" s="7"/>
      <c r="C146" s="152"/>
      <c r="D146" s="191"/>
      <c r="E146" s="191"/>
      <c r="F146" s="191"/>
      <c r="G146" s="191"/>
      <c r="H146" s="191"/>
      <c r="I146" s="191"/>
      <c r="J146" s="191"/>
      <c r="K146" s="191"/>
      <c r="L146" s="191"/>
      <c r="M146" s="191"/>
      <c r="N146" s="191"/>
      <c r="O146" s="191"/>
      <c r="P146" s="191"/>
      <c r="Q146" s="191"/>
      <c r="R146" s="191"/>
      <c r="S146" s="191"/>
      <c r="T146" s="191"/>
      <c r="U146" s="152"/>
      <c r="V146" s="14"/>
    </row>
    <row r="147" spans="2:22" ht="21" hidden="1" customHeight="1" x14ac:dyDescent="0.2">
      <c r="B147" s="7"/>
      <c r="C147" s="152"/>
      <c r="D147" s="191"/>
      <c r="E147" s="191"/>
      <c r="F147" s="191"/>
      <c r="G147" s="191"/>
      <c r="H147" s="191"/>
      <c r="I147" s="191"/>
      <c r="J147" s="191"/>
      <c r="K147" s="191"/>
      <c r="L147" s="191"/>
      <c r="M147" s="191"/>
      <c r="N147" s="191"/>
      <c r="O147" s="191"/>
      <c r="P147" s="191"/>
      <c r="Q147" s="191"/>
      <c r="R147" s="191"/>
      <c r="S147" s="191"/>
      <c r="T147" s="191"/>
      <c r="U147" s="152"/>
      <c r="V147" s="14"/>
    </row>
    <row r="148" spans="2:22" hidden="1" x14ac:dyDescent="0.2">
      <c r="B148" s="7"/>
      <c r="C148" s="152"/>
      <c r="D148" s="191"/>
      <c r="E148" s="191"/>
      <c r="F148" s="191"/>
      <c r="G148" s="191"/>
      <c r="H148" s="191"/>
      <c r="I148" s="191"/>
      <c r="J148" s="191"/>
      <c r="K148" s="191"/>
      <c r="L148" s="191"/>
      <c r="M148" s="191"/>
      <c r="N148" s="191"/>
      <c r="O148" s="191"/>
      <c r="P148" s="191"/>
      <c r="Q148" s="191"/>
      <c r="R148" s="191"/>
      <c r="S148" s="191"/>
      <c r="T148" s="191"/>
      <c r="U148" s="152"/>
      <c r="V148" s="14"/>
    </row>
    <row r="149" spans="2:22" hidden="1" x14ac:dyDescent="0.2">
      <c r="B149" s="7"/>
      <c r="C149" s="152"/>
      <c r="D149" s="191"/>
      <c r="E149" s="191"/>
      <c r="F149" s="191"/>
      <c r="G149" s="191"/>
      <c r="H149" s="191"/>
      <c r="I149" s="191"/>
      <c r="J149" s="191"/>
      <c r="K149" s="191"/>
      <c r="L149" s="191"/>
      <c r="M149" s="191"/>
      <c r="N149" s="191"/>
      <c r="O149" s="191"/>
      <c r="P149" s="191"/>
      <c r="Q149" s="191"/>
      <c r="R149" s="191"/>
      <c r="S149" s="191"/>
      <c r="T149" s="191"/>
      <c r="U149" s="152"/>
      <c r="V149" s="11"/>
    </row>
    <row r="150" spans="2:22" hidden="1" x14ac:dyDescent="0.2">
      <c r="B150" s="7"/>
      <c r="C150" s="152"/>
      <c r="D150" s="191"/>
      <c r="E150" s="191"/>
      <c r="F150" s="191"/>
      <c r="G150" s="191"/>
      <c r="H150" s="191"/>
      <c r="I150" s="191"/>
      <c r="J150" s="191"/>
      <c r="K150" s="191"/>
      <c r="L150" s="191"/>
      <c r="M150" s="191"/>
      <c r="N150" s="191"/>
      <c r="O150" s="191"/>
      <c r="P150" s="191"/>
      <c r="Q150" s="191"/>
      <c r="R150" s="191"/>
      <c r="S150" s="191"/>
      <c r="T150" s="191"/>
      <c r="U150" s="152"/>
      <c r="V150" s="11"/>
    </row>
    <row r="151" spans="2:22" hidden="1" x14ac:dyDescent="0.2">
      <c r="B151" s="7"/>
      <c r="C151" s="152"/>
      <c r="D151" s="191"/>
      <c r="E151" s="191"/>
      <c r="F151" s="191"/>
      <c r="G151" s="191"/>
      <c r="H151" s="191"/>
      <c r="I151" s="191"/>
      <c r="J151" s="191"/>
      <c r="K151" s="191"/>
      <c r="L151" s="191"/>
      <c r="M151" s="191"/>
      <c r="N151" s="191"/>
      <c r="O151" s="191"/>
      <c r="P151" s="191"/>
      <c r="Q151" s="191"/>
      <c r="R151" s="191"/>
      <c r="S151" s="191"/>
      <c r="T151" s="191"/>
      <c r="U151" s="152"/>
      <c r="V151" s="11"/>
    </row>
    <row r="152" spans="2:22" hidden="1" x14ac:dyDescent="0.2">
      <c r="B152" s="7"/>
      <c r="C152" s="152"/>
      <c r="D152" s="191"/>
      <c r="E152" s="191"/>
      <c r="F152" s="191"/>
      <c r="G152" s="191"/>
      <c r="H152" s="191"/>
      <c r="I152" s="191"/>
      <c r="J152" s="191"/>
      <c r="K152" s="191"/>
      <c r="L152" s="191"/>
      <c r="M152" s="191"/>
      <c r="N152" s="191"/>
      <c r="O152" s="191"/>
      <c r="P152" s="191"/>
      <c r="Q152" s="191"/>
      <c r="R152" s="191"/>
      <c r="S152" s="191"/>
      <c r="T152" s="191"/>
      <c r="U152" s="152"/>
      <c r="V152" s="11"/>
    </row>
    <row r="153" spans="2:22" hidden="1" x14ac:dyDescent="0.2">
      <c r="B153" s="7">
        <v>2010</v>
      </c>
      <c r="C153" s="152"/>
      <c r="D153" s="191"/>
      <c r="E153" s="191"/>
      <c r="F153" s="191"/>
      <c r="G153" s="191"/>
      <c r="H153" s="191"/>
      <c r="I153" s="191"/>
      <c r="J153" s="191"/>
      <c r="K153" s="191"/>
      <c r="L153" s="191"/>
      <c r="M153" s="191"/>
      <c r="N153" s="191"/>
      <c r="O153" s="191"/>
      <c r="P153" s="191"/>
      <c r="Q153" s="191"/>
      <c r="R153" s="191"/>
      <c r="S153" s="191"/>
      <c r="T153" s="191"/>
      <c r="U153" s="152"/>
      <c r="V153" s="8"/>
    </row>
    <row r="154" spans="2:22" hidden="1" x14ac:dyDescent="0.2">
      <c r="B154" s="7"/>
      <c r="C154" s="152"/>
      <c r="D154" s="191"/>
      <c r="E154" s="191"/>
      <c r="F154" s="191"/>
      <c r="G154" s="191"/>
      <c r="H154" s="191"/>
      <c r="I154" s="191"/>
      <c r="J154" s="191"/>
      <c r="K154" s="191"/>
      <c r="L154" s="191"/>
      <c r="M154" s="191"/>
      <c r="N154" s="191"/>
      <c r="O154" s="191"/>
      <c r="P154" s="191"/>
      <c r="Q154" s="191"/>
      <c r="R154" s="191"/>
      <c r="S154" s="191"/>
      <c r="T154" s="191"/>
      <c r="U154" s="152"/>
      <c r="V154" s="18"/>
    </row>
    <row r="155" spans="2:22" hidden="1" x14ac:dyDescent="0.2">
      <c r="B155" s="7"/>
      <c r="C155" s="152"/>
      <c r="D155" s="191"/>
      <c r="E155" s="191"/>
      <c r="F155" s="191"/>
      <c r="G155" s="191"/>
      <c r="H155" s="191"/>
      <c r="I155" s="191"/>
      <c r="J155" s="191"/>
      <c r="K155" s="191"/>
      <c r="L155" s="191"/>
      <c r="M155" s="191"/>
      <c r="N155" s="191"/>
      <c r="O155" s="191"/>
      <c r="P155" s="191"/>
      <c r="Q155" s="191"/>
      <c r="R155" s="191"/>
      <c r="S155" s="191"/>
      <c r="T155" s="191"/>
      <c r="U155" s="152"/>
      <c r="V155" s="18"/>
    </row>
    <row r="156" spans="2:22" hidden="1" x14ac:dyDescent="0.2">
      <c r="B156" s="7"/>
      <c r="C156" s="152"/>
      <c r="D156" s="191"/>
      <c r="E156" s="191"/>
      <c r="F156" s="191"/>
      <c r="G156" s="191"/>
      <c r="H156" s="191"/>
      <c r="I156" s="191"/>
      <c r="J156" s="191"/>
      <c r="K156" s="191"/>
      <c r="L156" s="191"/>
      <c r="M156" s="191"/>
      <c r="N156" s="191"/>
      <c r="O156" s="191"/>
      <c r="P156" s="191"/>
      <c r="Q156" s="191"/>
      <c r="R156" s="191"/>
      <c r="S156" s="191"/>
      <c r="T156" s="191"/>
      <c r="U156" s="152"/>
      <c r="V156" s="18"/>
    </row>
    <row r="157" spans="2:22" hidden="1" x14ac:dyDescent="0.2">
      <c r="B157" s="7"/>
      <c r="C157" s="152"/>
      <c r="D157" s="191"/>
      <c r="E157" s="191"/>
      <c r="F157" s="191"/>
      <c r="G157" s="191"/>
      <c r="H157" s="191"/>
      <c r="I157" s="191"/>
      <c r="J157" s="191"/>
      <c r="K157" s="191"/>
      <c r="L157" s="191"/>
      <c r="M157" s="191"/>
      <c r="N157" s="191"/>
      <c r="O157" s="191"/>
      <c r="P157" s="191"/>
      <c r="Q157" s="191"/>
      <c r="R157" s="191"/>
      <c r="S157" s="191"/>
      <c r="T157" s="191"/>
      <c r="U157" s="152"/>
      <c r="V157" s="18"/>
    </row>
    <row r="158" spans="2:22" hidden="1" x14ac:dyDescent="0.2">
      <c r="C158" s="152"/>
      <c r="D158" s="191"/>
      <c r="E158" s="191"/>
      <c r="F158" s="191"/>
      <c r="G158" s="191"/>
      <c r="H158" s="191"/>
      <c r="I158" s="191"/>
      <c r="J158" s="191"/>
      <c r="K158" s="191"/>
      <c r="L158" s="191"/>
      <c r="M158" s="191"/>
      <c r="N158" s="191"/>
      <c r="O158" s="191"/>
      <c r="P158" s="191"/>
      <c r="Q158" s="191"/>
      <c r="R158" s="191"/>
      <c r="S158" s="191"/>
      <c r="T158" s="191"/>
      <c r="U158" s="152"/>
      <c r="V158" s="18"/>
    </row>
    <row r="159" spans="2:22" hidden="1" x14ac:dyDescent="0.2">
      <c r="C159" s="152"/>
      <c r="D159" s="191"/>
      <c r="E159" s="191"/>
      <c r="F159" s="191"/>
      <c r="G159" s="191"/>
      <c r="H159" s="191"/>
      <c r="I159" s="191"/>
      <c r="J159" s="191"/>
      <c r="K159" s="191"/>
      <c r="L159" s="191"/>
      <c r="M159" s="191"/>
      <c r="N159" s="191"/>
      <c r="O159" s="191"/>
      <c r="P159" s="191"/>
      <c r="Q159" s="191"/>
      <c r="R159" s="191"/>
      <c r="S159" s="191"/>
      <c r="T159" s="191"/>
      <c r="U159" s="152"/>
      <c r="V159" s="18"/>
    </row>
    <row r="160" spans="2:22" hidden="1" x14ac:dyDescent="0.2">
      <c r="C160" s="152"/>
      <c r="D160" s="191"/>
      <c r="E160" s="191"/>
      <c r="F160" s="191"/>
      <c r="G160" s="191"/>
      <c r="H160" s="191"/>
      <c r="I160" s="191"/>
      <c r="J160" s="191"/>
      <c r="K160" s="191"/>
      <c r="L160" s="191"/>
      <c r="M160" s="191"/>
      <c r="N160" s="191"/>
      <c r="O160" s="191"/>
      <c r="P160" s="191"/>
      <c r="Q160" s="191"/>
      <c r="R160" s="191"/>
      <c r="S160" s="191"/>
      <c r="T160" s="191"/>
      <c r="U160" s="152"/>
      <c r="V160" s="18"/>
    </row>
    <row r="161" spans="3:22" hidden="1" x14ac:dyDescent="0.2">
      <c r="C161" s="152"/>
      <c r="D161" s="191"/>
      <c r="E161" s="191"/>
      <c r="F161" s="191"/>
      <c r="G161" s="191"/>
      <c r="H161" s="191"/>
      <c r="I161" s="191"/>
      <c r="J161" s="191"/>
      <c r="K161" s="191"/>
      <c r="L161" s="191"/>
      <c r="M161" s="191"/>
      <c r="N161" s="191"/>
      <c r="O161" s="191"/>
      <c r="P161" s="191"/>
      <c r="Q161" s="191"/>
      <c r="R161" s="191"/>
      <c r="S161" s="191"/>
      <c r="T161" s="191"/>
      <c r="U161" s="152"/>
      <c r="V161" s="18"/>
    </row>
    <row r="162" spans="3:22" hidden="1" x14ac:dyDescent="0.2">
      <c r="C162" s="152"/>
      <c r="D162" s="191"/>
      <c r="E162" s="191"/>
      <c r="F162" s="191"/>
      <c r="G162" s="191"/>
      <c r="H162" s="191"/>
      <c r="I162" s="191"/>
      <c r="J162" s="191"/>
      <c r="K162" s="191"/>
      <c r="L162" s="191"/>
      <c r="M162" s="191"/>
      <c r="N162" s="191"/>
      <c r="O162" s="191"/>
      <c r="P162" s="191"/>
      <c r="Q162" s="191"/>
      <c r="R162" s="191"/>
      <c r="S162" s="191"/>
      <c r="T162" s="191"/>
      <c r="U162" s="152"/>
      <c r="V162" s="18"/>
    </row>
    <row r="163" spans="3:22" hidden="1" x14ac:dyDescent="0.2">
      <c r="C163" s="152"/>
      <c r="D163" s="191"/>
      <c r="E163" s="191"/>
      <c r="F163" s="191"/>
      <c r="G163" s="191"/>
      <c r="H163" s="191"/>
      <c r="I163" s="191"/>
      <c r="J163" s="191"/>
      <c r="K163" s="191"/>
      <c r="L163" s="191"/>
      <c r="M163" s="191"/>
      <c r="N163" s="191"/>
      <c r="O163" s="191"/>
      <c r="P163" s="191"/>
      <c r="Q163" s="191"/>
      <c r="R163" s="191"/>
      <c r="S163" s="191"/>
      <c r="T163" s="191"/>
      <c r="U163" s="152"/>
      <c r="V163" s="19"/>
    </row>
    <row r="164" spans="3:22" hidden="1" x14ac:dyDescent="0.2">
      <c r="C164" s="152"/>
      <c r="D164" s="191"/>
      <c r="E164" s="191"/>
      <c r="F164" s="191"/>
      <c r="G164" s="191"/>
      <c r="H164" s="191"/>
      <c r="I164" s="191"/>
      <c r="J164" s="191"/>
      <c r="K164" s="191"/>
      <c r="L164" s="191"/>
      <c r="M164" s="191"/>
      <c r="N164" s="191"/>
      <c r="O164" s="191"/>
      <c r="P164" s="191"/>
      <c r="Q164" s="191"/>
      <c r="R164" s="191"/>
      <c r="S164" s="191"/>
      <c r="T164" s="191"/>
      <c r="U164" s="152"/>
      <c r="V164" s="11"/>
    </row>
    <row r="165" spans="3:22" hidden="1" x14ac:dyDescent="0.2">
      <c r="C165" s="152"/>
      <c r="D165" s="191"/>
      <c r="E165" s="191"/>
      <c r="F165" s="191"/>
      <c r="G165" s="191"/>
      <c r="H165" s="191"/>
      <c r="I165" s="191"/>
      <c r="J165" s="191"/>
      <c r="K165" s="191"/>
      <c r="L165" s="191"/>
      <c r="M165" s="191"/>
      <c r="N165" s="191"/>
      <c r="O165" s="191"/>
      <c r="P165" s="191"/>
      <c r="Q165" s="191"/>
      <c r="R165" s="191"/>
      <c r="S165" s="191"/>
      <c r="T165" s="191"/>
      <c r="U165" s="152"/>
      <c r="V165" s="11"/>
    </row>
    <row r="166" spans="3:22" hidden="1" x14ac:dyDescent="0.2">
      <c r="C166" s="152"/>
      <c r="D166" s="191"/>
      <c r="E166" s="191"/>
      <c r="F166" s="191"/>
      <c r="G166" s="191"/>
      <c r="H166" s="191"/>
      <c r="I166" s="191"/>
      <c r="J166" s="191"/>
      <c r="K166" s="191"/>
      <c r="L166" s="191"/>
      <c r="M166" s="191"/>
      <c r="N166" s="191"/>
      <c r="O166" s="191"/>
      <c r="P166" s="191"/>
      <c r="Q166" s="191"/>
      <c r="R166" s="191"/>
      <c r="S166" s="191"/>
      <c r="T166" s="191"/>
      <c r="U166" s="152"/>
      <c r="V166" s="11"/>
    </row>
    <row r="167" spans="3:22" hidden="1" x14ac:dyDescent="0.2">
      <c r="C167" s="152"/>
      <c r="D167" s="191"/>
      <c r="E167" s="191"/>
      <c r="F167" s="191"/>
      <c r="G167" s="191"/>
      <c r="H167" s="191"/>
      <c r="I167" s="191"/>
      <c r="J167" s="191"/>
      <c r="K167" s="191"/>
      <c r="L167" s="191"/>
      <c r="M167" s="191"/>
      <c r="N167" s="191"/>
      <c r="O167" s="191"/>
      <c r="P167" s="191"/>
      <c r="Q167" s="191"/>
      <c r="R167" s="191"/>
      <c r="S167" s="191"/>
      <c r="T167" s="191"/>
      <c r="U167" s="152"/>
      <c r="V167" s="11"/>
    </row>
    <row r="168" spans="3:22" hidden="1" x14ac:dyDescent="0.2">
      <c r="C168" s="152"/>
      <c r="D168" s="191"/>
      <c r="E168" s="191"/>
      <c r="F168" s="191"/>
      <c r="G168" s="191"/>
      <c r="H168" s="191"/>
      <c r="I168" s="191"/>
      <c r="J168" s="191"/>
      <c r="K168" s="191"/>
      <c r="L168" s="191"/>
      <c r="M168" s="191"/>
      <c r="N168" s="191"/>
      <c r="O168" s="191"/>
      <c r="P168" s="191"/>
      <c r="Q168" s="191"/>
      <c r="R168" s="191"/>
      <c r="S168" s="191"/>
      <c r="T168" s="191"/>
      <c r="U168" s="152"/>
      <c r="V168" s="14"/>
    </row>
    <row r="169" spans="3:22" hidden="1" x14ac:dyDescent="0.2">
      <c r="C169" s="152"/>
      <c r="D169" s="191"/>
      <c r="E169" s="191"/>
      <c r="F169" s="191"/>
      <c r="G169" s="191"/>
      <c r="H169" s="191"/>
      <c r="I169" s="191"/>
      <c r="J169" s="191"/>
      <c r="K169" s="191"/>
      <c r="L169" s="191"/>
      <c r="M169" s="191"/>
      <c r="N169" s="191"/>
      <c r="O169" s="191"/>
      <c r="P169" s="191"/>
      <c r="Q169" s="191"/>
      <c r="R169" s="191"/>
      <c r="S169" s="191"/>
      <c r="T169" s="191"/>
      <c r="U169" s="152"/>
      <c r="V169" s="14"/>
    </row>
    <row r="170" spans="3:22" hidden="1" x14ac:dyDescent="0.2">
      <c r="C170" s="152"/>
      <c r="D170" s="191"/>
      <c r="E170" s="191"/>
      <c r="F170" s="191"/>
      <c r="G170" s="191"/>
      <c r="H170" s="191"/>
      <c r="I170" s="191"/>
      <c r="J170" s="191"/>
      <c r="K170" s="191"/>
      <c r="L170" s="191"/>
      <c r="M170" s="191"/>
      <c r="N170" s="191"/>
      <c r="O170" s="191"/>
      <c r="P170" s="191"/>
      <c r="Q170" s="191"/>
      <c r="R170" s="191"/>
      <c r="S170" s="191"/>
      <c r="T170" s="191"/>
      <c r="U170" s="152"/>
      <c r="V170" s="14"/>
    </row>
    <row r="171" spans="3:22" hidden="1" x14ac:dyDescent="0.2">
      <c r="C171" s="152"/>
      <c r="D171" s="191"/>
      <c r="E171" s="191"/>
      <c r="F171" s="191"/>
      <c r="G171" s="191"/>
      <c r="H171" s="191"/>
      <c r="I171" s="191"/>
      <c r="J171" s="191"/>
      <c r="K171" s="191"/>
      <c r="L171" s="191"/>
      <c r="M171" s="191"/>
      <c r="N171" s="191"/>
      <c r="O171" s="191"/>
      <c r="P171" s="191"/>
      <c r="Q171" s="191"/>
      <c r="R171" s="191"/>
      <c r="S171" s="191"/>
      <c r="T171" s="191"/>
      <c r="U171" s="152"/>
      <c r="V171" s="14"/>
    </row>
    <row r="172" spans="3:22" hidden="1" x14ac:dyDescent="0.2">
      <c r="C172" s="152"/>
      <c r="D172" s="191"/>
      <c r="E172" s="191"/>
      <c r="F172" s="191"/>
      <c r="G172" s="191"/>
      <c r="H172" s="191"/>
      <c r="I172" s="191"/>
      <c r="J172" s="191"/>
      <c r="K172" s="191"/>
      <c r="L172" s="191"/>
      <c r="M172" s="191"/>
      <c r="N172" s="191"/>
      <c r="O172" s="191"/>
      <c r="P172" s="191"/>
      <c r="Q172" s="191"/>
      <c r="R172" s="191"/>
      <c r="S172" s="191"/>
      <c r="T172" s="191"/>
      <c r="U172" s="152"/>
      <c r="V172" s="14"/>
    </row>
    <row r="173" spans="3:22" hidden="1" x14ac:dyDescent="0.2">
      <c r="C173" s="152"/>
      <c r="D173" s="191"/>
      <c r="E173" s="191"/>
      <c r="F173" s="191"/>
      <c r="G173" s="191"/>
      <c r="H173" s="191"/>
      <c r="I173" s="191"/>
      <c r="J173" s="191"/>
      <c r="K173" s="191"/>
      <c r="L173" s="191"/>
      <c r="M173" s="191"/>
      <c r="N173" s="191"/>
      <c r="O173" s="191"/>
      <c r="P173" s="191"/>
      <c r="Q173" s="191"/>
      <c r="R173" s="191"/>
      <c r="S173" s="191"/>
      <c r="T173" s="191"/>
      <c r="U173" s="152"/>
      <c r="V173" s="14"/>
    </row>
    <row r="174" spans="3:22" hidden="1" x14ac:dyDescent="0.2">
      <c r="C174" s="152"/>
      <c r="D174" s="191"/>
      <c r="E174" s="191"/>
      <c r="F174" s="191"/>
      <c r="G174" s="191"/>
      <c r="H174" s="191"/>
      <c r="I174" s="191"/>
      <c r="J174" s="191"/>
      <c r="K174" s="191"/>
      <c r="L174" s="191"/>
      <c r="M174" s="191"/>
      <c r="N174" s="191"/>
      <c r="O174" s="191"/>
      <c r="P174" s="191"/>
      <c r="Q174" s="191"/>
      <c r="R174" s="191"/>
      <c r="S174" s="191"/>
      <c r="T174" s="191"/>
      <c r="U174" s="152"/>
      <c r="V174" s="14"/>
    </row>
    <row r="175" spans="3:22" hidden="1" x14ac:dyDescent="0.2">
      <c r="C175" s="152"/>
      <c r="D175" s="191"/>
      <c r="E175" s="191"/>
      <c r="F175" s="191"/>
      <c r="G175" s="191"/>
      <c r="H175" s="191"/>
      <c r="I175" s="191"/>
      <c r="J175" s="191"/>
      <c r="K175" s="191"/>
      <c r="L175" s="191"/>
      <c r="M175" s="191"/>
      <c r="N175" s="191"/>
      <c r="O175" s="191"/>
      <c r="P175" s="191"/>
      <c r="Q175" s="191"/>
      <c r="R175" s="191"/>
      <c r="S175" s="191"/>
      <c r="T175" s="191"/>
      <c r="U175" s="152"/>
      <c r="V175" s="14"/>
    </row>
    <row r="176" spans="3:22" hidden="1" x14ac:dyDescent="0.2">
      <c r="C176" s="152"/>
      <c r="D176" s="191"/>
      <c r="E176" s="191"/>
      <c r="F176" s="191"/>
      <c r="G176" s="191"/>
      <c r="H176" s="191"/>
      <c r="I176" s="191"/>
      <c r="J176" s="191"/>
      <c r="K176" s="191"/>
      <c r="L176" s="191"/>
      <c r="M176" s="191"/>
      <c r="N176" s="191"/>
      <c r="O176" s="191"/>
      <c r="P176" s="191"/>
      <c r="Q176" s="191"/>
      <c r="R176" s="191"/>
      <c r="S176" s="191"/>
      <c r="T176" s="191"/>
      <c r="U176" s="152"/>
      <c r="V176" s="14"/>
    </row>
    <row r="177" spans="2:22" hidden="1" x14ac:dyDescent="0.2">
      <c r="C177" s="152"/>
      <c r="D177" s="191"/>
      <c r="E177" s="191"/>
      <c r="F177" s="191"/>
      <c r="G177" s="191"/>
      <c r="H177" s="191"/>
      <c r="I177" s="191"/>
      <c r="J177" s="191"/>
      <c r="K177" s="191"/>
      <c r="L177" s="191"/>
      <c r="M177" s="191"/>
      <c r="N177" s="191"/>
      <c r="O177" s="191"/>
      <c r="P177" s="191"/>
      <c r="Q177" s="191"/>
      <c r="R177" s="191"/>
      <c r="S177" s="191"/>
      <c r="T177" s="191"/>
      <c r="U177" s="152"/>
      <c r="V177" s="14"/>
    </row>
    <row r="178" spans="2:22" hidden="1" x14ac:dyDescent="0.2">
      <c r="C178" s="152"/>
      <c r="D178" s="191"/>
      <c r="E178" s="191"/>
      <c r="F178" s="191"/>
      <c r="G178" s="191"/>
      <c r="H178" s="191"/>
      <c r="I178" s="191"/>
      <c r="J178" s="191"/>
      <c r="K178" s="191"/>
      <c r="L178" s="191"/>
      <c r="M178" s="191"/>
      <c r="N178" s="191"/>
      <c r="O178" s="191"/>
      <c r="P178" s="191"/>
      <c r="Q178" s="191"/>
      <c r="R178" s="191"/>
      <c r="S178" s="191"/>
      <c r="T178" s="191"/>
      <c r="U178" s="152"/>
      <c r="V178" s="14"/>
    </row>
    <row r="179" spans="2:22" hidden="1" x14ac:dyDescent="0.2">
      <c r="C179" s="152"/>
      <c r="D179" s="191"/>
      <c r="E179" s="191"/>
      <c r="F179" s="191"/>
      <c r="G179" s="191"/>
      <c r="H179" s="191"/>
      <c r="I179" s="191"/>
      <c r="J179" s="191"/>
      <c r="K179" s="191"/>
      <c r="L179" s="191"/>
      <c r="M179" s="191"/>
      <c r="N179" s="191"/>
      <c r="O179" s="191"/>
      <c r="P179" s="191"/>
      <c r="Q179" s="191"/>
      <c r="R179" s="191"/>
      <c r="S179" s="191"/>
      <c r="T179" s="191"/>
      <c r="U179" s="152"/>
      <c r="V179" s="20"/>
    </row>
    <row r="180" spans="2:22" ht="15.75" thickBot="1" x14ac:dyDescent="0.25">
      <c r="C180" s="152"/>
      <c r="D180" s="191"/>
      <c r="E180" s="191"/>
      <c r="F180" s="191"/>
      <c r="G180" s="191"/>
      <c r="H180" s="191"/>
      <c r="I180" s="191"/>
      <c r="J180" s="191"/>
      <c r="K180" s="191"/>
      <c r="L180" s="191"/>
      <c r="M180" s="191"/>
      <c r="N180" s="191"/>
      <c r="O180" s="191"/>
      <c r="P180" s="191"/>
      <c r="Q180" s="191"/>
      <c r="R180" s="191"/>
      <c r="S180" s="191"/>
      <c r="T180" s="191"/>
      <c r="U180" s="152"/>
      <c r="V180" s="9"/>
    </row>
    <row r="181" spans="2:22" ht="16.5" thickBot="1" x14ac:dyDescent="0.3">
      <c r="C181" s="154" t="s">
        <v>80</v>
      </c>
      <c r="D181" s="155" t="s">
        <v>8</v>
      </c>
      <c r="E181" s="155" t="s">
        <v>9</v>
      </c>
      <c r="F181" s="155" t="s">
        <v>10</v>
      </c>
      <c r="G181" s="155" t="s">
        <v>11</v>
      </c>
      <c r="H181" s="155" t="s">
        <v>12</v>
      </c>
      <c r="I181" s="155" t="s">
        <v>13</v>
      </c>
      <c r="J181" s="155" t="s">
        <v>14</v>
      </c>
      <c r="K181" s="155" t="s">
        <v>15</v>
      </c>
      <c r="L181" s="155" t="s">
        <v>16</v>
      </c>
      <c r="M181" s="155" t="s">
        <v>17</v>
      </c>
      <c r="N181" s="155" t="s">
        <v>18</v>
      </c>
      <c r="O181" s="155" t="s">
        <v>19</v>
      </c>
      <c r="P181" s="155" t="s">
        <v>20</v>
      </c>
      <c r="Q181" s="155" t="s">
        <v>21</v>
      </c>
      <c r="R181" s="155" t="s">
        <v>22</v>
      </c>
      <c r="S181" s="155" t="s">
        <v>23</v>
      </c>
      <c r="T181" s="156" t="s">
        <v>24</v>
      </c>
      <c r="U181" s="157"/>
    </row>
    <row r="182" spans="2:22" ht="15.75" x14ac:dyDescent="0.25">
      <c r="C182" s="158" t="s">
        <v>81</v>
      </c>
      <c r="D182" s="159">
        <f>(D56)*$D$92</f>
        <v>276094.09220379643</v>
      </c>
      <c r="E182" s="159">
        <f t="shared" ref="E182:S182" si="11">(E56)*$D$92</f>
        <v>582960.28137148335</v>
      </c>
      <c r="F182" s="159">
        <f t="shared" si="11"/>
        <v>1572796.0670432984</v>
      </c>
      <c r="G182" s="159">
        <f t="shared" si="11"/>
        <v>343621.7494301119</v>
      </c>
      <c r="H182" s="159">
        <f t="shared" si="11"/>
        <v>292334.92115696089</v>
      </c>
      <c r="I182" s="159">
        <f t="shared" si="11"/>
        <v>937694.17692744476</v>
      </c>
      <c r="J182" s="159">
        <f t="shared" si="11"/>
        <v>2822485.1159657449</v>
      </c>
      <c r="K182" s="159">
        <f t="shared" si="11"/>
        <v>195744.72790919311</v>
      </c>
      <c r="L182" s="159">
        <f t="shared" si="11"/>
        <v>137619.65586628861</v>
      </c>
      <c r="M182" s="159">
        <f t="shared" si="11"/>
        <v>1224045.6347858715</v>
      </c>
      <c r="N182" s="159">
        <f t="shared" si="11"/>
        <v>229935.94675796048</v>
      </c>
      <c r="O182" s="159">
        <f t="shared" si="11"/>
        <v>1109505.0516425008</v>
      </c>
      <c r="P182" s="159">
        <f t="shared" si="11"/>
        <v>57270.291571685324</v>
      </c>
      <c r="Q182" s="159">
        <f t="shared" si="11"/>
        <v>629118.42681731936</v>
      </c>
      <c r="R182" s="159">
        <f t="shared" si="11"/>
        <v>232500.28817161801</v>
      </c>
      <c r="S182" s="159">
        <f t="shared" si="11"/>
        <v>7143400.3979787203</v>
      </c>
      <c r="T182" s="160">
        <f>SUM(D182:S182)</f>
        <v>17787126.825599998</v>
      </c>
      <c r="U182" s="161"/>
      <c r="V182" s="22">
        <f>T182-V87</f>
        <v>0</v>
      </c>
    </row>
    <row r="183" spans="2:22" ht="15.75" x14ac:dyDescent="0.25">
      <c r="C183" s="162"/>
      <c r="D183" s="163"/>
      <c r="E183" s="163"/>
      <c r="F183" s="163"/>
      <c r="G183" s="163"/>
      <c r="H183" s="163"/>
      <c r="I183" s="163"/>
      <c r="J183" s="163"/>
      <c r="K183" s="163"/>
      <c r="L183" s="163"/>
      <c r="M183" s="163"/>
      <c r="N183" s="163"/>
      <c r="O183" s="163"/>
      <c r="P183" s="163"/>
      <c r="Q183" s="163"/>
      <c r="R183" s="163"/>
      <c r="S183" s="163"/>
      <c r="T183" s="164"/>
      <c r="U183" s="165"/>
    </row>
    <row r="184" spans="2:22" ht="15.75" x14ac:dyDescent="0.25">
      <c r="C184" s="166" t="s">
        <v>83</v>
      </c>
      <c r="D184" s="163">
        <f>(-D182+D87)*Kontrollpanel!$D$39+(Kontrollpanel!$F$40*Kontrollpanel!$D$41*'B4. Förslag, utjämning (2014)'!D47)</f>
        <v>2474.2769475323148</v>
      </c>
      <c r="E184" s="163">
        <f>(-E182+E87)*Kontrollpanel!$D$39+(Kontrollpanel!$F$40*Kontrollpanel!$D$41*'B4. Förslag, utjämning (2014)'!E47)</f>
        <v>240662.69802853587</v>
      </c>
      <c r="F184" s="163">
        <f>(-F182+F87)*Kontrollpanel!$D$39+(Kontrollpanel!$F$40*Kontrollpanel!$D$41*'B4. Förslag, utjämning (2014)'!F47)</f>
        <v>146143.64682185609</v>
      </c>
      <c r="G184" s="163">
        <f>(-G182+G87)*Kontrollpanel!$D$39+(Kontrollpanel!$F$40*Kontrollpanel!$D$41*'B4. Förslag, utjämning (2014)'!G47)</f>
        <v>29013.031990427262</v>
      </c>
      <c r="H184" s="163">
        <f>(-H182+H87)*Kontrollpanel!$D$39+(Kontrollpanel!$F$40*Kontrollpanel!$D$41*'B4. Förslag, utjämning (2014)'!H47)</f>
        <v>239734.51176797543</v>
      </c>
      <c r="I184" s="163">
        <f>(-I182+I87)*Kontrollpanel!$D$39+(Kontrollpanel!$F$40*Kontrollpanel!$D$41*'B4. Förslag, utjämning (2014)'!I47)</f>
        <v>115455.17331716092</v>
      </c>
      <c r="J184" s="163">
        <f>(-J182+J87)*Kontrollpanel!$D$39+(Kontrollpanel!$F$40*Kontrollpanel!$D$41*'B4. Förslag, utjämning (2014)'!J47)</f>
        <v>-292928.94225773407</v>
      </c>
      <c r="K184" s="163">
        <f>(-K182+K87)*Kontrollpanel!$D$39+(Kontrollpanel!$F$40*Kontrollpanel!$D$41*'B4. Förslag, utjämning (2014)'!K47)</f>
        <v>-43691.456900975521</v>
      </c>
      <c r="L184" s="163">
        <f>(-L182+L87)*Kontrollpanel!$D$39+(Kontrollpanel!$F$40*Kontrollpanel!$D$41*'B4. Förslag, utjämning (2014)'!L47)</f>
        <v>-55057.094153087601</v>
      </c>
      <c r="M184" s="163">
        <f>(-M182+M87)*Kontrollpanel!$D$39+(Kontrollpanel!$F$40*Kontrollpanel!$D$41*'B4. Förslag, utjämning (2014)'!M47)</f>
        <v>188511.63830918359</v>
      </c>
      <c r="N184" s="163">
        <f>(-N182+N87)*Kontrollpanel!$D$39+(Kontrollpanel!$F$40*Kontrollpanel!$D$41*'B4. Förslag, utjämning (2014)'!N47)</f>
        <v>1497.1532473256957</v>
      </c>
      <c r="O184" s="163">
        <f>(-O182+O87)*Kontrollpanel!$D$39+(Kontrollpanel!$F$40*Kontrollpanel!$D$41*'B4. Förslag, utjämning (2014)'!O47)</f>
        <v>-226522.10068762556</v>
      </c>
      <c r="P184" s="163">
        <f>(-P182+P87)*Kontrollpanel!$D$39+(Kontrollpanel!$F$40*Kontrollpanel!$D$41*'B4. Förslag, utjämning (2014)'!P47)</f>
        <v>-31672.828001595462</v>
      </c>
      <c r="Q184" s="163">
        <f>(-Q182+Q87)*Kontrollpanel!$D$39+(Kontrollpanel!$F$40*Kontrollpanel!$D$41*'B4. Förslag, utjämning (2014)'!Q47)</f>
        <v>359960.42672874243</v>
      </c>
      <c r="R184" s="163">
        <f>(-R182+R87)*Kontrollpanel!$D$39+(Kontrollpanel!$F$40*Kontrollpanel!$D$41*'B4. Förslag, utjämning (2014)'!R47)</f>
        <v>119541.94400844831</v>
      </c>
      <c r="S184" s="163">
        <f>(-S182+S87)*Kontrollpanel!$D$39+(Kontrollpanel!$F$40*Kontrollpanel!$D$41*'B4. Förslag, utjämning (2014)'!S47)</f>
        <v>1827180.4952338324</v>
      </c>
      <c r="T184" s="198">
        <f>SUM(D184:S184)</f>
        <v>2620302.5744000021</v>
      </c>
      <c r="U184" s="165"/>
    </row>
    <row r="185" spans="2:22" ht="15.75" x14ac:dyDescent="0.25">
      <c r="C185" s="166"/>
      <c r="D185" s="163"/>
      <c r="E185" s="163"/>
      <c r="F185" s="163"/>
      <c r="G185" s="163"/>
      <c r="H185" s="163"/>
      <c r="I185" s="163"/>
      <c r="J185" s="163"/>
      <c r="K185" s="163"/>
      <c r="L185" s="163"/>
      <c r="M185" s="163"/>
      <c r="N185" s="163"/>
      <c r="O185" s="163"/>
      <c r="P185" s="163"/>
      <c r="Q185" s="163"/>
      <c r="R185" s="163"/>
      <c r="S185" s="163"/>
      <c r="T185" s="164"/>
      <c r="U185" s="165"/>
    </row>
    <row r="186" spans="2:22" ht="15.75" x14ac:dyDescent="0.25">
      <c r="C186" s="166"/>
      <c r="D186" s="163">
        <f>D184/0.6</f>
        <v>4123.794912553858</v>
      </c>
      <c r="E186" s="163">
        <f t="shared" ref="E186:S186" si="12">E184/0.6</f>
        <v>401104.49671422649</v>
      </c>
      <c r="F186" s="163">
        <f t="shared" si="12"/>
        <v>243572.74470309349</v>
      </c>
      <c r="G186" s="163">
        <f t="shared" si="12"/>
        <v>48355.05331737877</v>
      </c>
      <c r="H186" s="163">
        <f t="shared" si="12"/>
        <v>399557.51961329242</v>
      </c>
      <c r="I186" s="163">
        <f t="shared" si="12"/>
        <v>192425.28886193488</v>
      </c>
      <c r="J186" s="163">
        <f t="shared" si="12"/>
        <v>-488214.90376289014</v>
      </c>
      <c r="K186" s="163">
        <f t="shared" si="12"/>
        <v>-72819.094834959207</v>
      </c>
      <c r="L186" s="163">
        <f t="shared" si="12"/>
        <v>-91761.823588479339</v>
      </c>
      <c r="M186" s="163">
        <f t="shared" si="12"/>
        <v>314186.06384863931</v>
      </c>
      <c r="N186" s="163">
        <f t="shared" si="12"/>
        <v>2495.255412209493</v>
      </c>
      <c r="O186" s="163">
        <f t="shared" si="12"/>
        <v>-377536.83447937592</v>
      </c>
      <c r="P186" s="163">
        <f t="shared" si="12"/>
        <v>-52788.046669325769</v>
      </c>
      <c r="Q186" s="163">
        <f t="shared" si="12"/>
        <v>599934.04454790405</v>
      </c>
      <c r="R186" s="163">
        <f t="shared" si="12"/>
        <v>199236.57334741385</v>
      </c>
      <c r="S186" s="163">
        <f t="shared" si="12"/>
        <v>3045300.825389721</v>
      </c>
      <c r="T186" s="167"/>
      <c r="U186" s="165"/>
    </row>
    <row r="187" spans="2:22" ht="16.5" thickBot="1" x14ac:dyDescent="0.3">
      <c r="B187" s="9"/>
      <c r="C187" s="168"/>
      <c r="D187" s="169">
        <f>-D182+D87</f>
        <v>-58766.769003796449</v>
      </c>
      <c r="E187" s="169">
        <f t="shared" ref="E187:S187" si="13">-E182+E87</f>
        <v>238129.48742851673</v>
      </c>
      <c r="F187" s="169">
        <f t="shared" si="13"/>
        <v>-131618.61104329838</v>
      </c>
      <c r="G187" s="169">
        <f t="shared" si="13"/>
        <v>-33242.232630111917</v>
      </c>
      <c r="H187" s="169">
        <f t="shared" si="13"/>
        <v>302568.19164303911</v>
      </c>
      <c r="I187" s="169">
        <f t="shared" si="13"/>
        <v>-34893.572127444786</v>
      </c>
      <c r="J187" s="169">
        <f t="shared" si="13"/>
        <v>-1090341.6391657449</v>
      </c>
      <c r="K187" s="169">
        <f t="shared" si="13"/>
        <v>-111580.77430919312</v>
      </c>
      <c r="L187" s="169">
        <f t="shared" si="13"/>
        <v>-115893.03346628862</v>
      </c>
      <c r="M187" s="169">
        <f t="shared" si="13"/>
        <v>12602.934014128521</v>
      </c>
      <c r="N187" s="169">
        <f t="shared" si="13"/>
        <v>-49808.857157960476</v>
      </c>
      <c r="O187" s="169">
        <f t="shared" si="13"/>
        <v>-599951.28844250087</v>
      </c>
      <c r="P187" s="169">
        <f t="shared" si="13"/>
        <v>-61707.038771685329</v>
      </c>
      <c r="Q187" s="169">
        <f t="shared" si="13"/>
        <v>411203.2755826806</v>
      </c>
      <c r="R187" s="169">
        <f t="shared" si="13"/>
        <v>131217.33662838198</v>
      </c>
      <c r="S187" s="169">
        <f t="shared" si="13"/>
        <v>1192082.5908212801</v>
      </c>
      <c r="T187" s="192"/>
      <c r="U187" s="170"/>
    </row>
    <row r="188" spans="2:22" ht="15.75" x14ac:dyDescent="0.25">
      <c r="B188" s="9"/>
      <c r="C188" s="6"/>
      <c r="D188" s="151"/>
      <c r="E188" s="193"/>
      <c r="F188" s="150"/>
      <c r="G188" s="193"/>
      <c r="H188" s="194"/>
      <c r="I188" s="114"/>
      <c r="J188" s="9"/>
      <c r="K188" s="9"/>
      <c r="L188" s="9"/>
      <c r="M188" s="9"/>
      <c r="N188" s="9"/>
      <c r="O188" s="9"/>
      <c r="P188" s="9"/>
      <c r="Q188" s="9"/>
      <c r="R188" s="9"/>
    </row>
    <row r="189" spans="2:22" ht="15.75" x14ac:dyDescent="0.25">
      <c r="B189" s="9"/>
      <c r="C189" s="9"/>
      <c r="D189" s="151"/>
      <c r="E189" s="193"/>
      <c r="F189" s="194"/>
      <c r="G189" s="193"/>
      <c r="H189" s="194"/>
      <c r="I189" s="114"/>
      <c r="J189" s="9"/>
      <c r="K189" s="9"/>
      <c r="L189" s="9"/>
      <c r="M189" s="9"/>
      <c r="N189" s="9"/>
      <c r="O189" s="9"/>
      <c r="P189" s="9"/>
      <c r="Q189" s="9"/>
      <c r="R189" s="9"/>
    </row>
    <row r="190" spans="2:22" x14ac:dyDescent="0.2">
      <c r="B190" s="9"/>
      <c r="C190" s="9"/>
      <c r="D190" s="9"/>
      <c r="E190" s="9"/>
      <c r="F190" s="9"/>
      <c r="G190" s="9"/>
      <c r="H190" s="9"/>
      <c r="I190" s="9"/>
      <c r="J190" s="9"/>
      <c r="K190" s="9"/>
      <c r="L190" s="36"/>
      <c r="N190" s="9"/>
      <c r="O190" s="36"/>
      <c r="P190" s="9"/>
      <c r="Q190" s="9"/>
      <c r="R190" s="9"/>
    </row>
    <row r="191" spans="2:22" x14ac:dyDescent="0.2">
      <c r="B191" s="9"/>
      <c r="C191" s="9"/>
      <c r="D191" s="9"/>
      <c r="E191" s="9"/>
      <c r="F191" s="9"/>
      <c r="G191" s="9"/>
      <c r="H191" s="9"/>
      <c r="I191" s="9"/>
      <c r="J191" s="9"/>
      <c r="K191" s="9"/>
      <c r="L191" s="36"/>
      <c r="N191" s="9"/>
      <c r="O191" s="36"/>
      <c r="P191" s="9"/>
      <c r="Q191" s="9"/>
      <c r="R191" s="9"/>
    </row>
    <row r="192" spans="2:22" x14ac:dyDescent="0.2">
      <c r="B192" s="9"/>
      <c r="C192" s="9"/>
      <c r="D192" s="9"/>
      <c r="E192" s="9"/>
      <c r="F192" s="9"/>
      <c r="G192" s="9"/>
      <c r="H192" s="9"/>
      <c r="I192" s="9"/>
      <c r="J192" s="9"/>
      <c r="K192" s="9"/>
      <c r="L192" s="36"/>
      <c r="O192" s="36"/>
    </row>
    <row r="193" spans="2:19" ht="16.5" thickBot="1" x14ac:dyDescent="0.3">
      <c r="B193" s="9"/>
      <c r="C193" s="9"/>
      <c r="D193" s="9"/>
      <c r="E193" s="5" t="s">
        <v>85</v>
      </c>
      <c r="F193" s="9"/>
      <c r="G193" s="9"/>
      <c r="H193" s="6"/>
      <c r="I193" s="9"/>
      <c r="J193" s="9"/>
      <c r="K193" s="9"/>
      <c r="L193" s="36"/>
      <c r="O193" s="36"/>
      <c r="S193" s="9"/>
    </row>
    <row r="194" spans="2:19" ht="16.5" thickBot="1" x14ac:dyDescent="0.3">
      <c r="B194" s="9"/>
      <c r="C194" s="9"/>
      <c r="D194" s="9"/>
      <c r="E194" s="89" t="s">
        <v>84</v>
      </c>
      <c r="F194" s="150"/>
      <c r="G194" s="150"/>
      <c r="H194" s="150"/>
      <c r="I194" s="150"/>
      <c r="J194" s="492"/>
      <c r="K194" s="9"/>
      <c r="L194" s="36"/>
      <c r="O194" s="36"/>
      <c r="S194" s="9"/>
    </row>
    <row r="195" spans="2:19" ht="15.75" x14ac:dyDescent="0.25">
      <c r="B195" s="9"/>
      <c r="C195" s="214" t="s">
        <v>8</v>
      </c>
      <c r="E195" s="220">
        <f>D184</f>
        <v>2474.2769475323148</v>
      </c>
      <c r="F195" s="193"/>
      <c r="G195" s="220">
        <f>D87</f>
        <v>217327.32319999998</v>
      </c>
      <c r="H195" s="193">
        <f>G217-G195</f>
        <v>40672.676800000016</v>
      </c>
      <c r="I195" s="193"/>
      <c r="J195" s="114"/>
      <c r="K195" s="9"/>
      <c r="L195" s="36"/>
      <c r="O195" s="36"/>
      <c r="P195" s="96"/>
      <c r="Q195" s="96"/>
      <c r="R195" s="96"/>
      <c r="S195" s="9"/>
    </row>
    <row r="196" spans="2:19" ht="15.75" x14ac:dyDescent="0.25">
      <c r="B196" s="9"/>
      <c r="C196" s="215" t="s">
        <v>9</v>
      </c>
      <c r="D196" s="36"/>
      <c r="E196" s="220">
        <f>E184</f>
        <v>240662.69802853587</v>
      </c>
      <c r="F196" s="193"/>
      <c r="G196" s="220">
        <f>E87</f>
        <v>821089.76880000008</v>
      </c>
      <c r="H196" s="193">
        <f t="shared" ref="H196:H210" si="14">G218-G196</f>
        <v>85878.531199999969</v>
      </c>
      <c r="I196" s="193"/>
      <c r="J196" s="114"/>
      <c r="K196" s="9"/>
      <c r="L196" s="36"/>
      <c r="O196" s="36"/>
      <c r="S196" s="9"/>
    </row>
    <row r="197" spans="2:19" ht="15.75" x14ac:dyDescent="0.25">
      <c r="B197" s="9"/>
      <c r="C197" s="215" t="s">
        <v>10</v>
      </c>
      <c r="E197" s="220">
        <f>F184</f>
        <v>146143.64682185609</v>
      </c>
      <c r="F197" s="193"/>
      <c r="G197" s="220">
        <f>F87</f>
        <v>1441177.456</v>
      </c>
      <c r="H197" s="193">
        <f t="shared" si="14"/>
        <v>231695.74399999995</v>
      </c>
      <c r="I197" s="193"/>
      <c r="J197" s="114"/>
      <c r="K197" s="9"/>
      <c r="L197" s="36"/>
      <c r="O197" s="36"/>
      <c r="S197" s="9"/>
    </row>
    <row r="198" spans="2:19" ht="15.75" x14ac:dyDescent="0.25">
      <c r="B198" s="9"/>
      <c r="C198" s="215" t="s">
        <v>11</v>
      </c>
      <c r="E198" s="220">
        <f>G184</f>
        <v>29013.031990427262</v>
      </c>
      <c r="F198" s="193"/>
      <c r="G198" s="220">
        <f>G87</f>
        <v>310379.51679999998</v>
      </c>
      <c r="H198" s="193">
        <f t="shared" si="14"/>
        <v>50620.483200000017</v>
      </c>
      <c r="I198" s="193"/>
      <c r="J198" s="114"/>
      <c r="K198" s="9"/>
      <c r="L198" s="36"/>
      <c r="O198" s="36"/>
      <c r="S198" s="9"/>
    </row>
    <row r="199" spans="2:19" ht="15.75" x14ac:dyDescent="0.25">
      <c r="B199" s="9"/>
      <c r="C199" s="215" t="s">
        <v>12</v>
      </c>
      <c r="D199" s="36"/>
      <c r="E199" s="220">
        <f>H184</f>
        <v>239734.51176797543</v>
      </c>
      <c r="F199" s="193"/>
      <c r="G199" s="220">
        <f>H87</f>
        <v>594903.1128</v>
      </c>
      <c r="H199" s="193">
        <f t="shared" si="14"/>
        <v>43065.187200000044</v>
      </c>
      <c r="I199" s="193"/>
      <c r="J199" s="114"/>
      <c r="K199" s="9"/>
      <c r="L199" s="36"/>
      <c r="O199" s="36"/>
      <c r="S199" s="9"/>
    </row>
    <row r="200" spans="2:19" ht="15.75" x14ac:dyDescent="0.25">
      <c r="B200" s="9"/>
      <c r="C200" s="215" t="s">
        <v>13</v>
      </c>
      <c r="E200" s="220">
        <f>I184</f>
        <v>115455.17331716092</v>
      </c>
      <c r="F200" s="193"/>
      <c r="G200" s="220">
        <f>I87</f>
        <v>902800.60479999997</v>
      </c>
      <c r="H200" s="193">
        <f t="shared" si="14"/>
        <v>138135.9952</v>
      </c>
      <c r="I200" s="193"/>
      <c r="J200" s="114"/>
      <c r="K200" s="9"/>
      <c r="S200" s="9"/>
    </row>
    <row r="201" spans="2:19" ht="15.75" x14ac:dyDescent="0.25">
      <c r="B201" s="9"/>
      <c r="C201" s="215" t="s">
        <v>14</v>
      </c>
      <c r="E201" s="220">
        <f>J184</f>
        <v>-292928.94225773407</v>
      </c>
      <c r="F201" s="193"/>
      <c r="G201" s="220">
        <f>J87</f>
        <v>1732143.4768000001</v>
      </c>
      <c r="H201" s="193">
        <f t="shared" si="14"/>
        <v>415793.12320000003</v>
      </c>
      <c r="I201" s="193"/>
      <c r="J201" s="114"/>
      <c r="K201" s="9"/>
      <c r="S201" s="9"/>
    </row>
    <row r="202" spans="2:19" ht="15.75" x14ac:dyDescent="0.25">
      <c r="C202" s="215" t="s">
        <v>15</v>
      </c>
      <c r="E202" s="220">
        <f>K184</f>
        <v>-43691.456900975521</v>
      </c>
      <c r="F202" s="193"/>
      <c r="G202" s="220">
        <f>K87</f>
        <v>84163.953599999993</v>
      </c>
      <c r="H202" s="193">
        <f t="shared" si="14"/>
        <v>28836.046400000007</v>
      </c>
      <c r="I202" s="193"/>
      <c r="J202" s="114"/>
      <c r="K202" s="9"/>
      <c r="S202" s="9"/>
    </row>
    <row r="203" spans="2:19" ht="15.75" x14ac:dyDescent="0.25">
      <c r="C203" s="215" t="s">
        <v>16</v>
      </c>
      <c r="D203" s="9"/>
      <c r="E203" s="220">
        <f>L184</f>
        <v>-55057.094153087601</v>
      </c>
      <c r="F203" s="193"/>
      <c r="G203" s="220">
        <f>L87</f>
        <v>21726.622399999997</v>
      </c>
      <c r="H203" s="193">
        <f t="shared" si="14"/>
        <v>20273.377600000003</v>
      </c>
      <c r="I203" s="193"/>
      <c r="J203" s="114"/>
      <c r="K203" s="9"/>
      <c r="S203" s="9"/>
    </row>
    <row r="204" spans="2:19" ht="15.75" x14ac:dyDescent="0.25">
      <c r="C204" s="215" t="s">
        <v>17</v>
      </c>
      <c r="E204" s="220">
        <f>M184</f>
        <v>188511.63830918359</v>
      </c>
      <c r="F204" s="193"/>
      <c r="G204" s="220">
        <f>M87</f>
        <v>1236648.5688</v>
      </c>
      <c r="H204" s="193">
        <f t="shared" si="14"/>
        <v>180319.73120000004</v>
      </c>
      <c r="I204" s="193"/>
      <c r="J204" s="114"/>
      <c r="K204" s="9"/>
      <c r="S204" s="9"/>
    </row>
    <row r="205" spans="2:19" ht="15.75" x14ac:dyDescent="0.25">
      <c r="C205" s="215" t="s">
        <v>18</v>
      </c>
      <c r="E205" s="220">
        <f>N184</f>
        <v>1497.1532473256957</v>
      </c>
      <c r="F205" s="193"/>
      <c r="G205" s="220">
        <f>N87</f>
        <v>180127.08960000001</v>
      </c>
      <c r="H205" s="193">
        <f t="shared" si="14"/>
        <v>33872.910399999993</v>
      </c>
      <c r="I205" s="193"/>
      <c r="J205" s="114"/>
      <c r="K205" s="9"/>
      <c r="S205" s="9"/>
    </row>
    <row r="206" spans="2:19" ht="15.75" x14ac:dyDescent="0.25">
      <c r="C206" s="215" t="s">
        <v>19</v>
      </c>
      <c r="E206" s="220">
        <f>O184</f>
        <v>-226522.10068762556</v>
      </c>
      <c r="F206" s="193"/>
      <c r="G206" s="220">
        <f>O87</f>
        <v>509553.76319999993</v>
      </c>
      <c r="H206" s="193">
        <f t="shared" si="14"/>
        <v>163446.23680000007</v>
      </c>
      <c r="I206" s="193"/>
      <c r="J206" s="114"/>
      <c r="K206" s="9"/>
      <c r="S206" s="9"/>
    </row>
    <row r="207" spans="2:19" ht="15.75" x14ac:dyDescent="0.25">
      <c r="C207" s="215" t="s">
        <v>20</v>
      </c>
      <c r="E207" s="220">
        <f>P184</f>
        <v>-31672.828001595462</v>
      </c>
      <c r="F207" s="193"/>
      <c r="G207" s="220">
        <f>P87</f>
        <v>-4436.7472000000016</v>
      </c>
      <c r="H207" s="193">
        <f t="shared" si="14"/>
        <v>8436.7472000000016</v>
      </c>
      <c r="I207" s="193"/>
      <c r="J207" s="114"/>
      <c r="K207" s="9"/>
      <c r="S207" s="9"/>
    </row>
    <row r="208" spans="2:19" ht="15.75" x14ac:dyDescent="0.25">
      <c r="C208" s="215" t="s">
        <v>21</v>
      </c>
      <c r="E208" s="220">
        <f>Q184</f>
        <v>359960.42672874243</v>
      </c>
      <c r="F208" s="193"/>
      <c r="G208" s="220">
        <f>Q87</f>
        <v>1040321.7024</v>
      </c>
      <c r="H208" s="193">
        <f t="shared" si="14"/>
        <v>92678.297600000049</v>
      </c>
      <c r="I208" s="193"/>
      <c r="J208" s="114"/>
      <c r="K208" s="9"/>
      <c r="S208" s="9"/>
    </row>
    <row r="209" spans="3:23" ht="15.75" x14ac:dyDescent="0.25">
      <c r="C209" s="215" t="s">
        <v>22</v>
      </c>
      <c r="E209" s="220">
        <f>R184</f>
        <v>119541.94400844831</v>
      </c>
      <c r="F209" s="193"/>
      <c r="G209" s="220">
        <f>R87</f>
        <v>363717.62479999999</v>
      </c>
      <c r="H209" s="193">
        <f t="shared" si="14"/>
        <v>34250.675199999998</v>
      </c>
      <c r="I209" s="193"/>
      <c r="J209" s="114"/>
      <c r="K209" s="9"/>
      <c r="S209" s="9"/>
    </row>
    <row r="210" spans="3:23" ht="16.5" thickBot="1" x14ac:dyDescent="0.3">
      <c r="C210" s="216" t="s">
        <v>23</v>
      </c>
      <c r="E210" s="221">
        <f>S184</f>
        <v>1827180.4952338324</v>
      </c>
      <c r="F210" s="193"/>
      <c r="G210" s="221">
        <f>S87</f>
        <v>8335482.9888000004</v>
      </c>
      <c r="H210" s="193">
        <f t="shared" si="14"/>
        <v>1052326.8112000003</v>
      </c>
      <c r="I210" s="193"/>
      <c r="J210" s="114"/>
      <c r="K210" s="9"/>
      <c r="S210" s="9"/>
    </row>
    <row r="211" spans="3:23" ht="15.75" x14ac:dyDescent="0.25">
      <c r="D211" s="9"/>
      <c r="E211" s="222">
        <f>SUM(E195:E210)</f>
        <v>2620302.5744000021</v>
      </c>
      <c r="F211" s="222"/>
      <c r="G211" s="222">
        <f>SUM(G195:G210)</f>
        <v>17787126.825599998</v>
      </c>
      <c r="H211" s="222">
        <f>SUM(H195:H210)</f>
        <v>2620302.5744000003</v>
      </c>
      <c r="I211" s="222"/>
      <c r="J211" s="6"/>
      <c r="K211" s="9"/>
      <c r="S211" s="9"/>
    </row>
    <row r="212" spans="3:23" x14ac:dyDescent="0.2">
      <c r="D212" s="9"/>
      <c r="E212" s="21"/>
      <c r="F212" s="9"/>
      <c r="G212" s="9"/>
      <c r="H212" s="9"/>
      <c r="I212" s="9"/>
      <c r="J212" s="9"/>
      <c r="K212" s="9"/>
      <c r="S212" s="9"/>
    </row>
    <row r="213" spans="3:23" x14ac:dyDescent="0.2">
      <c r="D213" s="9"/>
      <c r="E213" s="21"/>
      <c r="F213" s="9"/>
      <c r="G213" s="9"/>
      <c r="H213" s="9"/>
      <c r="I213" s="9"/>
      <c r="J213" s="9"/>
      <c r="K213" s="9"/>
      <c r="S213" s="9"/>
    </row>
    <row r="214" spans="3:23" x14ac:dyDescent="0.2">
      <c r="D214" s="9"/>
      <c r="E214" s="21"/>
      <c r="F214" s="9"/>
      <c r="G214" s="9"/>
      <c r="H214" s="9"/>
      <c r="I214" s="9"/>
      <c r="J214" s="9"/>
      <c r="K214" s="9"/>
      <c r="S214" s="9"/>
    </row>
    <row r="215" spans="3:23" x14ac:dyDescent="0.2">
      <c r="D215" s="9"/>
      <c r="E215" s="21"/>
      <c r="F215" s="9"/>
      <c r="G215" s="9"/>
      <c r="H215" s="9"/>
      <c r="I215" s="9"/>
      <c r="J215" s="9"/>
      <c r="K215" s="9"/>
      <c r="S215" s="9"/>
      <c r="W215" s="1">
        <v>20407429.399999999</v>
      </c>
    </row>
    <row r="216" spans="3:23" x14ac:dyDescent="0.2">
      <c r="D216" s="9"/>
      <c r="E216" s="21"/>
      <c r="F216" s="9"/>
      <c r="G216" s="9"/>
      <c r="H216" s="9"/>
      <c r="I216" s="9"/>
      <c r="J216" s="9"/>
      <c r="S216" s="9"/>
    </row>
    <row r="217" spans="3:23" x14ac:dyDescent="0.2">
      <c r="D217" s="9"/>
      <c r="E217" s="21"/>
      <c r="F217" s="9"/>
      <c r="G217" s="9">
        <v>258000</v>
      </c>
      <c r="H217" s="9"/>
      <c r="I217" s="9"/>
      <c r="J217" s="9"/>
      <c r="S217" s="9"/>
    </row>
    <row r="218" spans="3:23" x14ac:dyDescent="0.2">
      <c r="D218" s="9"/>
      <c r="E218" s="9"/>
      <c r="F218" s="9"/>
      <c r="G218" s="9">
        <v>906968.3</v>
      </c>
      <c r="H218" s="9"/>
      <c r="I218" s="9"/>
      <c r="J218" s="9"/>
      <c r="S218" s="9"/>
    </row>
    <row r="219" spans="3:23" x14ac:dyDescent="0.2">
      <c r="D219" s="9"/>
      <c r="E219" s="36"/>
      <c r="F219" s="9"/>
      <c r="G219" s="9">
        <v>1672873.2</v>
      </c>
      <c r="H219" s="9"/>
      <c r="I219" s="9"/>
      <c r="J219" s="9"/>
      <c r="K219" s="9"/>
      <c r="L219" s="9"/>
      <c r="M219" s="9"/>
      <c r="N219" s="9"/>
      <c r="O219" s="9"/>
      <c r="S219" s="9"/>
    </row>
    <row r="220" spans="3:23" ht="15.75" x14ac:dyDescent="0.25">
      <c r="D220" s="9"/>
      <c r="E220" s="9"/>
      <c r="F220" s="9"/>
      <c r="G220" s="9">
        <v>361000</v>
      </c>
      <c r="H220" s="9"/>
      <c r="I220" s="9"/>
      <c r="J220" s="9"/>
      <c r="K220" s="9"/>
      <c r="L220" s="9"/>
      <c r="M220" s="6"/>
      <c r="N220" s="9"/>
      <c r="O220" s="9"/>
      <c r="R220" s="9"/>
    </row>
    <row r="221" spans="3:23" x14ac:dyDescent="0.2">
      <c r="D221" s="9"/>
      <c r="E221" s="9"/>
      <c r="F221" s="9"/>
      <c r="G221" s="9">
        <v>637968.30000000005</v>
      </c>
      <c r="H221" s="194"/>
      <c r="I221" s="194"/>
      <c r="J221" s="194"/>
      <c r="K221" s="195"/>
      <c r="L221" s="194"/>
      <c r="M221" s="194"/>
      <c r="N221" s="194"/>
      <c r="O221" s="9"/>
      <c r="R221" s="9"/>
    </row>
    <row r="222" spans="3:23" ht="15.75" x14ac:dyDescent="0.25">
      <c r="D222" s="9"/>
      <c r="E222" s="9"/>
      <c r="F222" s="9"/>
      <c r="G222" s="1">
        <v>1040936.6</v>
      </c>
      <c r="H222" s="193"/>
      <c r="I222" s="96"/>
      <c r="J222" s="193"/>
      <c r="K222" s="193"/>
      <c r="L222" s="194"/>
      <c r="M222" s="196"/>
      <c r="N222" s="194"/>
      <c r="O222" s="9"/>
      <c r="R222" s="9"/>
    </row>
    <row r="223" spans="3:23" ht="15.75" x14ac:dyDescent="0.25">
      <c r="F223" s="9"/>
      <c r="G223" s="1">
        <v>2147936.6</v>
      </c>
      <c r="H223" s="193"/>
      <c r="I223" s="194"/>
      <c r="J223" s="193"/>
      <c r="K223" s="193"/>
      <c r="L223" s="194"/>
      <c r="M223" s="196"/>
      <c r="N223" s="194"/>
      <c r="O223" s="9"/>
    </row>
    <row r="224" spans="3:23" ht="15.75" x14ac:dyDescent="0.25">
      <c r="F224" s="9"/>
      <c r="G224" s="1">
        <v>113000</v>
      </c>
      <c r="H224" s="193"/>
      <c r="I224" s="194"/>
      <c r="J224" s="193"/>
      <c r="K224" s="193"/>
      <c r="L224" s="194"/>
      <c r="M224" s="196"/>
      <c r="N224" s="194"/>
      <c r="O224" s="9"/>
    </row>
    <row r="225" spans="5:15" ht="15.75" x14ac:dyDescent="0.25">
      <c r="F225" s="9"/>
      <c r="G225" s="1">
        <v>42000</v>
      </c>
      <c r="H225" s="193"/>
      <c r="I225" s="194"/>
      <c r="J225" s="193"/>
      <c r="K225" s="193"/>
      <c r="L225" s="194"/>
      <c r="M225" s="196"/>
      <c r="N225" s="194"/>
      <c r="O225" s="9"/>
    </row>
    <row r="226" spans="5:15" ht="15.75" x14ac:dyDescent="0.25">
      <c r="F226" s="9"/>
      <c r="G226" s="1">
        <v>1416968.3</v>
      </c>
      <c r="H226" s="193"/>
      <c r="I226" s="194"/>
      <c r="J226" s="193"/>
      <c r="K226" s="193"/>
      <c r="L226" s="194"/>
      <c r="M226" s="196"/>
      <c r="N226" s="194"/>
      <c r="O226" s="9"/>
    </row>
    <row r="227" spans="5:15" ht="15.75" x14ac:dyDescent="0.25">
      <c r="F227" s="9"/>
      <c r="G227" s="1">
        <v>214000</v>
      </c>
      <c r="H227" s="193"/>
      <c r="I227" s="194"/>
      <c r="J227" s="193"/>
      <c r="K227" s="193"/>
      <c r="L227" s="194"/>
      <c r="M227" s="196"/>
      <c r="N227" s="194"/>
      <c r="O227" s="9"/>
    </row>
    <row r="228" spans="5:15" ht="15.75" x14ac:dyDescent="0.25">
      <c r="F228" s="9"/>
      <c r="G228" s="1">
        <v>673000</v>
      </c>
      <c r="H228" s="193"/>
      <c r="I228" s="194"/>
      <c r="J228" s="193"/>
      <c r="K228" s="193"/>
      <c r="L228" s="194"/>
      <c r="M228" s="196"/>
      <c r="N228" s="194"/>
      <c r="O228" s="9"/>
    </row>
    <row r="229" spans="5:15" ht="15.75" x14ac:dyDescent="0.25">
      <c r="F229" s="9"/>
      <c r="G229" s="9">
        <v>4000</v>
      </c>
      <c r="H229" s="193"/>
      <c r="I229" s="194"/>
      <c r="J229" s="193"/>
      <c r="K229" s="193"/>
      <c r="L229" s="194"/>
      <c r="M229" s="196"/>
      <c r="N229" s="194"/>
      <c r="O229" s="9"/>
    </row>
    <row r="230" spans="5:15" ht="15.75" x14ac:dyDescent="0.25">
      <c r="F230" s="9"/>
      <c r="G230" s="1">
        <v>1133000</v>
      </c>
      <c r="H230" s="193"/>
      <c r="I230" s="194"/>
      <c r="J230" s="193"/>
      <c r="K230" s="193"/>
      <c r="L230" s="194"/>
      <c r="M230" s="196"/>
      <c r="N230" s="194"/>
      <c r="O230" s="9"/>
    </row>
    <row r="231" spans="5:15" ht="15.75" x14ac:dyDescent="0.25">
      <c r="F231" s="9"/>
      <c r="G231" s="1">
        <v>397968.3</v>
      </c>
      <c r="H231" s="193"/>
      <c r="I231" s="194"/>
      <c r="J231" s="193"/>
      <c r="K231" s="193"/>
      <c r="L231" s="194"/>
      <c r="M231" s="196"/>
      <c r="N231" s="194"/>
      <c r="O231" s="9"/>
    </row>
    <row r="232" spans="5:15" ht="15.75" x14ac:dyDescent="0.25">
      <c r="F232" s="9"/>
      <c r="G232" s="1">
        <v>9387809.8000000007</v>
      </c>
      <c r="H232" s="193"/>
      <c r="I232" s="194"/>
      <c r="J232" s="193"/>
      <c r="K232" s="193"/>
      <c r="L232" s="194"/>
      <c r="M232" s="196"/>
      <c r="N232" s="194"/>
      <c r="O232" s="9"/>
    </row>
    <row r="233" spans="5:15" ht="15.75" x14ac:dyDescent="0.25">
      <c r="F233" s="9"/>
      <c r="G233" s="1">
        <v>20407429.399999999</v>
      </c>
      <c r="H233" s="193"/>
      <c r="I233" s="194"/>
      <c r="J233" s="193"/>
      <c r="K233" s="193"/>
      <c r="L233" s="194"/>
      <c r="M233" s="196"/>
      <c r="N233" s="194"/>
      <c r="O233" s="9"/>
    </row>
    <row r="234" spans="5:15" ht="15.75" x14ac:dyDescent="0.25">
      <c r="F234" s="9"/>
      <c r="G234" s="197"/>
      <c r="H234" s="193"/>
      <c r="I234" s="194"/>
      <c r="J234" s="193"/>
      <c r="K234" s="193"/>
      <c r="L234" s="194"/>
      <c r="M234" s="196"/>
      <c r="N234" s="194"/>
      <c r="O234" s="9"/>
    </row>
    <row r="235" spans="5:15" ht="15.75" x14ac:dyDescent="0.25">
      <c r="F235" s="9"/>
      <c r="G235" s="37"/>
      <c r="H235" s="193"/>
      <c r="I235" s="194"/>
      <c r="J235" s="193"/>
      <c r="K235" s="193"/>
      <c r="L235" s="194"/>
      <c r="M235" s="196"/>
      <c r="N235" s="194"/>
      <c r="O235" s="9"/>
    </row>
    <row r="236" spans="5:15" ht="15.75" x14ac:dyDescent="0.25">
      <c r="F236" s="9"/>
      <c r="G236" s="197"/>
      <c r="H236" s="193"/>
      <c r="I236" s="194"/>
      <c r="J236" s="193"/>
      <c r="K236" s="193"/>
      <c r="L236" s="194"/>
      <c r="M236" s="196"/>
      <c r="N236" s="194"/>
      <c r="O236" s="9"/>
    </row>
    <row r="237" spans="5:15" ht="15.75" x14ac:dyDescent="0.25">
      <c r="F237" s="9"/>
      <c r="G237" s="37"/>
      <c r="H237" s="193"/>
      <c r="I237" s="194"/>
      <c r="J237" s="193"/>
      <c r="K237" s="193"/>
      <c r="L237" s="194"/>
      <c r="M237" s="196"/>
      <c r="N237" s="194"/>
      <c r="O237" s="9"/>
    </row>
    <row r="238" spans="5:15" ht="15.75" x14ac:dyDescent="0.25">
      <c r="F238" s="9"/>
      <c r="G238" s="9"/>
      <c r="H238" s="222"/>
      <c r="I238" s="6"/>
      <c r="J238" s="222"/>
      <c r="K238" s="222"/>
      <c r="L238" s="6"/>
      <c r="M238" s="6"/>
      <c r="N238" s="6"/>
      <c r="O238" s="9"/>
    </row>
    <row r="239" spans="5:15" x14ac:dyDescent="0.2">
      <c r="F239" s="9"/>
      <c r="G239" s="9"/>
      <c r="H239" s="9"/>
      <c r="I239" s="9"/>
      <c r="J239" s="9"/>
      <c r="K239" s="9"/>
      <c r="L239" s="9"/>
      <c r="M239" s="9"/>
      <c r="N239" s="9"/>
      <c r="O239" s="9"/>
    </row>
    <row r="240" spans="5:15" x14ac:dyDescent="0.2">
      <c r="E240" s="119"/>
      <c r="F240" s="117"/>
      <c r="G240" s="117"/>
      <c r="H240" s="9"/>
      <c r="I240" s="9"/>
      <c r="J240" s="9"/>
      <c r="K240" s="9"/>
      <c r="L240" s="9"/>
      <c r="M240" s="9"/>
      <c r="N240" s="9"/>
      <c r="O240" s="9"/>
    </row>
    <row r="241" spans="4:15" x14ac:dyDescent="0.2">
      <c r="D241" s="116"/>
      <c r="E241" s="116"/>
      <c r="F241" s="116"/>
      <c r="G241" s="116"/>
      <c r="H241" s="116"/>
      <c r="I241" s="116"/>
      <c r="J241" s="116"/>
      <c r="K241" s="116"/>
      <c r="L241" s="9"/>
      <c r="M241" s="9"/>
      <c r="N241" s="9"/>
      <c r="O241" s="9"/>
    </row>
    <row r="242" spans="4:15" ht="15.75" x14ac:dyDescent="0.25">
      <c r="F242" s="9"/>
      <c r="G242" s="9"/>
      <c r="H242" s="9"/>
      <c r="I242" s="150"/>
      <c r="J242" s="184"/>
      <c r="K242" s="9"/>
      <c r="L242" s="9"/>
      <c r="M242" s="9"/>
      <c r="N242" s="9"/>
      <c r="O242" s="9"/>
    </row>
    <row r="243" spans="4:15" ht="15.75" x14ac:dyDescent="0.25">
      <c r="F243" s="9"/>
      <c r="G243" s="9"/>
      <c r="H243" s="9"/>
      <c r="I243" s="150"/>
      <c r="J243" s="184"/>
      <c r="K243" s="9"/>
      <c r="L243" s="9"/>
      <c r="M243" s="9"/>
      <c r="N243" s="9"/>
      <c r="O243" s="9"/>
    </row>
    <row r="244" spans="4:15" x14ac:dyDescent="0.2">
      <c r="F244" s="9"/>
      <c r="G244" s="9"/>
      <c r="H244" s="9"/>
      <c r="I244" s="9"/>
      <c r="J244" s="9"/>
      <c r="K244" s="9"/>
      <c r="L244" s="9"/>
      <c r="M244" s="9"/>
      <c r="N244" s="9"/>
      <c r="O244" s="9"/>
    </row>
    <row r="245" spans="4:15" x14ac:dyDescent="0.2">
      <c r="I245" s="1" t="s">
        <v>86</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244"/>
  <sheetViews>
    <sheetView topLeftCell="A27" zoomScale="70" zoomScaleNormal="70" workbookViewId="0">
      <selection activeCell="D47" sqref="D47:S47"/>
    </sheetView>
  </sheetViews>
  <sheetFormatPr defaultColWidth="8.88671875" defaultRowHeight="15" x14ac:dyDescent="0.2"/>
  <cols>
    <col min="1" max="1" width="2.21875" style="1" customWidth="1"/>
    <col min="2" max="2" width="2" style="1" customWidth="1"/>
    <col min="3" max="3" width="32.6640625" style="1" customWidth="1"/>
    <col min="4" max="4" width="10.6640625" style="1" customWidth="1"/>
    <col min="5" max="5" width="16" style="1" customWidth="1"/>
    <col min="6" max="6" width="13.6640625" style="1" bestFit="1" customWidth="1"/>
    <col min="7" max="7" width="12.109375" style="1" customWidth="1"/>
    <col min="8" max="8" width="14.6640625" style="1" customWidth="1"/>
    <col min="9" max="9" width="15.77734375" style="1" customWidth="1"/>
    <col min="10" max="10" width="15.88671875" style="1" customWidth="1"/>
    <col min="11" max="11" width="12.109375" style="1" customWidth="1"/>
    <col min="12" max="12" width="10.6640625" style="1" customWidth="1"/>
    <col min="13" max="13" width="10.77734375" style="1" customWidth="1"/>
    <col min="14" max="14" width="9.44140625" style="1" bestFit="1" customWidth="1"/>
    <col min="15" max="15" width="13.6640625" style="1" bestFit="1" customWidth="1"/>
    <col min="16" max="16" width="9.109375" style="1" bestFit="1" customWidth="1"/>
    <col min="17" max="17" width="10.5546875" style="1" bestFit="1" customWidth="1"/>
    <col min="18" max="18" width="13.6640625" style="1" bestFit="1" customWidth="1"/>
    <col min="19" max="19" width="11.5546875" style="1" customWidth="1"/>
    <col min="20" max="20" width="14.77734375" style="1" customWidth="1"/>
    <col min="21" max="21" width="15.88671875" style="1" customWidth="1"/>
    <col min="22" max="22" width="9.77734375" style="1" customWidth="1"/>
    <col min="23" max="16384" width="8.88671875" style="1"/>
  </cols>
  <sheetData>
    <row r="2" spans="3:8" ht="23.25" thickBot="1" x14ac:dyDescent="0.35">
      <c r="C2" s="225" t="s">
        <v>467</v>
      </c>
      <c r="D2" s="121"/>
      <c r="E2" s="120"/>
      <c r="F2" s="120"/>
      <c r="G2" s="120"/>
    </row>
    <row r="3" spans="3:8" ht="15.75" thickTop="1" x14ac:dyDescent="0.2"/>
    <row r="5" spans="3:8" ht="17.25" customHeight="1" thickBot="1" x14ac:dyDescent="0.3">
      <c r="C5" s="223" t="s">
        <v>98</v>
      </c>
      <c r="D5" s="224"/>
      <c r="E5" s="224"/>
      <c r="F5" s="224"/>
      <c r="G5" s="224"/>
      <c r="H5" s="224"/>
    </row>
    <row r="6" spans="3:8" ht="17.25" hidden="1" customHeight="1" thickTop="1" x14ac:dyDescent="0.2"/>
    <row r="7" spans="3:8" ht="17.25" hidden="1" customHeight="1" x14ac:dyDescent="0.2"/>
    <row r="8" spans="3:8" ht="17.25" hidden="1" customHeight="1" x14ac:dyDescent="0.2"/>
    <row r="9" spans="3:8" ht="17.25" hidden="1" customHeight="1" x14ac:dyDescent="0.2"/>
    <row r="10" spans="3:8" ht="17.25" hidden="1" customHeight="1" x14ac:dyDescent="0.2"/>
    <row r="11" spans="3:8" ht="17.25" hidden="1" customHeight="1" x14ac:dyDescent="0.2"/>
    <row r="12" spans="3:8" ht="17.25" hidden="1" customHeight="1" x14ac:dyDescent="0.2"/>
    <row r="13" spans="3:8" ht="17.25" hidden="1" customHeight="1" x14ac:dyDescent="0.2"/>
    <row r="14" spans="3:8" ht="17.25" hidden="1" customHeight="1" x14ac:dyDescent="0.2"/>
    <row r="15" spans="3:8" ht="17.25" hidden="1" customHeight="1" x14ac:dyDescent="0.2"/>
    <row r="16" spans="3:8" ht="15" hidden="1" customHeight="1" x14ac:dyDescent="0.2"/>
    <row r="17" spans="2:13" ht="15" hidden="1" customHeight="1" x14ac:dyDescent="0.2"/>
    <row r="18" spans="2:13" ht="15" hidden="1" customHeight="1" x14ac:dyDescent="0.2"/>
    <row r="19" spans="2:13" ht="15" hidden="1" customHeight="1" x14ac:dyDescent="0.2"/>
    <row r="20" spans="2:13" ht="15" hidden="1" customHeight="1" x14ac:dyDescent="0.2"/>
    <row r="21" spans="2:13" ht="15" hidden="1" customHeight="1" x14ac:dyDescent="0.2"/>
    <row r="22" spans="2:13" ht="15" hidden="1" customHeight="1" x14ac:dyDescent="0.2"/>
    <row r="23" spans="2:13" ht="15" hidden="1" customHeight="1" x14ac:dyDescent="0.2"/>
    <row r="24" spans="2:13" ht="15" hidden="1" customHeight="1" x14ac:dyDescent="0.2"/>
    <row r="25" spans="2:13" ht="15.75" thickTop="1" x14ac:dyDescent="0.2"/>
    <row r="27" spans="2:13" ht="17.25" thickBot="1" x14ac:dyDescent="0.3">
      <c r="B27" s="34"/>
      <c r="C27" s="227" t="s">
        <v>97</v>
      </c>
      <c r="D27" s="227"/>
      <c r="E27" s="227"/>
      <c r="F27" s="227"/>
      <c r="G27" s="227"/>
      <c r="H27" s="226"/>
    </row>
    <row r="28" spans="2:13" ht="15.75" thickTop="1" x14ac:dyDescent="0.2">
      <c r="H28" s="9"/>
      <c r="I28" s="9"/>
      <c r="J28" s="9"/>
    </row>
    <row r="29" spans="2:13" ht="15.75" x14ac:dyDescent="0.25">
      <c r="H29" s="9"/>
      <c r="I29" s="46"/>
      <c r="J29" s="9"/>
      <c r="L29" s="9"/>
    </row>
    <row r="30" spans="2:13" ht="15.75" x14ac:dyDescent="0.25">
      <c r="H30" s="9"/>
      <c r="I30" s="46"/>
      <c r="J30" s="124"/>
      <c r="L30" s="123"/>
      <c r="M30" s="45"/>
    </row>
    <row r="31" spans="2:13" ht="15.75" x14ac:dyDescent="0.25">
      <c r="H31" s="9"/>
      <c r="I31" s="46"/>
      <c r="J31" s="124"/>
      <c r="L31" s="46"/>
      <c r="M31" s="46"/>
    </row>
    <row r="32" spans="2:13" ht="15.75" x14ac:dyDescent="0.25">
      <c r="H32" s="9"/>
      <c r="I32" s="46"/>
      <c r="J32" s="124"/>
      <c r="L32" s="125"/>
      <c r="M32" s="46"/>
    </row>
    <row r="33" spans="1:23" ht="15.75" x14ac:dyDescent="0.25">
      <c r="H33" s="9"/>
      <c r="I33" s="46"/>
      <c r="J33" s="124"/>
      <c r="K33" s="9"/>
      <c r="L33" s="125"/>
      <c r="M33" s="46"/>
    </row>
    <row r="34" spans="1:23" ht="15.75" x14ac:dyDescent="0.25">
      <c r="H34" s="9"/>
      <c r="I34" s="46"/>
      <c r="J34" s="124"/>
      <c r="K34" s="9"/>
      <c r="L34" s="125"/>
      <c r="M34" s="46"/>
    </row>
    <row r="35" spans="1:23" ht="15.75" x14ac:dyDescent="0.25">
      <c r="H35" s="9"/>
      <c r="I35" s="9"/>
      <c r="J35" s="46"/>
      <c r="K35" s="124"/>
      <c r="L35" s="125"/>
      <c r="M35" s="46"/>
    </row>
    <row r="36" spans="1:23" ht="15.75" x14ac:dyDescent="0.25">
      <c r="H36" s="9"/>
      <c r="I36" s="9"/>
      <c r="J36" s="46"/>
      <c r="K36" s="124"/>
      <c r="L36" s="125"/>
      <c r="M36" s="46"/>
    </row>
    <row r="37" spans="1:23" x14ac:dyDescent="0.2">
      <c r="I37" s="9"/>
      <c r="J37" s="9"/>
      <c r="K37" s="9"/>
      <c r="L37" s="9"/>
      <c r="M37" s="9"/>
    </row>
    <row r="38" spans="1:23" x14ac:dyDescent="0.2">
      <c r="M38" s="9"/>
    </row>
    <row r="39" spans="1:23" ht="15.75" thickBot="1" x14ac:dyDescent="0.25">
      <c r="V39" s="9"/>
      <c r="W39" s="9"/>
    </row>
    <row r="40" spans="1:23" ht="15.75" x14ac:dyDescent="0.25">
      <c r="C40" s="2"/>
      <c r="D40" s="3"/>
      <c r="E40" s="3"/>
      <c r="F40" s="3"/>
      <c r="G40" s="3"/>
      <c r="H40" s="3"/>
      <c r="I40" s="3"/>
      <c r="J40" s="3"/>
      <c r="K40" s="3"/>
      <c r="L40" s="3"/>
      <c r="M40" s="3"/>
      <c r="N40" s="3"/>
      <c r="O40" s="3"/>
      <c r="P40" s="3"/>
      <c r="Q40" s="3"/>
      <c r="R40" s="3"/>
      <c r="S40" s="3"/>
      <c r="T40" s="3"/>
      <c r="U40" s="4"/>
      <c r="V40" s="6"/>
      <c r="W40" s="9"/>
    </row>
    <row r="41" spans="1:23" ht="16.5" thickBot="1" x14ac:dyDescent="0.3">
      <c r="B41" s="5"/>
      <c r="C41" s="52" t="s">
        <v>463</v>
      </c>
      <c r="D41" s="75" t="s">
        <v>50</v>
      </c>
      <c r="E41" s="9"/>
      <c r="F41" s="9"/>
      <c r="G41" s="9"/>
      <c r="H41" s="9"/>
      <c r="I41" s="9"/>
      <c r="J41" s="9"/>
      <c r="K41" s="9"/>
      <c r="L41" s="9"/>
      <c r="M41" s="9"/>
      <c r="N41" s="9"/>
      <c r="O41" s="9"/>
      <c r="P41" s="9"/>
      <c r="Q41" s="9"/>
      <c r="R41" s="9"/>
      <c r="S41" s="9"/>
      <c r="T41" s="9"/>
      <c r="U41" s="108" t="s">
        <v>47</v>
      </c>
      <c r="V41" s="6"/>
      <c r="W41" s="9"/>
    </row>
    <row r="42" spans="1:23" ht="15.75" x14ac:dyDescent="0.25">
      <c r="C42" s="122" t="s">
        <v>66</v>
      </c>
      <c r="D42" s="126" t="s">
        <v>8</v>
      </c>
      <c r="E42" s="57" t="s">
        <v>9</v>
      </c>
      <c r="F42" s="57" t="s">
        <v>10</v>
      </c>
      <c r="G42" s="57" t="s">
        <v>11</v>
      </c>
      <c r="H42" s="57" t="s">
        <v>12</v>
      </c>
      <c r="I42" s="57" t="s">
        <v>13</v>
      </c>
      <c r="J42" s="57" t="s">
        <v>14</v>
      </c>
      <c r="K42" s="57" t="s">
        <v>15</v>
      </c>
      <c r="L42" s="57" t="s">
        <v>16</v>
      </c>
      <c r="M42" s="57" t="s">
        <v>17</v>
      </c>
      <c r="N42" s="57" t="s">
        <v>18</v>
      </c>
      <c r="O42" s="57" t="s">
        <v>19</v>
      </c>
      <c r="P42" s="57" t="s">
        <v>20</v>
      </c>
      <c r="Q42" s="57" t="s">
        <v>21</v>
      </c>
      <c r="R42" s="57" t="s">
        <v>22</v>
      </c>
      <c r="S42" s="57" t="s">
        <v>23</v>
      </c>
      <c r="T42" s="127" t="s">
        <v>24</v>
      </c>
      <c r="U42" s="128"/>
      <c r="V42" s="9"/>
      <c r="W42" s="9"/>
    </row>
    <row r="43" spans="1:23" ht="15.75" x14ac:dyDescent="0.25">
      <c r="B43" s="7"/>
      <c r="C43" s="129" t="s">
        <v>67</v>
      </c>
      <c r="D43" s="130">
        <v>386</v>
      </c>
      <c r="E43" s="54">
        <v>776</v>
      </c>
      <c r="F43" s="54">
        <v>2073</v>
      </c>
      <c r="G43" s="54">
        <v>459</v>
      </c>
      <c r="H43" s="54">
        <v>395</v>
      </c>
      <c r="I43" s="54">
        <v>1262</v>
      </c>
      <c r="J43" s="54">
        <v>3709</v>
      </c>
      <c r="K43" s="54">
        <v>255</v>
      </c>
      <c r="L43" s="54">
        <v>196</v>
      </c>
      <c r="M43" s="54">
        <v>1606</v>
      </c>
      <c r="N43" s="54">
        <v>317</v>
      </c>
      <c r="O43" s="54">
        <v>1491</v>
      </c>
      <c r="P43" s="54">
        <v>79</v>
      </c>
      <c r="Q43" s="54">
        <v>862</v>
      </c>
      <c r="R43" s="54">
        <v>319</v>
      </c>
      <c r="S43" s="54">
        <v>9454</v>
      </c>
      <c r="T43" s="131">
        <f t="shared" ref="T43:T44" si="0">SUM(D43:S43)</f>
        <v>23639</v>
      </c>
      <c r="U43" s="132">
        <f>T43/$T$49</f>
        <v>1</v>
      </c>
      <c r="V43" s="37"/>
      <c r="W43" s="9"/>
    </row>
    <row r="44" spans="1:23" ht="15.75" x14ac:dyDescent="0.25">
      <c r="B44" s="7"/>
      <c r="C44" s="40" t="s">
        <v>68</v>
      </c>
      <c r="D44" s="130"/>
      <c r="E44" s="54"/>
      <c r="F44" s="54"/>
      <c r="G44" s="54"/>
      <c r="H44" s="54"/>
      <c r="I44" s="54"/>
      <c r="J44" s="54"/>
      <c r="K44" s="54"/>
      <c r="L44" s="54"/>
      <c r="M44" s="54"/>
      <c r="N44" s="54"/>
      <c r="O44" s="54"/>
      <c r="P44" s="54"/>
      <c r="Q44" s="54"/>
      <c r="R44" s="54"/>
      <c r="S44" s="54"/>
      <c r="T44" s="131">
        <f t="shared" si="0"/>
        <v>0</v>
      </c>
      <c r="U44" s="132">
        <f>T44/$T$49</f>
        <v>0</v>
      </c>
      <c r="V44" s="37"/>
      <c r="W44" s="9"/>
    </row>
    <row r="45" spans="1:23" ht="15.75" x14ac:dyDescent="0.25">
      <c r="B45" s="7"/>
      <c r="C45" s="40" t="s">
        <v>69</v>
      </c>
      <c r="D45" s="130"/>
      <c r="E45" s="54"/>
      <c r="F45" s="54"/>
      <c r="G45" s="54"/>
      <c r="H45" s="54"/>
      <c r="I45" s="54"/>
      <c r="J45" s="54"/>
      <c r="K45" s="54"/>
      <c r="L45" s="54"/>
      <c r="M45" s="54"/>
      <c r="N45" s="54"/>
      <c r="O45" s="54"/>
      <c r="P45" s="54"/>
      <c r="Q45" s="54"/>
      <c r="R45" s="54"/>
      <c r="S45" s="54"/>
      <c r="T45" s="131">
        <f>SUM(D45:S45)</f>
        <v>0</v>
      </c>
      <c r="U45" s="132">
        <f>T45/$T$49</f>
        <v>0</v>
      </c>
      <c r="V45" s="37"/>
      <c r="W45" s="9"/>
    </row>
    <row r="46" spans="1:23" ht="15.75" x14ac:dyDescent="0.25">
      <c r="B46" s="7"/>
      <c r="C46" s="40"/>
      <c r="D46" s="130"/>
      <c r="E46" s="54"/>
      <c r="F46" s="54"/>
      <c r="G46" s="54"/>
      <c r="H46" s="54"/>
      <c r="I46" s="54"/>
      <c r="J46" s="54"/>
      <c r="K46" s="54"/>
      <c r="L46" s="54"/>
      <c r="M46" s="54"/>
      <c r="N46" s="54"/>
      <c r="O46" s="54"/>
      <c r="P46" s="54"/>
      <c r="Q46" s="54"/>
      <c r="R46" s="54"/>
      <c r="S46" s="54"/>
      <c r="T46" s="131"/>
      <c r="U46" s="133"/>
      <c r="V46" s="37"/>
      <c r="W46" s="9"/>
    </row>
    <row r="47" spans="1:23" ht="15.75" x14ac:dyDescent="0.25">
      <c r="A47" s="119"/>
      <c r="B47" s="136"/>
      <c r="C47" s="40" t="s">
        <v>4</v>
      </c>
      <c r="D47" s="134">
        <v>323</v>
      </c>
      <c r="E47" s="38">
        <v>682</v>
      </c>
      <c r="F47" s="38">
        <v>1840</v>
      </c>
      <c r="G47" s="38">
        <v>402</v>
      </c>
      <c r="H47" s="38">
        <v>342</v>
      </c>
      <c r="I47" s="38">
        <v>1097</v>
      </c>
      <c r="J47" s="38">
        <v>3302</v>
      </c>
      <c r="K47" s="38">
        <v>229</v>
      </c>
      <c r="L47" s="38">
        <v>161</v>
      </c>
      <c r="M47" s="38">
        <v>1432</v>
      </c>
      <c r="N47" s="38">
        <v>269</v>
      </c>
      <c r="O47" s="38">
        <v>1298</v>
      </c>
      <c r="P47" s="38">
        <v>67</v>
      </c>
      <c r="Q47" s="38">
        <v>736</v>
      </c>
      <c r="R47" s="38">
        <v>272</v>
      </c>
      <c r="S47" s="38">
        <v>8357</v>
      </c>
      <c r="T47" s="135">
        <v>20809</v>
      </c>
      <c r="U47" s="133"/>
      <c r="V47" s="825">
        <v>23639</v>
      </c>
      <c r="W47" s="9"/>
    </row>
    <row r="48" spans="1:23" ht="15.75" x14ac:dyDescent="0.25">
      <c r="A48" s="119"/>
      <c r="B48" s="136"/>
      <c r="C48" s="40"/>
      <c r="D48" s="134"/>
      <c r="E48" s="38"/>
      <c r="F48" s="38"/>
      <c r="G48" s="38"/>
      <c r="H48" s="38"/>
      <c r="I48" s="38"/>
      <c r="J48" s="38"/>
      <c r="K48" s="38"/>
      <c r="L48" s="38"/>
      <c r="M48" s="38"/>
      <c r="N48" s="38"/>
      <c r="O48" s="38"/>
      <c r="P48" s="38"/>
      <c r="Q48" s="38"/>
      <c r="R48" s="38"/>
      <c r="S48" s="38"/>
      <c r="T48" s="135"/>
      <c r="U48" s="133"/>
      <c r="V48" s="37"/>
      <c r="W48" s="9"/>
    </row>
    <row r="49" spans="1:23" ht="16.5" thickBot="1" x14ac:dyDescent="0.3">
      <c r="A49" s="119"/>
      <c r="B49" s="136"/>
      <c r="C49" s="42" t="s">
        <v>27</v>
      </c>
      <c r="D49" s="307">
        <f t="shared" ref="D49:T49" si="1">SUM(D43:D45)</f>
        <v>386</v>
      </c>
      <c r="E49" s="192">
        <f t="shared" si="1"/>
        <v>776</v>
      </c>
      <c r="F49" s="192">
        <f t="shared" si="1"/>
        <v>2073</v>
      </c>
      <c r="G49" s="192">
        <f t="shared" si="1"/>
        <v>459</v>
      </c>
      <c r="H49" s="192">
        <f t="shared" si="1"/>
        <v>395</v>
      </c>
      <c r="I49" s="192">
        <f t="shared" si="1"/>
        <v>1262</v>
      </c>
      <c r="J49" s="192">
        <f t="shared" si="1"/>
        <v>3709</v>
      </c>
      <c r="K49" s="192">
        <f t="shared" si="1"/>
        <v>255</v>
      </c>
      <c r="L49" s="192">
        <f t="shared" si="1"/>
        <v>196</v>
      </c>
      <c r="M49" s="192">
        <f t="shared" si="1"/>
        <v>1606</v>
      </c>
      <c r="N49" s="192">
        <f t="shared" si="1"/>
        <v>317</v>
      </c>
      <c r="O49" s="192">
        <f t="shared" si="1"/>
        <v>1491</v>
      </c>
      <c r="P49" s="192">
        <f t="shared" si="1"/>
        <v>79</v>
      </c>
      <c r="Q49" s="192">
        <f t="shared" si="1"/>
        <v>862</v>
      </c>
      <c r="R49" s="192">
        <f t="shared" si="1"/>
        <v>319</v>
      </c>
      <c r="S49" s="192">
        <f t="shared" si="1"/>
        <v>9454</v>
      </c>
      <c r="T49" s="308">
        <f t="shared" si="1"/>
        <v>23639</v>
      </c>
      <c r="U49" s="137"/>
      <c r="V49" s="37"/>
      <c r="W49" s="9"/>
    </row>
    <row r="50" spans="1:23" ht="16.5" thickBot="1" x14ac:dyDescent="0.3">
      <c r="A50" s="119"/>
      <c r="B50" s="136"/>
      <c r="C50" s="6"/>
      <c r="D50" s="6"/>
      <c r="E50" s="6"/>
      <c r="F50" s="6"/>
      <c r="G50" s="6"/>
      <c r="H50" s="6"/>
      <c r="I50" s="6"/>
      <c r="J50" s="6"/>
      <c r="K50" s="6"/>
      <c r="L50" s="6"/>
      <c r="M50" s="6"/>
      <c r="N50" s="6"/>
      <c r="O50" s="6"/>
      <c r="P50" s="6"/>
      <c r="Q50" s="6"/>
      <c r="R50" s="6"/>
      <c r="S50" s="6"/>
      <c r="T50" s="138"/>
      <c r="U50" s="9"/>
      <c r="V50" s="9"/>
      <c r="W50" s="9"/>
    </row>
    <row r="51" spans="1:23" ht="15.75" x14ac:dyDescent="0.25">
      <c r="A51" s="119"/>
      <c r="B51" s="136"/>
      <c r="C51" s="139" t="s">
        <v>28</v>
      </c>
      <c r="D51" s="297"/>
      <c r="E51" s="140"/>
      <c r="F51" s="140"/>
      <c r="G51" s="140"/>
      <c r="H51" s="140"/>
      <c r="I51" s="140"/>
      <c r="J51" s="140"/>
      <c r="K51" s="140"/>
      <c r="L51" s="140"/>
      <c r="M51" s="140"/>
      <c r="N51" s="140"/>
      <c r="O51" s="140"/>
      <c r="P51" s="140"/>
      <c r="Q51" s="140"/>
      <c r="R51" s="140"/>
      <c r="S51" s="298"/>
      <c r="T51" s="141" t="s">
        <v>24</v>
      </c>
      <c r="U51" s="9"/>
      <c r="V51" s="9"/>
      <c r="W51" s="9"/>
    </row>
    <row r="52" spans="1:23" ht="15.75" x14ac:dyDescent="0.25">
      <c r="A52" s="119"/>
      <c r="B52" s="136"/>
      <c r="C52" s="142" t="s">
        <v>71</v>
      </c>
      <c r="D52" s="299">
        <f t="shared" ref="D52:T52" si="2">D43/D$49</f>
        <v>1</v>
      </c>
      <c r="E52" s="143">
        <f t="shared" si="2"/>
        <v>1</v>
      </c>
      <c r="F52" s="143">
        <f t="shared" si="2"/>
        <v>1</v>
      </c>
      <c r="G52" s="143">
        <f t="shared" si="2"/>
        <v>1</v>
      </c>
      <c r="H52" s="143">
        <f t="shared" si="2"/>
        <v>1</v>
      </c>
      <c r="I52" s="143">
        <f t="shared" si="2"/>
        <v>1</v>
      </c>
      <c r="J52" s="143">
        <f t="shared" si="2"/>
        <v>1</v>
      </c>
      <c r="K52" s="143">
        <f t="shared" si="2"/>
        <v>1</v>
      </c>
      <c r="L52" s="143">
        <f t="shared" si="2"/>
        <v>1</v>
      </c>
      <c r="M52" s="143">
        <f t="shared" si="2"/>
        <v>1</v>
      </c>
      <c r="N52" s="143">
        <f t="shared" si="2"/>
        <v>1</v>
      </c>
      <c r="O52" s="143">
        <f t="shared" si="2"/>
        <v>1</v>
      </c>
      <c r="P52" s="143">
        <f t="shared" si="2"/>
        <v>1</v>
      </c>
      <c r="Q52" s="143">
        <f t="shared" si="2"/>
        <v>1</v>
      </c>
      <c r="R52" s="143">
        <f t="shared" si="2"/>
        <v>1</v>
      </c>
      <c r="S52" s="300">
        <f t="shared" si="2"/>
        <v>1</v>
      </c>
      <c r="T52" s="144">
        <f t="shared" si="2"/>
        <v>1</v>
      </c>
      <c r="U52" s="9"/>
      <c r="V52" s="9"/>
      <c r="W52" s="9"/>
    </row>
    <row r="53" spans="1:23" ht="15.75" x14ac:dyDescent="0.25">
      <c r="A53" s="119"/>
      <c r="B53" s="136"/>
      <c r="C53" s="145"/>
      <c r="D53" s="299"/>
      <c r="E53" s="143"/>
      <c r="F53" s="143"/>
      <c r="G53" s="143"/>
      <c r="H53" s="143"/>
      <c r="I53" s="143"/>
      <c r="J53" s="143"/>
      <c r="K53" s="143"/>
      <c r="L53" s="143"/>
      <c r="M53" s="143"/>
      <c r="N53" s="143"/>
      <c r="O53" s="143"/>
      <c r="P53" s="143"/>
      <c r="Q53" s="143"/>
      <c r="R53" s="143"/>
      <c r="S53" s="300"/>
      <c r="T53" s="144"/>
      <c r="U53" s="9"/>
      <c r="V53" s="9"/>
      <c r="W53" s="9"/>
    </row>
    <row r="54" spans="1:23" ht="15.75" x14ac:dyDescent="0.25">
      <c r="A54" s="119"/>
      <c r="B54" s="136"/>
      <c r="C54" s="142" t="s">
        <v>92</v>
      </c>
      <c r="D54" s="299">
        <f t="shared" ref="D54:S54" si="3">D43/$T$43</f>
        <v>1.6328947925039129E-2</v>
      </c>
      <c r="E54" s="143">
        <f t="shared" si="3"/>
        <v>3.2827107745674523E-2</v>
      </c>
      <c r="F54" s="143">
        <f t="shared" si="3"/>
        <v>8.7694064892761964E-2</v>
      </c>
      <c r="G54" s="143">
        <f t="shared" si="3"/>
        <v>1.9417065019670884E-2</v>
      </c>
      <c r="H54" s="143">
        <f t="shared" si="3"/>
        <v>1.6709674690130717E-2</v>
      </c>
      <c r="I54" s="143">
        <f t="shared" si="3"/>
        <v>5.3386353060620159E-2</v>
      </c>
      <c r="J54" s="143">
        <f t="shared" si="3"/>
        <v>0.15690173019163248</v>
      </c>
      <c r="K54" s="143">
        <f t="shared" si="3"/>
        <v>1.0787258344261601E-2</v>
      </c>
      <c r="L54" s="143">
        <f t="shared" si="3"/>
        <v>8.2913828842167605E-3</v>
      </c>
      <c r="M54" s="143">
        <f t="shared" si="3"/>
        <v>6.7938576081898558E-2</v>
      </c>
      <c r="N54" s="143">
        <f t="shared" si="3"/>
        <v>1.3410042726003638E-2</v>
      </c>
      <c r="O54" s="143">
        <f t="shared" si="3"/>
        <v>6.3073734083506069E-2</v>
      </c>
      <c r="P54" s="143">
        <f t="shared" si="3"/>
        <v>3.3419349380261433E-3</v>
      </c>
      <c r="Q54" s="143">
        <f t="shared" si="3"/>
        <v>3.6465163500994123E-2</v>
      </c>
      <c r="R54" s="143">
        <f t="shared" si="3"/>
        <v>1.3494648673801768E-2</v>
      </c>
      <c r="S54" s="300">
        <f t="shared" si="3"/>
        <v>0.39993231524176148</v>
      </c>
      <c r="T54" s="228">
        <f>SUM(D54:S54)</f>
        <v>1</v>
      </c>
      <c r="U54" s="9"/>
      <c r="V54" s="9"/>
      <c r="W54" s="9"/>
    </row>
    <row r="55" spans="1:23" ht="15.75" x14ac:dyDescent="0.25">
      <c r="A55" s="119"/>
      <c r="B55" s="136"/>
      <c r="C55" s="145" t="s">
        <v>93</v>
      </c>
      <c r="D55" s="299">
        <f>D49/$T$49</f>
        <v>1.6328947925039129E-2</v>
      </c>
      <c r="E55" s="143">
        <f t="shared" ref="E55:S55" si="4">E49/$T$49</f>
        <v>3.2827107745674523E-2</v>
      </c>
      <c r="F55" s="143">
        <f t="shared" si="4"/>
        <v>8.7694064892761964E-2</v>
      </c>
      <c r="G55" s="143">
        <f t="shared" si="4"/>
        <v>1.9417065019670884E-2</v>
      </c>
      <c r="H55" s="143">
        <f t="shared" si="4"/>
        <v>1.6709674690130717E-2</v>
      </c>
      <c r="I55" s="143">
        <f t="shared" si="4"/>
        <v>5.3386353060620159E-2</v>
      </c>
      <c r="J55" s="143">
        <f t="shared" si="4"/>
        <v>0.15690173019163248</v>
      </c>
      <c r="K55" s="143">
        <f t="shared" si="4"/>
        <v>1.0787258344261601E-2</v>
      </c>
      <c r="L55" s="143">
        <f t="shared" si="4"/>
        <v>8.2913828842167605E-3</v>
      </c>
      <c r="M55" s="143">
        <f t="shared" si="4"/>
        <v>6.7938576081898558E-2</v>
      </c>
      <c r="N55" s="143">
        <f t="shared" si="4"/>
        <v>1.3410042726003638E-2</v>
      </c>
      <c r="O55" s="143">
        <f t="shared" si="4"/>
        <v>6.3073734083506069E-2</v>
      </c>
      <c r="P55" s="143">
        <f t="shared" si="4"/>
        <v>3.3419349380261433E-3</v>
      </c>
      <c r="Q55" s="143">
        <f t="shared" si="4"/>
        <v>3.6465163500994123E-2</v>
      </c>
      <c r="R55" s="143">
        <f t="shared" si="4"/>
        <v>1.3494648673801768E-2</v>
      </c>
      <c r="S55" s="300">
        <f t="shared" si="4"/>
        <v>0.39993231524176148</v>
      </c>
      <c r="T55" s="144"/>
      <c r="U55" s="9"/>
      <c r="V55" s="9"/>
      <c r="W55" s="9"/>
    </row>
    <row r="56" spans="1:23" ht="15.75" x14ac:dyDescent="0.25">
      <c r="A56" s="119"/>
      <c r="B56" s="136"/>
      <c r="C56" s="145" t="s">
        <v>728</v>
      </c>
      <c r="D56" s="299">
        <f>D47/$T$47</f>
        <v>1.552212984766207E-2</v>
      </c>
      <c r="E56" s="143">
        <f t="shared" ref="E56:S56" si="5">E47/$T$47</f>
        <v>3.2774280359459847E-2</v>
      </c>
      <c r="F56" s="143">
        <f t="shared" si="5"/>
        <v>8.8423278389158533E-2</v>
      </c>
      <c r="G56" s="143">
        <f t="shared" si="5"/>
        <v>1.9318564082848766E-2</v>
      </c>
      <c r="H56" s="143">
        <f t="shared" si="5"/>
        <v>1.643519630928925E-2</v>
      </c>
      <c r="I56" s="143">
        <f t="shared" si="5"/>
        <v>5.2717574126579847E-2</v>
      </c>
      <c r="J56" s="143">
        <f t="shared" si="5"/>
        <v>0.1586813398048921</v>
      </c>
      <c r="K56" s="143">
        <f t="shared" si="5"/>
        <v>1.1004853669085492E-2</v>
      </c>
      <c r="L56" s="143">
        <f t="shared" si="5"/>
        <v>7.7370368590513718E-3</v>
      </c>
      <c r="M56" s="143">
        <f t="shared" si="5"/>
        <v>6.8816377528953823E-2</v>
      </c>
      <c r="N56" s="143">
        <f t="shared" si="5"/>
        <v>1.2927098851458504E-2</v>
      </c>
      <c r="O56" s="143">
        <f t="shared" si="5"/>
        <v>6.237685616800423E-2</v>
      </c>
      <c r="P56" s="143">
        <f t="shared" si="5"/>
        <v>3.2197606804747945E-3</v>
      </c>
      <c r="Q56" s="143">
        <f t="shared" si="5"/>
        <v>3.5369311355663416E-2</v>
      </c>
      <c r="R56" s="143">
        <f t="shared" si="5"/>
        <v>1.3071267240136479E-2</v>
      </c>
      <c r="S56" s="300">
        <f t="shared" si="5"/>
        <v>0.40160507472728146</v>
      </c>
      <c r="T56" s="144"/>
      <c r="U56" s="9"/>
      <c r="V56" s="9"/>
      <c r="W56" s="9"/>
    </row>
    <row r="57" spans="1:23" ht="15.75" x14ac:dyDescent="0.25">
      <c r="A57" s="119"/>
      <c r="B57" s="136"/>
      <c r="C57" s="146" t="s">
        <v>466</v>
      </c>
      <c r="D57" s="301"/>
      <c r="E57" s="147"/>
      <c r="F57" s="147"/>
      <c r="G57" s="147"/>
      <c r="H57" s="147"/>
      <c r="I57" s="147"/>
      <c r="J57" s="147"/>
      <c r="K57" s="147"/>
      <c r="L57" s="147"/>
      <c r="M57" s="147"/>
      <c r="N57" s="147"/>
      <c r="O57" s="147"/>
      <c r="P57" s="147"/>
      <c r="Q57" s="147"/>
      <c r="R57" s="147"/>
      <c r="S57" s="302"/>
      <c r="T57" s="148"/>
      <c r="U57" s="9"/>
      <c r="V57" s="9"/>
      <c r="W57" s="9"/>
    </row>
    <row r="58" spans="1:23" ht="15.75" x14ac:dyDescent="0.25">
      <c r="A58" s="119"/>
      <c r="B58" s="136"/>
      <c r="C58" s="142" t="s">
        <v>168</v>
      </c>
      <c r="D58" s="301"/>
      <c r="E58" s="147"/>
      <c r="F58" s="147"/>
      <c r="G58" s="147"/>
      <c r="H58" s="147"/>
      <c r="I58" s="147"/>
      <c r="J58" s="147"/>
      <c r="K58" s="147"/>
      <c r="L58" s="147"/>
      <c r="M58" s="147"/>
      <c r="N58" s="147"/>
      <c r="O58" s="147"/>
      <c r="P58" s="147"/>
      <c r="Q58" s="147"/>
      <c r="R58" s="147"/>
      <c r="S58" s="302"/>
      <c r="T58" s="294"/>
      <c r="U58" s="9"/>
      <c r="V58" s="9"/>
      <c r="W58" s="9"/>
    </row>
    <row r="59" spans="1:23" ht="15.75" x14ac:dyDescent="0.25">
      <c r="A59" s="119"/>
      <c r="B59" s="136"/>
      <c r="C59" s="142" t="s">
        <v>235</v>
      </c>
      <c r="D59" s="303"/>
      <c r="E59" s="295"/>
      <c r="F59" s="295"/>
      <c r="G59" s="295"/>
      <c r="H59" s="295"/>
      <c r="I59" s="295"/>
      <c r="J59" s="295"/>
      <c r="K59" s="295"/>
      <c r="L59" s="295"/>
      <c r="M59" s="295"/>
      <c r="N59" s="295"/>
      <c r="O59" s="295"/>
      <c r="P59" s="295"/>
      <c r="Q59" s="295"/>
      <c r="R59" s="295"/>
      <c r="S59" s="304"/>
      <c r="T59" s="294"/>
      <c r="U59" s="9"/>
      <c r="V59" s="9"/>
      <c r="W59" s="9"/>
    </row>
    <row r="60" spans="1:23" ht="15.75" x14ac:dyDescent="0.25">
      <c r="A60" s="119"/>
      <c r="B60" s="136"/>
      <c r="C60" s="142" t="s">
        <v>470</v>
      </c>
      <c r="D60" s="303"/>
      <c r="E60" s="295"/>
      <c r="F60" s="295"/>
      <c r="G60" s="295"/>
      <c r="H60" s="295"/>
      <c r="I60" s="295"/>
      <c r="J60" s="295"/>
      <c r="K60" s="295"/>
      <c r="L60" s="295"/>
      <c r="M60" s="295"/>
      <c r="N60" s="295"/>
      <c r="O60" s="295"/>
      <c r="P60" s="295"/>
      <c r="Q60" s="295"/>
      <c r="R60" s="295"/>
      <c r="S60" s="304"/>
      <c r="T60" s="826"/>
      <c r="U60" s="827"/>
      <c r="V60" s="9"/>
      <c r="W60" s="9"/>
    </row>
    <row r="61" spans="1:23" ht="15.75" x14ac:dyDescent="0.25">
      <c r="A61" s="119"/>
      <c r="B61" s="136"/>
      <c r="C61" s="142" t="s">
        <v>234</v>
      </c>
      <c r="D61" s="301"/>
      <c r="E61" s="147"/>
      <c r="F61" s="147"/>
      <c r="G61" s="147"/>
      <c r="H61" s="147"/>
      <c r="I61" s="147"/>
      <c r="J61" s="147"/>
      <c r="K61" s="147"/>
      <c r="L61" s="147"/>
      <c r="M61" s="147"/>
      <c r="N61" s="147"/>
      <c r="O61" s="147"/>
      <c r="P61" s="147"/>
      <c r="Q61" s="147"/>
      <c r="R61" s="147"/>
      <c r="S61" s="302"/>
      <c r="T61" s="294"/>
      <c r="U61" s="9"/>
      <c r="V61" s="9"/>
      <c r="W61" s="9"/>
    </row>
    <row r="62" spans="1:23" ht="15.75" x14ac:dyDescent="0.25">
      <c r="A62" s="119"/>
      <c r="B62" s="136"/>
      <c r="C62" s="142" t="s">
        <v>233</v>
      </c>
      <c r="D62" s="301"/>
      <c r="E62" s="147"/>
      <c r="F62" s="147"/>
      <c r="G62" s="147"/>
      <c r="H62" s="147"/>
      <c r="I62" s="147"/>
      <c r="J62" s="147"/>
      <c r="K62" s="147"/>
      <c r="L62" s="147"/>
      <c r="M62" s="147"/>
      <c r="N62" s="147"/>
      <c r="O62" s="147"/>
      <c r="P62" s="147"/>
      <c r="Q62" s="147"/>
      <c r="R62" s="147"/>
      <c r="S62" s="302"/>
      <c r="T62" s="294"/>
      <c r="U62" s="230"/>
      <c r="V62" s="9"/>
      <c r="W62" s="9"/>
    </row>
    <row r="63" spans="1:23" ht="16.5" thickBot="1" x14ac:dyDescent="0.3">
      <c r="A63" s="119"/>
      <c r="B63" s="136"/>
      <c r="C63" s="142" t="s">
        <v>469</v>
      </c>
      <c r="D63" s="305"/>
      <c r="E63" s="149">
        <v>1</v>
      </c>
      <c r="F63" s="149">
        <v>4</v>
      </c>
      <c r="G63" s="149"/>
      <c r="H63" s="149">
        <v>1</v>
      </c>
      <c r="I63" s="149">
        <v>2</v>
      </c>
      <c r="J63" s="149">
        <v>2</v>
      </c>
      <c r="K63" s="149"/>
      <c r="L63" s="149"/>
      <c r="M63" s="149">
        <v>1</v>
      </c>
      <c r="N63" s="149"/>
      <c r="O63" s="149"/>
      <c r="P63" s="149"/>
      <c r="Q63" s="149"/>
      <c r="R63" s="149">
        <v>1</v>
      </c>
      <c r="S63" s="306">
        <v>6</v>
      </c>
      <c r="T63" s="1064">
        <f>SUM(D63:S63)</f>
        <v>18</v>
      </c>
      <c r="U63" s="230"/>
      <c r="V63" s="9"/>
      <c r="W63" s="9"/>
    </row>
    <row r="64" spans="1:23" ht="15.75" thickBot="1" x14ac:dyDescent="0.25">
      <c r="A64" s="119"/>
      <c r="B64" s="136"/>
      <c r="C64" s="296" t="s">
        <v>169</v>
      </c>
      <c r="D64" s="309">
        <v>303880</v>
      </c>
      <c r="E64" s="309">
        <v>731436</v>
      </c>
      <c r="F64" s="309">
        <v>1448967</v>
      </c>
      <c r="G64" s="309">
        <v>370077</v>
      </c>
      <c r="H64" s="309">
        <v>266696</v>
      </c>
      <c r="I64" s="309">
        <v>900145</v>
      </c>
      <c r="J64" s="309">
        <v>2396862</v>
      </c>
      <c r="K64" s="309">
        <v>226159</v>
      </c>
      <c r="L64" s="309">
        <v>139738</v>
      </c>
      <c r="M64" s="309">
        <v>988426</v>
      </c>
      <c r="N64" s="309">
        <v>199436</v>
      </c>
      <c r="O64" s="309">
        <v>1190055</v>
      </c>
      <c r="P64" s="309">
        <v>79415</v>
      </c>
      <c r="Q64" s="309">
        <v>601166</v>
      </c>
      <c r="R64" s="309">
        <v>275187</v>
      </c>
      <c r="S64" s="309">
        <v>9316003</v>
      </c>
      <c r="T64" s="309">
        <f>SUM(D64:S64)</f>
        <v>19433648</v>
      </c>
      <c r="U64" s="9"/>
      <c r="V64" s="9"/>
      <c r="W64" s="9"/>
    </row>
    <row r="65" spans="1:23" ht="15.75" x14ac:dyDescent="0.25">
      <c r="A65" s="119"/>
      <c r="B65" s="136"/>
      <c r="C65" s="231"/>
      <c r="D65" s="232"/>
      <c r="E65" s="232"/>
      <c r="F65" s="232"/>
      <c r="G65" s="232"/>
      <c r="H65" s="232"/>
      <c r="I65" s="232"/>
      <c r="J65" s="232"/>
      <c r="K65" s="232"/>
      <c r="L65" s="232"/>
      <c r="M65" s="232"/>
      <c r="N65" s="232"/>
      <c r="O65" s="232"/>
      <c r="P65" s="232"/>
      <c r="Q65" s="232"/>
      <c r="R65" s="232"/>
      <c r="S65" s="232"/>
      <c r="T65" s="233"/>
      <c r="U65" s="9"/>
      <c r="V65" s="9"/>
      <c r="W65" s="9"/>
    </row>
    <row r="66" spans="1:23" ht="15.75" x14ac:dyDescent="0.25">
      <c r="A66" s="119"/>
      <c r="B66" s="311"/>
      <c r="C66" s="231"/>
      <c r="D66" s="301"/>
      <c r="E66" s="147"/>
      <c r="F66" s="147"/>
      <c r="G66" s="147"/>
      <c r="H66" s="147"/>
      <c r="I66" s="147"/>
      <c r="J66" s="147"/>
      <c r="K66" s="147"/>
      <c r="L66" s="147"/>
      <c r="M66" s="147"/>
      <c r="N66" s="232"/>
      <c r="O66" s="232"/>
      <c r="P66" s="232"/>
      <c r="Q66" s="232"/>
      <c r="R66" s="232"/>
      <c r="S66" s="232"/>
      <c r="T66" s="1062">
        <f>754000</f>
        <v>754000</v>
      </c>
      <c r="U66" s="9" t="s">
        <v>616</v>
      </c>
      <c r="V66" s="9"/>
      <c r="W66" s="9"/>
    </row>
    <row r="67" spans="1:23" ht="15.75" x14ac:dyDescent="0.25">
      <c r="A67" s="822"/>
      <c r="B67" s="823"/>
      <c r="C67" s="313"/>
      <c r="D67" s="232"/>
      <c r="E67" s="232"/>
      <c r="F67" s="232"/>
      <c r="G67" s="232"/>
      <c r="H67" s="232"/>
      <c r="I67" s="232"/>
      <c r="J67" s="232"/>
      <c r="K67" s="232"/>
      <c r="L67" s="232"/>
      <c r="M67" s="232"/>
      <c r="N67" s="232"/>
      <c r="O67" s="232"/>
      <c r="P67" s="232"/>
      <c r="Q67" s="232"/>
      <c r="R67" s="232"/>
      <c r="S67" s="232"/>
      <c r="T67" s="1063"/>
      <c r="U67" s="9"/>
      <c r="V67" s="9"/>
      <c r="W67" s="9"/>
    </row>
    <row r="68" spans="1:23" ht="15.75" hidden="1" x14ac:dyDescent="0.25">
      <c r="A68" s="822"/>
      <c r="B68" s="823"/>
      <c r="C68" s="313"/>
      <c r="D68" s="310"/>
      <c r="E68" s="310"/>
      <c r="F68" s="310"/>
      <c r="G68" s="310"/>
      <c r="H68" s="310"/>
      <c r="I68" s="310"/>
      <c r="J68" s="310"/>
      <c r="K68" s="310"/>
      <c r="L68" s="310"/>
      <c r="M68" s="310"/>
      <c r="N68" s="310"/>
      <c r="O68" s="310"/>
      <c r="P68" s="310"/>
      <c r="Q68" s="310"/>
      <c r="R68" s="310"/>
      <c r="S68" s="310"/>
      <c r="T68" s="312"/>
      <c r="U68" s="9"/>
      <c r="V68" s="9"/>
      <c r="W68" s="9"/>
    </row>
    <row r="69" spans="1:23" ht="15.75" hidden="1" x14ac:dyDescent="0.25">
      <c r="A69" s="822"/>
      <c r="B69" s="824"/>
      <c r="C69" s="139" t="s">
        <v>172</v>
      </c>
      <c r="D69" s="140"/>
      <c r="E69" s="140"/>
      <c r="F69" s="140"/>
      <c r="G69" s="140"/>
      <c r="H69" s="140" t="s">
        <v>271</v>
      </c>
      <c r="I69" s="140"/>
      <c r="J69" s="140"/>
      <c r="K69" s="140"/>
      <c r="L69" s="140"/>
      <c r="M69" s="140"/>
      <c r="N69" s="140"/>
      <c r="O69" s="140"/>
      <c r="P69" s="140"/>
      <c r="Q69" s="140"/>
      <c r="R69" s="140"/>
      <c r="S69" s="140"/>
      <c r="T69" s="141"/>
      <c r="U69" s="9"/>
      <c r="V69" s="9"/>
      <c r="W69" s="9"/>
    </row>
    <row r="70" spans="1:23" ht="15.75" hidden="1" x14ac:dyDescent="0.25">
      <c r="A70" s="822"/>
      <c r="B70" s="824"/>
      <c r="C70" s="142" t="s">
        <v>168</v>
      </c>
      <c r="D70" s="147">
        <v>9000</v>
      </c>
      <c r="E70" s="147">
        <v>46000</v>
      </c>
      <c r="F70" s="147">
        <v>148000</v>
      </c>
      <c r="G70" s="147">
        <v>73000</v>
      </c>
      <c r="H70" s="147">
        <v>66000</v>
      </c>
      <c r="I70" s="147">
        <v>140000</v>
      </c>
      <c r="J70" s="147">
        <v>407000</v>
      </c>
      <c r="K70" s="147">
        <v>2000</v>
      </c>
      <c r="L70" s="147">
        <v>2000</v>
      </c>
      <c r="M70" s="147">
        <v>119000</v>
      </c>
      <c r="N70" s="147">
        <v>14000</v>
      </c>
      <c r="O70" s="147">
        <v>121000</v>
      </c>
      <c r="P70" s="147">
        <v>1000</v>
      </c>
      <c r="Q70" s="147">
        <v>323000</v>
      </c>
      <c r="R70" s="147">
        <v>5000</v>
      </c>
      <c r="S70" s="302">
        <v>1387000</v>
      </c>
      <c r="T70" s="294">
        <f>SUM(D70:S70)</f>
        <v>2863000</v>
      </c>
      <c r="U70" s="9"/>
      <c r="V70" s="9"/>
      <c r="W70" s="9"/>
    </row>
    <row r="71" spans="1:23" ht="15.75" hidden="1" x14ac:dyDescent="0.25">
      <c r="A71" s="822"/>
      <c r="B71" s="824"/>
      <c r="C71" s="142" t="s">
        <v>95</v>
      </c>
      <c r="D71" s="295">
        <v>111000</v>
      </c>
      <c r="E71" s="295">
        <v>489000</v>
      </c>
      <c r="F71" s="295">
        <v>775000</v>
      </c>
      <c r="G71" s="295">
        <v>35000</v>
      </c>
      <c r="H71" s="295">
        <v>365000</v>
      </c>
      <c r="I71" s="295">
        <v>366000</v>
      </c>
      <c r="J71" s="295">
        <v>855000</v>
      </c>
      <c r="K71" s="295">
        <v>84000</v>
      </c>
      <c r="L71" s="295">
        <v>0</v>
      </c>
      <c r="M71" s="295">
        <v>343000</v>
      </c>
      <c r="N71" s="295">
        <v>0</v>
      </c>
      <c r="O71" s="295">
        <v>364000</v>
      </c>
      <c r="P71" s="295">
        <v>0</v>
      </c>
      <c r="Q71" s="295">
        <v>155000</v>
      </c>
      <c r="R71" s="295">
        <v>0</v>
      </c>
      <c r="S71" s="304">
        <v>4297000</v>
      </c>
      <c r="T71" s="294">
        <f t="shared" ref="T71:T76" si="6">SUM(D71:S71)</f>
        <v>8239000</v>
      </c>
      <c r="U71" s="9"/>
      <c r="V71" s="9"/>
      <c r="W71" s="9"/>
    </row>
    <row r="72" spans="1:23" ht="15.75" hidden="1" x14ac:dyDescent="0.25">
      <c r="A72" s="822"/>
      <c r="B72" s="824"/>
      <c r="C72" s="142" t="s">
        <v>171</v>
      </c>
      <c r="D72" s="295">
        <v>14000</v>
      </c>
      <c r="E72" s="295">
        <v>219000</v>
      </c>
      <c r="F72" s="295">
        <v>257000</v>
      </c>
      <c r="G72" s="295">
        <v>11000</v>
      </c>
      <c r="H72" s="295">
        <v>123000</v>
      </c>
      <c r="I72" s="295">
        <v>295000</v>
      </c>
      <c r="J72" s="295">
        <v>536000</v>
      </c>
      <c r="K72" s="295">
        <v>7000</v>
      </c>
      <c r="L72" s="295">
        <v>27000</v>
      </c>
      <c r="M72" s="295">
        <v>472000</v>
      </c>
      <c r="N72" s="295">
        <v>27000</v>
      </c>
      <c r="O72" s="295">
        <v>108000</v>
      </c>
      <c r="P72" s="295">
        <v>1000</v>
      </c>
      <c r="Q72" s="295">
        <v>528000</v>
      </c>
      <c r="R72" s="295">
        <v>70000</v>
      </c>
      <c r="S72" s="304">
        <v>1787000</v>
      </c>
      <c r="T72" s="294">
        <f t="shared" si="6"/>
        <v>4482000</v>
      </c>
      <c r="U72" s="9"/>
      <c r="V72" s="9"/>
      <c r="W72" s="9"/>
    </row>
    <row r="73" spans="1:23" ht="15.75" hidden="1" x14ac:dyDescent="0.25">
      <c r="A73" s="822"/>
      <c r="B73" s="824"/>
      <c r="C73" s="142" t="s">
        <v>96</v>
      </c>
      <c r="D73" s="147">
        <v>2000</v>
      </c>
      <c r="E73" s="147">
        <v>16000</v>
      </c>
      <c r="F73" s="147">
        <v>31000</v>
      </c>
      <c r="G73" s="147">
        <v>7000</v>
      </c>
      <c r="H73" s="147">
        <v>2000</v>
      </c>
      <c r="I73" s="147">
        <v>20000</v>
      </c>
      <c r="J73" s="147">
        <v>64000</v>
      </c>
      <c r="K73" s="147">
        <v>1000</v>
      </c>
      <c r="L73" s="147">
        <v>0</v>
      </c>
      <c r="M73" s="147">
        <v>21000</v>
      </c>
      <c r="N73" s="147">
        <v>7000</v>
      </c>
      <c r="O73" s="147">
        <v>48000</v>
      </c>
      <c r="P73" s="147">
        <v>0</v>
      </c>
      <c r="Q73" s="147">
        <v>2000</v>
      </c>
      <c r="R73" s="147">
        <v>3000</v>
      </c>
      <c r="S73" s="302">
        <v>255000</v>
      </c>
      <c r="T73" s="294">
        <f t="shared" si="6"/>
        <v>479000</v>
      </c>
      <c r="U73" s="9"/>
      <c r="V73" s="9"/>
      <c r="W73" s="9"/>
    </row>
    <row r="74" spans="1:23" ht="15.75" hidden="1" x14ac:dyDescent="0.25">
      <c r="A74" s="822"/>
      <c r="B74" s="824"/>
      <c r="C74" s="142" t="s">
        <v>233</v>
      </c>
      <c r="D74" s="147">
        <v>87000</v>
      </c>
      <c r="E74" s="147">
        <v>101000</v>
      </c>
      <c r="F74" s="147">
        <v>180000</v>
      </c>
      <c r="G74" s="147">
        <v>13000</v>
      </c>
      <c r="H74" s="147">
        <v>34000</v>
      </c>
      <c r="I74" s="147">
        <v>113000</v>
      </c>
      <c r="J74" s="147">
        <v>233000</v>
      </c>
      <c r="K74" s="147">
        <v>5000</v>
      </c>
      <c r="L74" s="147">
        <v>0</v>
      </c>
      <c r="M74" s="147">
        <v>107000</v>
      </c>
      <c r="N74" s="147">
        <v>90000</v>
      </c>
      <c r="O74" s="147">
        <v>60000</v>
      </c>
      <c r="P74" s="147">
        <v>0</v>
      </c>
      <c r="Q74" s="147">
        <v>27000</v>
      </c>
      <c r="R74" s="147">
        <v>8000</v>
      </c>
      <c r="S74" s="302">
        <v>1300000</v>
      </c>
      <c r="T74" s="294">
        <f t="shared" si="6"/>
        <v>2358000</v>
      </c>
      <c r="U74" s="9"/>
      <c r="V74" s="9"/>
      <c r="W74" s="9"/>
    </row>
    <row r="75" spans="1:23" ht="15.75" hidden="1" x14ac:dyDescent="0.25">
      <c r="A75" s="822"/>
      <c r="B75" s="824"/>
      <c r="C75" s="142" t="s">
        <v>70</v>
      </c>
      <c r="D75" s="149"/>
      <c r="E75" s="149">
        <v>0.58333333333333337</v>
      </c>
      <c r="F75" s="149">
        <v>5</v>
      </c>
      <c r="G75" s="149"/>
      <c r="H75" s="149">
        <v>2</v>
      </c>
      <c r="I75" s="149">
        <v>3</v>
      </c>
      <c r="J75" s="149">
        <v>1.5833333333333335</v>
      </c>
      <c r="K75" s="149"/>
      <c r="L75" s="149"/>
      <c r="M75" s="149">
        <v>1</v>
      </c>
      <c r="N75" s="149"/>
      <c r="O75" s="149">
        <v>0.58333333333333337</v>
      </c>
      <c r="P75" s="149"/>
      <c r="Q75" s="149"/>
      <c r="R75" s="149">
        <v>0.41666666666666669</v>
      </c>
      <c r="S75" s="306">
        <v>8.4166666666666679</v>
      </c>
      <c r="T75" s="294"/>
      <c r="U75" s="9"/>
      <c r="V75" s="9"/>
      <c r="W75" s="9"/>
    </row>
    <row r="76" spans="1:23" ht="16.5" hidden="1" thickBot="1" x14ac:dyDescent="0.3">
      <c r="A76" s="822"/>
      <c r="B76" s="824"/>
      <c r="C76" s="296" t="s">
        <v>169</v>
      </c>
      <c r="D76" s="580">
        <f>SUM(D70:D74)</f>
        <v>223000</v>
      </c>
      <c r="E76" s="580">
        <f t="shared" ref="E76:S76" si="7">SUM(E70:E74)</f>
        <v>871000</v>
      </c>
      <c r="F76" s="580">
        <f t="shared" si="7"/>
        <v>1391000</v>
      </c>
      <c r="G76" s="580">
        <f t="shared" si="7"/>
        <v>139000</v>
      </c>
      <c r="H76" s="580">
        <f t="shared" si="7"/>
        <v>590000</v>
      </c>
      <c r="I76" s="580">
        <f t="shared" si="7"/>
        <v>934000</v>
      </c>
      <c r="J76" s="580">
        <f t="shared" si="7"/>
        <v>2095000</v>
      </c>
      <c r="K76" s="580">
        <f t="shared" si="7"/>
        <v>99000</v>
      </c>
      <c r="L76" s="580">
        <f t="shared" si="7"/>
        <v>29000</v>
      </c>
      <c r="M76" s="580">
        <f>SUM(M70:M74)</f>
        <v>1062000</v>
      </c>
      <c r="N76" s="580">
        <f t="shared" si="7"/>
        <v>138000</v>
      </c>
      <c r="O76" s="580">
        <f t="shared" si="7"/>
        <v>701000</v>
      </c>
      <c r="P76" s="580">
        <f t="shared" si="7"/>
        <v>2000</v>
      </c>
      <c r="Q76" s="580">
        <f t="shared" si="7"/>
        <v>1035000</v>
      </c>
      <c r="R76" s="580">
        <f t="shared" si="7"/>
        <v>86000</v>
      </c>
      <c r="S76" s="580">
        <f t="shared" si="7"/>
        <v>9026000</v>
      </c>
      <c r="T76" s="581">
        <f t="shared" si="6"/>
        <v>18421000</v>
      </c>
      <c r="U76" s="9"/>
      <c r="V76" s="9"/>
      <c r="W76" s="9"/>
    </row>
    <row r="77" spans="1:23" ht="15.75" hidden="1" x14ac:dyDescent="0.25">
      <c r="A77" s="822"/>
      <c r="B77" s="824"/>
      <c r="C77" s="231"/>
      <c r="D77" s="232"/>
      <c r="E77" s="232"/>
      <c r="F77" s="293"/>
      <c r="G77" s="232"/>
      <c r="H77" s="232"/>
      <c r="I77" s="232"/>
      <c r="J77" s="232"/>
      <c r="K77" s="232"/>
      <c r="L77" s="232"/>
      <c r="M77" s="232"/>
      <c r="N77" s="232"/>
      <c r="O77" s="232"/>
      <c r="P77" s="232"/>
      <c r="Q77" s="232"/>
      <c r="R77" s="232"/>
      <c r="S77" s="232"/>
      <c r="T77" s="233"/>
      <c r="U77" s="9"/>
      <c r="V77" s="9"/>
      <c r="W77" s="9"/>
    </row>
    <row r="78" spans="1:23" ht="15.75" x14ac:dyDescent="0.25">
      <c r="A78" s="822"/>
      <c r="B78" s="824"/>
      <c r="C78" s="231"/>
      <c r="D78" s="232"/>
      <c r="E78" s="232"/>
      <c r="F78" s="232"/>
      <c r="G78" s="232"/>
      <c r="H78" s="232"/>
      <c r="I78" s="232"/>
      <c r="J78" s="232"/>
      <c r="K78" s="232"/>
      <c r="L78" s="232"/>
      <c r="M78" s="232"/>
      <c r="N78" s="232"/>
      <c r="O78" s="232"/>
      <c r="P78" s="232"/>
      <c r="Q78" s="232"/>
      <c r="R78" s="232"/>
      <c r="S78" s="232"/>
      <c r="T78" s="233" t="s">
        <v>594</v>
      </c>
      <c r="U78" s="9"/>
      <c r="V78" s="9"/>
      <c r="W78" s="9"/>
    </row>
    <row r="79" spans="1:23" ht="15.75" x14ac:dyDescent="0.25">
      <c r="A79" s="119"/>
      <c r="B79" s="136"/>
      <c r="C79" s="231"/>
      <c r="D79" s="232"/>
      <c r="E79" s="232"/>
      <c r="F79" s="232"/>
      <c r="G79" s="232"/>
      <c r="H79" s="232"/>
      <c r="I79" s="232"/>
      <c r="J79" s="232"/>
      <c r="K79" s="232"/>
      <c r="L79" s="232"/>
      <c r="M79" s="232"/>
      <c r="N79" s="232"/>
      <c r="O79" s="232"/>
      <c r="P79" s="232"/>
      <c r="Q79" s="232"/>
      <c r="R79" s="232"/>
      <c r="S79" s="232"/>
      <c r="T79" s="233"/>
      <c r="U79" s="9"/>
      <c r="V79" s="9"/>
      <c r="W79" s="9"/>
    </row>
    <row r="80" spans="1:23" ht="21.75" customHeight="1" thickBot="1" x14ac:dyDescent="0.3">
      <c r="A80" s="119"/>
      <c r="B80" s="136"/>
      <c r="C80" s="150"/>
      <c r="D80" s="151"/>
      <c r="E80" s="152"/>
      <c r="F80" s="152"/>
      <c r="G80" s="152"/>
      <c r="H80" s="152"/>
      <c r="I80" s="152"/>
      <c r="J80" s="152"/>
      <c r="K80" s="152"/>
      <c r="L80" s="152"/>
      <c r="M80" s="152"/>
      <c r="N80" s="152"/>
      <c r="O80" s="152"/>
      <c r="P80" s="152"/>
      <c r="Q80" s="152"/>
      <c r="R80" s="152"/>
      <c r="S80" s="152"/>
      <c r="T80" s="153"/>
      <c r="U80" s="152"/>
      <c r="V80" s="9"/>
      <c r="W80" s="9"/>
    </row>
    <row r="81" spans="2:23" ht="21.75" customHeight="1" thickBot="1" x14ac:dyDescent="0.3">
      <c r="B81" s="7"/>
      <c r="C81" s="154" t="s">
        <v>468</v>
      </c>
      <c r="D81" s="205" t="s">
        <v>8</v>
      </c>
      <c r="E81" s="205" t="s">
        <v>9</v>
      </c>
      <c r="F81" s="205" t="s">
        <v>10</v>
      </c>
      <c r="G81" s="205" t="s">
        <v>11</v>
      </c>
      <c r="H81" s="205" t="s">
        <v>12</v>
      </c>
      <c r="I81" s="205" t="s">
        <v>13</v>
      </c>
      <c r="J81" s="205" t="s">
        <v>14</v>
      </c>
      <c r="K81" s="205" t="s">
        <v>15</v>
      </c>
      <c r="L81" s="205" t="s">
        <v>16</v>
      </c>
      <c r="M81" s="205" t="s">
        <v>17</v>
      </c>
      <c r="N81" s="205" t="s">
        <v>18</v>
      </c>
      <c r="O81" s="205" t="s">
        <v>19</v>
      </c>
      <c r="P81" s="205" t="s">
        <v>20</v>
      </c>
      <c r="Q81" s="205" t="s">
        <v>21</v>
      </c>
      <c r="R81" s="205" t="s">
        <v>22</v>
      </c>
      <c r="S81" s="205" t="s">
        <v>23</v>
      </c>
      <c r="T81" s="206" t="s">
        <v>24</v>
      </c>
      <c r="U81" s="157"/>
      <c r="V81" s="9"/>
      <c r="W81" s="9"/>
    </row>
    <row r="82" spans="2:23" ht="21.75" customHeight="1" x14ac:dyDescent="0.25">
      <c r="B82" s="7"/>
      <c r="C82" s="199" t="s">
        <v>72</v>
      </c>
      <c r="D82" s="207">
        <f>[1]Kontrollpanel!$E$37*D63</f>
        <v>0</v>
      </c>
      <c r="E82" s="207">
        <f>[1]Kontrollpanel!$E$37*E63</f>
        <v>53968.3</v>
      </c>
      <c r="F82" s="207">
        <f>[1]Kontrollpanel!$E$37*F63</f>
        <v>215873.2</v>
      </c>
      <c r="G82" s="207">
        <f>[1]Kontrollpanel!$E$37*G63</f>
        <v>0</v>
      </c>
      <c r="H82" s="207">
        <f>[1]Kontrollpanel!$E$37*H63</f>
        <v>53968.3</v>
      </c>
      <c r="I82" s="207">
        <f>[1]Kontrollpanel!$E$37*I63</f>
        <v>107936.6</v>
      </c>
      <c r="J82" s="207">
        <f>[1]Kontrollpanel!$E$37*J63</f>
        <v>107936.6</v>
      </c>
      <c r="K82" s="207">
        <f>[1]Kontrollpanel!$E$37*K63</f>
        <v>0</v>
      </c>
      <c r="L82" s="207">
        <f>[1]Kontrollpanel!$E$37*L63</f>
        <v>0</v>
      </c>
      <c r="M82" s="207">
        <f>[1]Kontrollpanel!$E$37*M63</f>
        <v>53968.3</v>
      </c>
      <c r="N82" s="207">
        <f>[1]Kontrollpanel!$E$37*N63</f>
        <v>0</v>
      </c>
      <c r="O82" s="207">
        <f>[1]Kontrollpanel!$E$37*O63</f>
        <v>0</v>
      </c>
      <c r="P82" s="207">
        <f>[1]Kontrollpanel!$E$37*P63</f>
        <v>0</v>
      </c>
      <c r="Q82" s="207">
        <f>[1]Kontrollpanel!$E$37*Q63</f>
        <v>0</v>
      </c>
      <c r="R82" s="207">
        <f>[1]Kontrollpanel!$E$37*R63</f>
        <v>53968.3</v>
      </c>
      <c r="S82" s="207">
        <f>[1]Kontrollpanel!$E$37*S63</f>
        <v>323809.80000000005</v>
      </c>
      <c r="T82" s="208">
        <f>SUM(D82:S82)</f>
        <v>971429.40000000014</v>
      </c>
      <c r="U82" s="202"/>
      <c r="V82" s="9"/>
      <c r="W82" s="9"/>
    </row>
    <row r="83" spans="2:23" ht="18" customHeight="1" x14ac:dyDescent="0.25">
      <c r="B83" s="7"/>
      <c r="C83" s="200" t="s">
        <v>73</v>
      </c>
      <c r="D83" s="209">
        <v>0</v>
      </c>
      <c r="E83" s="163"/>
      <c r="F83" s="163"/>
      <c r="G83" s="163"/>
      <c r="H83" s="163"/>
      <c r="I83" s="163"/>
      <c r="J83" s="163"/>
      <c r="K83" s="163"/>
      <c r="L83" s="163"/>
      <c r="M83" s="163"/>
      <c r="N83" s="163"/>
      <c r="O83" s="163"/>
      <c r="P83" s="163"/>
      <c r="Q83" s="163"/>
      <c r="R83" s="163"/>
      <c r="S83" s="163"/>
      <c r="T83" s="210"/>
      <c r="U83" s="203"/>
      <c r="V83" s="9"/>
      <c r="W83" s="9"/>
    </row>
    <row r="84" spans="2:23" ht="16.5" customHeight="1" x14ac:dyDescent="0.25">
      <c r="B84" s="7"/>
      <c r="C84" s="134" t="s">
        <v>82</v>
      </c>
      <c r="D84" s="209">
        <f t="shared" ref="D84:S84" si="8">D64</f>
        <v>303880</v>
      </c>
      <c r="E84" s="209">
        <f t="shared" si="8"/>
        <v>731436</v>
      </c>
      <c r="F84" s="209">
        <f t="shared" si="8"/>
        <v>1448967</v>
      </c>
      <c r="G84" s="209">
        <f t="shared" si="8"/>
        <v>370077</v>
      </c>
      <c r="H84" s="209">
        <f t="shared" si="8"/>
        <v>266696</v>
      </c>
      <c r="I84" s="209">
        <f t="shared" si="8"/>
        <v>900145</v>
      </c>
      <c r="J84" s="209">
        <f t="shared" si="8"/>
        <v>2396862</v>
      </c>
      <c r="K84" s="209">
        <f t="shared" si="8"/>
        <v>226159</v>
      </c>
      <c r="L84" s="209">
        <f t="shared" si="8"/>
        <v>139738</v>
      </c>
      <c r="M84" s="209">
        <f t="shared" si="8"/>
        <v>988426</v>
      </c>
      <c r="N84" s="209">
        <f t="shared" si="8"/>
        <v>199436</v>
      </c>
      <c r="O84" s="209">
        <f t="shared" si="8"/>
        <v>1190055</v>
      </c>
      <c r="P84" s="209">
        <f t="shared" si="8"/>
        <v>79415</v>
      </c>
      <c r="Q84" s="209">
        <f t="shared" si="8"/>
        <v>601166</v>
      </c>
      <c r="R84" s="209">
        <f t="shared" si="8"/>
        <v>275187</v>
      </c>
      <c r="S84" s="209">
        <f t="shared" si="8"/>
        <v>9316003</v>
      </c>
      <c r="T84" s="210">
        <f t="shared" ref="T84" si="9">SUM(D84:S84)</f>
        <v>19433648</v>
      </c>
      <c r="U84" s="203"/>
      <c r="V84" s="9"/>
      <c r="W84" s="9"/>
    </row>
    <row r="85" spans="2:23" ht="15.75" x14ac:dyDescent="0.25">
      <c r="B85" s="7"/>
      <c r="C85" s="134"/>
      <c r="D85" s="209"/>
      <c r="E85" s="163"/>
      <c r="F85" s="163"/>
      <c r="G85" s="163"/>
      <c r="H85" s="163"/>
      <c r="I85" s="163"/>
      <c r="J85" s="163"/>
      <c r="K85" s="163"/>
      <c r="L85" s="163"/>
      <c r="M85" s="163"/>
      <c r="N85" s="163"/>
      <c r="O85" s="163"/>
      <c r="P85" s="163"/>
      <c r="Q85" s="163"/>
      <c r="R85" s="163"/>
      <c r="S85" s="163"/>
      <c r="T85" s="211"/>
      <c r="U85" s="203"/>
      <c r="V85" s="9"/>
      <c r="W85" s="9"/>
    </row>
    <row r="86" spans="2:23" ht="17.25" customHeight="1" thickBot="1" x14ac:dyDescent="0.25">
      <c r="B86" s="64"/>
      <c r="C86" s="134">
        <f>Kontrollpanel!D40</f>
        <v>0.86</v>
      </c>
      <c r="D86" s="212">
        <f>D87*Kontrollpanel!$D$40</f>
        <v>261336.8</v>
      </c>
      <c r="E86" s="212">
        <f>E87*Kontrollpanel!$D$40</f>
        <v>675447.69799999997</v>
      </c>
      <c r="F86" s="212">
        <f>F87*Kontrollpanel!$D$40</f>
        <v>1431762.5719999999</v>
      </c>
      <c r="G86" s="212">
        <f>G87*Kontrollpanel!$D$40</f>
        <v>318266.21999999997</v>
      </c>
      <c r="H86" s="212">
        <f>H87*Kontrollpanel!$D$40</f>
        <v>275771.29800000001</v>
      </c>
      <c r="I86" s="212">
        <f>I87*Kontrollpanel!$D$40</f>
        <v>866950.17599999998</v>
      </c>
      <c r="J86" s="212">
        <f>J87*Kontrollpanel!$D$40</f>
        <v>2154126.7960000001</v>
      </c>
      <c r="K86" s="212">
        <f>K87*Kontrollpanel!$D$40</f>
        <v>194496.74</v>
      </c>
      <c r="L86" s="212">
        <f>L87*Kontrollpanel!$D$40</f>
        <v>120174.68</v>
      </c>
      <c r="M86" s="212">
        <f>M87*Kontrollpanel!$D$40</f>
        <v>896459.098</v>
      </c>
      <c r="N86" s="212">
        <f>N87*Kontrollpanel!$D$40</f>
        <v>171514.96</v>
      </c>
      <c r="O86" s="212">
        <f>O87*Kontrollpanel!$D$40</f>
        <v>1023447.2999999999</v>
      </c>
      <c r="P86" s="212">
        <f>P87*Kontrollpanel!$D$40</f>
        <v>68296.899999999994</v>
      </c>
      <c r="Q86" s="212">
        <f>Q87*Kontrollpanel!$D$40</f>
        <v>517002.76</v>
      </c>
      <c r="R86" s="212">
        <f>R87*Kontrollpanel!$D$40</f>
        <v>283073.55799999996</v>
      </c>
      <c r="S86" s="212">
        <f>S87*Kontrollpanel!$D$40</f>
        <v>8290239.0080000004</v>
      </c>
      <c r="T86" s="212">
        <f>T87*Kontrollpanel!$D$40</f>
        <v>17548366.563999999</v>
      </c>
      <c r="U86" s="203"/>
      <c r="V86" s="9"/>
      <c r="W86" s="9"/>
    </row>
    <row r="87" spans="2:23" ht="15.75" thickBot="1" x14ac:dyDescent="0.25">
      <c r="B87" s="64"/>
      <c r="C87" s="201" t="s">
        <v>74</v>
      </c>
      <c r="D87" s="212">
        <f>SUM(D82:D84)</f>
        <v>303880</v>
      </c>
      <c r="E87" s="212">
        <f t="shared" ref="E87:T87" si="10">SUM(E82:E84)</f>
        <v>785404.3</v>
      </c>
      <c r="F87" s="212">
        <f t="shared" si="10"/>
        <v>1664840.2</v>
      </c>
      <c r="G87" s="212">
        <f t="shared" si="10"/>
        <v>370077</v>
      </c>
      <c r="H87" s="212">
        <f t="shared" si="10"/>
        <v>320664.3</v>
      </c>
      <c r="I87" s="212">
        <f t="shared" si="10"/>
        <v>1008081.6</v>
      </c>
      <c r="J87" s="212">
        <f t="shared" si="10"/>
        <v>2504798.6</v>
      </c>
      <c r="K87" s="212">
        <f t="shared" si="10"/>
        <v>226159</v>
      </c>
      <c r="L87" s="212">
        <f t="shared" si="10"/>
        <v>139738</v>
      </c>
      <c r="M87" s="212">
        <f t="shared" si="10"/>
        <v>1042394.3</v>
      </c>
      <c r="N87" s="212">
        <f t="shared" si="10"/>
        <v>199436</v>
      </c>
      <c r="O87" s="212">
        <f t="shared" si="10"/>
        <v>1190055</v>
      </c>
      <c r="P87" s="212">
        <f t="shared" si="10"/>
        <v>79415</v>
      </c>
      <c r="Q87" s="212">
        <f t="shared" si="10"/>
        <v>601166</v>
      </c>
      <c r="R87" s="212">
        <f t="shared" si="10"/>
        <v>329155.3</v>
      </c>
      <c r="S87" s="212">
        <f t="shared" si="10"/>
        <v>9639812.8000000007</v>
      </c>
      <c r="T87" s="212">
        <f t="shared" si="10"/>
        <v>20405077.399999999</v>
      </c>
      <c r="U87" s="204" t="s">
        <v>410</v>
      </c>
      <c r="V87" s="9"/>
      <c r="W87" s="9"/>
    </row>
    <row r="88" spans="2:23" ht="16.5" thickBot="1" x14ac:dyDescent="0.3">
      <c r="B88" s="64"/>
      <c r="C88" s="124"/>
      <c r="D88" s="171"/>
      <c r="E88" s="171"/>
      <c r="F88" s="171"/>
      <c r="G88" s="171"/>
      <c r="H88" s="171"/>
      <c r="I88" s="171"/>
      <c r="J88" s="171"/>
      <c r="K88" s="171"/>
      <c r="L88" s="171"/>
      <c r="M88" s="171"/>
      <c r="N88" s="171"/>
      <c r="O88" s="171"/>
      <c r="P88" s="171"/>
      <c r="Q88" s="171"/>
      <c r="R88" s="171"/>
      <c r="S88" s="171"/>
      <c r="T88" s="172"/>
      <c r="U88" s="173"/>
      <c r="V88" s="9"/>
      <c r="W88" s="9"/>
    </row>
    <row r="89" spans="2:23" ht="16.5" thickBot="1" x14ac:dyDescent="0.3">
      <c r="B89" s="64"/>
      <c r="C89" s="174" t="s">
        <v>99</v>
      </c>
      <c r="D89" s="175"/>
      <c r="E89" s="175"/>
      <c r="F89" s="175"/>
      <c r="G89" s="176"/>
      <c r="H89" s="175"/>
      <c r="I89" s="175"/>
      <c r="J89" s="175"/>
      <c r="K89" s="175"/>
      <c r="L89" s="175"/>
      <c r="M89" s="175"/>
      <c r="N89" s="176"/>
      <c r="O89" s="177"/>
      <c r="P89" s="177"/>
      <c r="Q89" s="177"/>
      <c r="R89" s="177"/>
      <c r="S89" s="177"/>
      <c r="T89" s="172"/>
      <c r="U89" s="173"/>
      <c r="V89" s="9"/>
      <c r="W89" s="9"/>
    </row>
    <row r="90" spans="2:23" ht="16.5" thickBot="1" x14ac:dyDescent="0.3">
      <c r="B90" s="64"/>
      <c r="C90" s="124"/>
      <c r="D90" s="177"/>
      <c r="E90" s="177"/>
      <c r="F90" s="177"/>
      <c r="G90" s="177"/>
      <c r="H90" s="177"/>
      <c r="I90" s="177"/>
      <c r="J90" s="177"/>
      <c r="K90" s="177"/>
      <c r="L90" s="177"/>
      <c r="M90" s="177"/>
      <c r="N90" s="177"/>
      <c r="O90" s="177"/>
      <c r="P90" s="177"/>
      <c r="Q90" s="177"/>
      <c r="R90" s="177"/>
      <c r="S90" s="177"/>
      <c r="T90" s="172"/>
      <c r="U90" s="173"/>
      <c r="V90" s="9"/>
      <c r="W90" s="9"/>
    </row>
    <row r="91" spans="2:23" ht="15.75" x14ac:dyDescent="0.25">
      <c r="B91" s="64"/>
      <c r="C91" s="178" t="s">
        <v>696</v>
      </c>
      <c r="D91" s="182">
        <f>T86</f>
        <v>17548366.563999999</v>
      </c>
      <c r="E91" s="179"/>
      <c r="F91" s="179"/>
      <c r="G91" s="179"/>
      <c r="H91" s="180"/>
      <c r="I91" s="177"/>
      <c r="J91" s="177"/>
      <c r="K91" s="177"/>
      <c r="L91" s="177"/>
      <c r="M91" s="177"/>
      <c r="N91" s="177"/>
      <c r="O91" s="177"/>
      <c r="P91" s="177"/>
      <c r="Q91" s="177"/>
      <c r="R91" s="177"/>
      <c r="S91" s="177"/>
      <c r="T91" s="172"/>
      <c r="U91" s="173"/>
      <c r="V91" s="9"/>
      <c r="W91" s="9"/>
    </row>
    <row r="92" spans="2:23" ht="15.75" x14ac:dyDescent="0.25">
      <c r="B92" s="64"/>
      <c r="C92" s="181" t="s">
        <v>74</v>
      </c>
      <c r="D92" s="182">
        <f>SUM(T82:T84)</f>
        <v>20405077.399999999</v>
      </c>
      <c r="E92" s="182"/>
      <c r="F92" s="182"/>
      <c r="G92" s="182"/>
      <c r="H92" s="183"/>
      <c r="I92" s="96"/>
      <c r="J92" s="1301" t="s">
        <v>694</v>
      </c>
      <c r="K92" s="1304">
        <f>T87-T86</f>
        <v>2856710.8359999992</v>
      </c>
      <c r="L92" s="96"/>
      <c r="M92" s="96"/>
      <c r="N92" s="96"/>
      <c r="O92" s="96"/>
      <c r="P92" s="96"/>
      <c r="Q92" s="96"/>
      <c r="R92" s="96"/>
      <c r="S92" s="96"/>
      <c r="T92" s="96"/>
      <c r="U92" s="184"/>
      <c r="V92" s="9"/>
      <c r="W92" s="9"/>
    </row>
    <row r="93" spans="2:23" ht="15.75" x14ac:dyDescent="0.25">
      <c r="B93" s="64"/>
      <c r="C93" s="181" t="s">
        <v>75</v>
      </c>
      <c r="D93" s="1210">
        <f>Kontrollpanel!D39</f>
        <v>0.65</v>
      </c>
      <c r="E93" s="182"/>
      <c r="F93" s="182" t="s">
        <v>76</v>
      </c>
      <c r="G93" s="182"/>
      <c r="H93" s="183"/>
      <c r="I93" s="96"/>
      <c r="J93" s="96"/>
      <c r="K93" s="96"/>
      <c r="L93" s="96"/>
      <c r="M93" s="96"/>
      <c r="N93" s="96"/>
      <c r="O93" s="96"/>
      <c r="P93" s="96"/>
      <c r="Q93" s="96"/>
      <c r="R93" s="96"/>
      <c r="S93" s="96"/>
      <c r="T93" s="96"/>
      <c r="U93" s="184"/>
      <c r="V93" s="9"/>
      <c r="W93" s="9"/>
    </row>
    <row r="94" spans="2:23" ht="15.75" x14ac:dyDescent="0.25">
      <c r="B94" s="7"/>
      <c r="C94" s="181" t="s">
        <v>77</v>
      </c>
      <c r="D94" s="182">
        <f>D91</f>
        <v>17548366.563999999</v>
      </c>
      <c r="E94" s="182"/>
      <c r="F94" s="182" t="s">
        <v>78</v>
      </c>
      <c r="G94" s="182"/>
      <c r="H94" s="183"/>
      <c r="I94" s="185"/>
      <c r="J94" s="96"/>
      <c r="K94" s="1302">
        <f>D92-D91</f>
        <v>2856710.8359999992</v>
      </c>
      <c r="L94" s="185"/>
      <c r="M94" s="185"/>
      <c r="N94" s="185"/>
      <c r="O94" s="185"/>
      <c r="P94" s="185"/>
      <c r="Q94" s="185"/>
      <c r="R94" s="185"/>
      <c r="S94" s="185"/>
      <c r="T94" s="185"/>
      <c r="U94" s="186"/>
      <c r="V94" s="9"/>
      <c r="W94" s="9"/>
    </row>
    <row r="95" spans="2:23" ht="15.75" x14ac:dyDescent="0.25">
      <c r="B95" s="7"/>
      <c r="C95" s="181"/>
      <c r="D95" s="182"/>
      <c r="E95" s="182"/>
      <c r="F95" s="182"/>
      <c r="G95" s="182"/>
      <c r="H95" s="183"/>
      <c r="I95" s="185"/>
      <c r="J95" s="185"/>
      <c r="K95" s="185"/>
      <c r="L95" s="185"/>
      <c r="M95" s="185"/>
      <c r="N95" s="185"/>
      <c r="O95" s="185"/>
      <c r="P95" s="185"/>
      <c r="Q95" s="185"/>
      <c r="R95" s="185"/>
      <c r="S95" s="185"/>
      <c r="T95" s="185"/>
      <c r="U95" s="186"/>
      <c r="V95" s="9"/>
      <c r="W95" s="9"/>
    </row>
    <row r="96" spans="2:23" ht="16.5" thickBot="1" x14ac:dyDescent="0.3">
      <c r="B96" s="7"/>
      <c r="C96" s="187" t="s">
        <v>79</v>
      </c>
      <c r="D96" s="188">
        <f>D94/T43</f>
        <v>742.34809272811879</v>
      </c>
      <c r="E96" s="189"/>
      <c r="F96" s="189"/>
      <c r="G96" s="189"/>
      <c r="H96" s="190"/>
      <c r="I96" s="191"/>
      <c r="J96" s="191"/>
      <c r="K96" s="191"/>
      <c r="L96" s="191"/>
      <c r="M96" s="191"/>
      <c r="N96" s="191"/>
      <c r="O96" s="191"/>
      <c r="P96" s="191"/>
      <c r="Q96" s="191"/>
      <c r="R96" s="191"/>
      <c r="S96" s="191"/>
      <c r="T96" s="191"/>
      <c r="U96" s="152"/>
      <c r="V96" s="9"/>
      <c r="W96" s="9"/>
    </row>
    <row r="97" spans="2:22" hidden="1" x14ac:dyDescent="0.2">
      <c r="B97" s="7">
        <v>2012</v>
      </c>
      <c r="C97" s="152"/>
      <c r="D97" s="191"/>
      <c r="E97" s="191"/>
      <c r="F97" s="191"/>
      <c r="G97" s="191"/>
      <c r="H97" s="191"/>
      <c r="I97" s="191"/>
      <c r="J97" s="191"/>
      <c r="K97" s="191"/>
      <c r="L97" s="191"/>
      <c r="M97" s="191"/>
      <c r="N97" s="191"/>
      <c r="O97" s="191"/>
      <c r="P97" s="191"/>
      <c r="Q97" s="191"/>
      <c r="R97" s="191"/>
      <c r="S97" s="191"/>
      <c r="T97" s="191"/>
      <c r="U97" s="152"/>
      <c r="V97" s="18"/>
    </row>
    <row r="98" spans="2:22" hidden="1" x14ac:dyDescent="0.2">
      <c r="B98" s="7"/>
      <c r="C98" s="152"/>
      <c r="D98" s="191"/>
      <c r="E98" s="191"/>
      <c r="F98" s="191"/>
      <c r="G98" s="191"/>
      <c r="H98" s="191"/>
      <c r="I98" s="191"/>
      <c r="J98" s="191"/>
      <c r="K98" s="191"/>
      <c r="L98" s="191"/>
      <c r="M98" s="191"/>
      <c r="N98" s="191"/>
      <c r="O98" s="191"/>
      <c r="P98" s="191"/>
      <c r="Q98" s="191"/>
      <c r="R98" s="191"/>
      <c r="S98" s="191"/>
      <c r="T98" s="191"/>
      <c r="U98" s="152"/>
      <c r="V98" s="18"/>
    </row>
    <row r="99" spans="2:22" hidden="1" x14ac:dyDescent="0.2">
      <c r="B99" s="7"/>
      <c r="C99" s="152"/>
      <c r="D99" s="191"/>
      <c r="E99" s="191"/>
      <c r="F99" s="191"/>
      <c r="G99" s="191"/>
      <c r="H99" s="191"/>
      <c r="I99" s="191"/>
      <c r="J99" s="191"/>
      <c r="K99" s="191"/>
      <c r="L99" s="191"/>
      <c r="M99" s="191"/>
      <c r="N99" s="191"/>
      <c r="O99" s="191"/>
      <c r="P99" s="191"/>
      <c r="Q99" s="191"/>
      <c r="R99" s="191"/>
      <c r="S99" s="191"/>
      <c r="T99" s="191"/>
      <c r="U99" s="152"/>
      <c r="V99" s="18"/>
    </row>
    <row r="100" spans="2:22" hidden="1" x14ac:dyDescent="0.2">
      <c r="B100" s="7"/>
      <c r="C100" s="152"/>
      <c r="D100" s="191"/>
      <c r="E100" s="191"/>
      <c r="F100" s="191"/>
      <c r="G100" s="191"/>
      <c r="H100" s="191"/>
      <c r="I100" s="191"/>
      <c r="J100" s="191"/>
      <c r="K100" s="191"/>
      <c r="L100" s="191"/>
      <c r="M100" s="191"/>
      <c r="N100" s="191"/>
      <c r="O100" s="191"/>
      <c r="P100" s="191"/>
      <c r="Q100" s="191"/>
      <c r="R100" s="191"/>
      <c r="S100" s="191"/>
      <c r="T100" s="191"/>
      <c r="U100" s="152"/>
      <c r="V100" s="18"/>
    </row>
    <row r="101" spans="2:22" hidden="1" x14ac:dyDescent="0.2">
      <c r="B101" s="7"/>
      <c r="C101" s="152"/>
      <c r="D101" s="191"/>
      <c r="E101" s="191"/>
      <c r="F101" s="191"/>
      <c r="G101" s="191"/>
      <c r="H101" s="191"/>
      <c r="I101" s="191"/>
      <c r="J101" s="191"/>
      <c r="K101" s="191"/>
      <c r="L101" s="191"/>
      <c r="M101" s="191"/>
      <c r="N101" s="191"/>
      <c r="O101" s="191"/>
      <c r="P101" s="191"/>
      <c r="Q101" s="191"/>
      <c r="R101" s="191"/>
      <c r="S101" s="191"/>
      <c r="T101" s="191"/>
      <c r="U101" s="152"/>
      <c r="V101" s="18"/>
    </row>
    <row r="102" spans="2:22" hidden="1" x14ac:dyDescent="0.2">
      <c r="B102" s="7"/>
      <c r="C102" s="152"/>
      <c r="D102" s="191"/>
      <c r="E102" s="191"/>
      <c r="F102" s="191"/>
      <c r="G102" s="191"/>
      <c r="H102" s="191"/>
      <c r="I102" s="191"/>
      <c r="J102" s="191"/>
      <c r="K102" s="191"/>
      <c r="L102" s="191"/>
      <c r="M102" s="191"/>
      <c r="N102" s="191"/>
      <c r="O102" s="191"/>
      <c r="P102" s="191"/>
      <c r="Q102" s="191"/>
      <c r="R102" s="191"/>
      <c r="S102" s="191"/>
      <c r="T102" s="191"/>
      <c r="U102" s="152"/>
      <c r="V102" s="18"/>
    </row>
    <row r="103" spans="2:22" hidden="1" x14ac:dyDescent="0.2">
      <c r="B103" s="7"/>
      <c r="C103" s="152"/>
      <c r="D103" s="191"/>
      <c r="E103" s="191"/>
      <c r="F103" s="191"/>
      <c r="G103" s="191"/>
      <c r="H103" s="191"/>
      <c r="I103" s="191"/>
      <c r="J103" s="191"/>
      <c r="K103" s="191"/>
      <c r="L103" s="191"/>
      <c r="M103" s="191"/>
      <c r="N103" s="191"/>
      <c r="O103" s="191"/>
      <c r="P103" s="191"/>
      <c r="Q103" s="191"/>
      <c r="R103" s="191"/>
      <c r="S103" s="191"/>
      <c r="T103" s="191"/>
      <c r="U103" s="152"/>
      <c r="V103" s="18"/>
    </row>
    <row r="104" spans="2:22" hidden="1" x14ac:dyDescent="0.2">
      <c r="B104" s="7"/>
      <c r="C104" s="152"/>
      <c r="D104" s="191"/>
      <c r="E104" s="191"/>
      <c r="F104" s="191"/>
      <c r="G104" s="191"/>
      <c r="H104" s="191"/>
      <c r="I104" s="191"/>
      <c r="J104" s="191"/>
      <c r="K104" s="191"/>
      <c r="L104" s="191"/>
      <c r="M104" s="191"/>
      <c r="N104" s="191"/>
      <c r="O104" s="191"/>
      <c r="P104" s="191"/>
      <c r="Q104" s="191"/>
      <c r="R104" s="191"/>
      <c r="S104" s="191"/>
      <c r="T104" s="191"/>
      <c r="U104" s="152"/>
      <c r="V104" s="18"/>
    </row>
    <row r="105" spans="2:22" hidden="1" x14ac:dyDescent="0.2">
      <c r="B105" s="7"/>
      <c r="C105" s="152"/>
      <c r="D105" s="191"/>
      <c r="E105" s="191"/>
      <c r="F105" s="191"/>
      <c r="G105" s="191"/>
      <c r="H105" s="191"/>
      <c r="I105" s="191"/>
      <c r="J105" s="191"/>
      <c r="K105" s="191"/>
      <c r="L105" s="191"/>
      <c r="M105" s="191"/>
      <c r="N105" s="191"/>
      <c r="O105" s="191"/>
      <c r="P105" s="191"/>
      <c r="Q105" s="191"/>
      <c r="R105" s="191"/>
      <c r="S105" s="191"/>
      <c r="T105" s="191"/>
      <c r="U105" s="152"/>
      <c r="V105" s="18"/>
    </row>
    <row r="106" spans="2:22" hidden="1" x14ac:dyDescent="0.2">
      <c r="B106" s="7"/>
      <c r="C106" s="152"/>
      <c r="D106" s="191"/>
      <c r="E106" s="191"/>
      <c r="F106" s="191"/>
      <c r="G106" s="191"/>
      <c r="H106" s="191"/>
      <c r="I106" s="191"/>
      <c r="J106" s="191"/>
      <c r="K106" s="191"/>
      <c r="L106" s="191"/>
      <c r="M106" s="191"/>
      <c r="N106" s="191"/>
      <c r="O106" s="191"/>
      <c r="P106" s="191"/>
      <c r="Q106" s="191"/>
      <c r="R106" s="191"/>
      <c r="S106" s="191"/>
      <c r="T106" s="191"/>
      <c r="U106" s="152"/>
      <c r="V106" s="18"/>
    </row>
    <row r="107" spans="2:22" hidden="1" x14ac:dyDescent="0.2">
      <c r="B107" s="7"/>
      <c r="C107" s="152"/>
      <c r="D107" s="191"/>
      <c r="E107" s="191"/>
      <c r="F107" s="191"/>
      <c r="G107" s="191"/>
      <c r="H107" s="191"/>
      <c r="I107" s="191"/>
      <c r="J107" s="191"/>
      <c r="K107" s="191"/>
      <c r="L107" s="191"/>
      <c r="M107" s="191"/>
      <c r="N107" s="191"/>
      <c r="O107" s="191"/>
      <c r="P107" s="191"/>
      <c r="Q107" s="191"/>
      <c r="R107" s="191"/>
      <c r="S107" s="191"/>
      <c r="T107" s="191"/>
      <c r="U107" s="152"/>
      <c r="V107" s="19"/>
    </row>
    <row r="108" spans="2:22" hidden="1" x14ac:dyDescent="0.2">
      <c r="B108" s="7"/>
      <c r="C108" s="152"/>
      <c r="D108" s="191"/>
      <c r="E108" s="191"/>
      <c r="F108" s="191"/>
      <c r="G108" s="191"/>
      <c r="H108" s="191"/>
      <c r="I108" s="191"/>
      <c r="J108" s="191"/>
      <c r="K108" s="191"/>
      <c r="L108" s="191"/>
      <c r="M108" s="191"/>
      <c r="N108" s="191"/>
      <c r="O108" s="191"/>
      <c r="P108" s="191"/>
      <c r="Q108" s="191"/>
      <c r="R108" s="191"/>
      <c r="S108" s="191"/>
      <c r="T108" s="191"/>
      <c r="U108" s="152"/>
      <c r="V108" s="11"/>
    </row>
    <row r="109" spans="2:22" hidden="1" x14ac:dyDescent="0.2">
      <c r="B109" s="7"/>
      <c r="C109" s="152"/>
      <c r="D109" s="191"/>
      <c r="E109" s="191"/>
      <c r="F109" s="191"/>
      <c r="G109" s="191"/>
      <c r="H109" s="191"/>
      <c r="I109" s="191"/>
      <c r="J109" s="191"/>
      <c r="K109" s="191"/>
      <c r="L109" s="191"/>
      <c r="M109" s="191"/>
      <c r="N109" s="191"/>
      <c r="O109" s="191"/>
      <c r="P109" s="191"/>
      <c r="Q109" s="191"/>
      <c r="R109" s="191"/>
      <c r="S109" s="191"/>
      <c r="T109" s="191"/>
      <c r="U109" s="152"/>
      <c r="V109" s="14"/>
    </row>
    <row r="110" spans="2:22" hidden="1" x14ac:dyDescent="0.2">
      <c r="B110" s="7"/>
      <c r="C110" s="152"/>
      <c r="D110" s="191"/>
      <c r="E110" s="191"/>
      <c r="F110" s="191"/>
      <c r="G110" s="191"/>
      <c r="H110" s="191"/>
      <c r="I110" s="191"/>
      <c r="J110" s="191"/>
      <c r="K110" s="191"/>
      <c r="L110" s="191"/>
      <c r="M110" s="191"/>
      <c r="N110" s="191"/>
      <c r="O110" s="191"/>
      <c r="P110" s="191"/>
      <c r="Q110" s="191"/>
      <c r="R110" s="191"/>
      <c r="S110" s="191"/>
      <c r="T110" s="191"/>
      <c r="U110" s="152"/>
      <c r="V110" s="14"/>
    </row>
    <row r="111" spans="2:22" hidden="1" x14ac:dyDescent="0.2">
      <c r="B111" s="7"/>
      <c r="C111" s="152"/>
      <c r="D111" s="191"/>
      <c r="E111" s="191"/>
      <c r="F111" s="191"/>
      <c r="G111" s="191"/>
      <c r="H111" s="191"/>
      <c r="I111" s="191"/>
      <c r="J111" s="191"/>
      <c r="K111" s="191"/>
      <c r="L111" s="191"/>
      <c r="M111" s="191"/>
      <c r="N111" s="191"/>
      <c r="O111" s="191"/>
      <c r="P111" s="191"/>
      <c r="Q111" s="191"/>
      <c r="R111" s="191"/>
      <c r="S111" s="191"/>
      <c r="T111" s="191"/>
      <c r="U111" s="152"/>
      <c r="V111" s="14"/>
    </row>
    <row r="112" spans="2:22" hidden="1" x14ac:dyDescent="0.2">
      <c r="B112" s="7"/>
      <c r="C112" s="152"/>
      <c r="D112" s="191"/>
      <c r="E112" s="191"/>
      <c r="F112" s="191"/>
      <c r="G112" s="191"/>
      <c r="H112" s="191"/>
      <c r="I112" s="191"/>
      <c r="J112" s="191"/>
      <c r="K112" s="191"/>
      <c r="L112" s="191"/>
      <c r="M112" s="191"/>
      <c r="N112" s="191"/>
      <c r="O112" s="191"/>
      <c r="P112" s="191"/>
      <c r="Q112" s="191"/>
      <c r="R112" s="191"/>
      <c r="S112" s="191"/>
      <c r="T112" s="191"/>
      <c r="U112" s="152"/>
      <c r="V112" s="14"/>
    </row>
    <row r="113" spans="2:22" hidden="1" x14ac:dyDescent="0.2">
      <c r="B113" s="7"/>
      <c r="C113" s="152"/>
      <c r="D113" s="191"/>
      <c r="E113" s="191"/>
      <c r="F113" s="191"/>
      <c r="G113" s="191"/>
      <c r="H113" s="191"/>
      <c r="I113" s="191"/>
      <c r="J113" s="191"/>
      <c r="K113" s="191"/>
      <c r="L113" s="191"/>
      <c r="M113" s="191"/>
      <c r="N113" s="191"/>
      <c r="O113" s="191"/>
      <c r="P113" s="191"/>
      <c r="Q113" s="191"/>
      <c r="R113" s="191"/>
      <c r="S113" s="191"/>
      <c r="T113" s="191"/>
      <c r="U113" s="152"/>
      <c r="V113" s="14"/>
    </row>
    <row r="114" spans="2:22" hidden="1" x14ac:dyDescent="0.2">
      <c r="B114" s="7"/>
      <c r="C114" s="152"/>
      <c r="D114" s="191"/>
      <c r="E114" s="191"/>
      <c r="F114" s="191"/>
      <c r="G114" s="191"/>
      <c r="H114" s="191"/>
      <c r="I114" s="191"/>
      <c r="J114" s="191"/>
      <c r="K114" s="191"/>
      <c r="L114" s="191"/>
      <c r="M114" s="191"/>
      <c r="N114" s="191"/>
      <c r="O114" s="191"/>
      <c r="P114" s="191"/>
      <c r="Q114" s="191"/>
      <c r="R114" s="191"/>
      <c r="S114" s="191"/>
      <c r="T114" s="191"/>
      <c r="U114" s="152"/>
      <c r="V114" s="14"/>
    </row>
    <row r="115" spans="2:22" hidden="1" x14ac:dyDescent="0.2">
      <c r="B115" s="7"/>
      <c r="C115" s="152"/>
      <c r="D115" s="191"/>
      <c r="E115" s="191"/>
      <c r="F115" s="191"/>
      <c r="G115" s="191"/>
      <c r="H115" s="191"/>
      <c r="I115" s="191"/>
      <c r="J115" s="191"/>
      <c r="K115" s="191"/>
      <c r="L115" s="191"/>
      <c r="M115" s="191"/>
      <c r="N115" s="191"/>
      <c r="O115" s="191"/>
      <c r="P115" s="191"/>
      <c r="Q115" s="191"/>
      <c r="R115" s="191"/>
      <c r="S115" s="191"/>
      <c r="T115" s="191"/>
      <c r="U115" s="152"/>
      <c r="V115" s="14"/>
    </row>
    <row r="116" spans="2:22" hidden="1" x14ac:dyDescent="0.2">
      <c r="B116" s="7"/>
      <c r="C116" s="152"/>
      <c r="D116" s="191"/>
      <c r="E116" s="191"/>
      <c r="F116" s="191"/>
      <c r="G116" s="191"/>
      <c r="H116" s="191"/>
      <c r="I116" s="191"/>
      <c r="J116" s="191"/>
      <c r="K116" s="191"/>
      <c r="L116" s="191"/>
      <c r="M116" s="191"/>
      <c r="N116" s="191"/>
      <c r="O116" s="191"/>
      <c r="P116" s="191"/>
      <c r="Q116" s="191"/>
      <c r="R116" s="191"/>
      <c r="S116" s="191"/>
      <c r="T116" s="191"/>
      <c r="U116" s="152"/>
      <c r="V116" s="14"/>
    </row>
    <row r="117" spans="2:22" hidden="1" x14ac:dyDescent="0.2">
      <c r="B117" s="7"/>
      <c r="C117" s="152"/>
      <c r="D117" s="191"/>
      <c r="E117" s="191"/>
      <c r="F117" s="191"/>
      <c r="G117" s="191"/>
      <c r="H117" s="191"/>
      <c r="I117" s="191"/>
      <c r="J117" s="191"/>
      <c r="K117" s="191"/>
      <c r="L117" s="191"/>
      <c r="M117" s="191"/>
      <c r="N117" s="191"/>
      <c r="O117" s="191"/>
      <c r="P117" s="191"/>
      <c r="Q117" s="191"/>
      <c r="R117" s="191"/>
      <c r="S117" s="191"/>
      <c r="T117" s="191"/>
      <c r="U117" s="152"/>
      <c r="V117" s="14"/>
    </row>
    <row r="118" spans="2:22" hidden="1" x14ac:dyDescent="0.2">
      <c r="B118" s="7"/>
      <c r="C118" s="152"/>
      <c r="D118" s="191"/>
      <c r="E118" s="191"/>
      <c r="F118" s="191"/>
      <c r="G118" s="191"/>
      <c r="H118" s="191"/>
      <c r="I118" s="191"/>
      <c r="J118" s="191"/>
      <c r="K118" s="191"/>
      <c r="L118" s="191"/>
      <c r="M118" s="191"/>
      <c r="N118" s="191"/>
      <c r="O118" s="191"/>
      <c r="P118" s="191"/>
      <c r="Q118" s="191"/>
      <c r="R118" s="191"/>
      <c r="S118" s="191"/>
      <c r="T118" s="191"/>
      <c r="U118" s="152"/>
      <c r="V118" s="14"/>
    </row>
    <row r="119" spans="2:22" hidden="1" x14ac:dyDescent="0.2">
      <c r="B119" s="7"/>
      <c r="C119" s="152"/>
      <c r="D119" s="191"/>
      <c r="E119" s="191"/>
      <c r="F119" s="191"/>
      <c r="G119" s="191"/>
      <c r="H119" s="191"/>
      <c r="I119" s="191"/>
      <c r="J119" s="191"/>
      <c r="K119" s="191"/>
      <c r="L119" s="191"/>
      <c r="M119" s="191"/>
      <c r="N119" s="191"/>
      <c r="O119" s="191"/>
      <c r="P119" s="191"/>
      <c r="Q119" s="191"/>
      <c r="R119" s="191"/>
      <c r="S119" s="191"/>
      <c r="T119" s="191"/>
      <c r="U119" s="152"/>
      <c r="V119" s="14"/>
    </row>
    <row r="120" spans="2:22" hidden="1" x14ac:dyDescent="0.2">
      <c r="B120" s="7"/>
      <c r="C120" s="152"/>
      <c r="D120" s="191"/>
      <c r="E120" s="191"/>
      <c r="F120" s="191"/>
      <c r="G120" s="191"/>
      <c r="H120" s="191"/>
      <c r="I120" s="191"/>
      <c r="J120" s="191"/>
      <c r="K120" s="191"/>
      <c r="L120" s="191"/>
      <c r="M120" s="191"/>
      <c r="N120" s="191"/>
      <c r="O120" s="191"/>
      <c r="P120" s="191"/>
      <c r="Q120" s="191"/>
      <c r="R120" s="191"/>
      <c r="S120" s="191"/>
      <c r="T120" s="191"/>
      <c r="U120" s="152"/>
      <c r="V120" s="14"/>
    </row>
    <row r="121" spans="2:22" hidden="1" x14ac:dyDescent="0.2">
      <c r="B121" s="7"/>
      <c r="C121" s="152"/>
      <c r="D121" s="191"/>
      <c r="E121" s="191"/>
      <c r="F121" s="191"/>
      <c r="G121" s="191"/>
      <c r="H121" s="191"/>
      <c r="I121" s="191"/>
      <c r="J121" s="191"/>
      <c r="K121" s="191"/>
      <c r="L121" s="191"/>
      <c r="M121" s="191"/>
      <c r="N121" s="191"/>
      <c r="O121" s="191"/>
      <c r="P121" s="191"/>
      <c r="Q121" s="191"/>
      <c r="R121" s="191"/>
      <c r="S121" s="191"/>
      <c r="T121" s="191"/>
      <c r="U121" s="152"/>
      <c r="V121" s="14"/>
    </row>
    <row r="122" spans="2:22" hidden="1" x14ac:dyDescent="0.2">
      <c r="B122" s="7"/>
      <c r="C122" s="152"/>
      <c r="D122" s="191"/>
      <c r="E122" s="191"/>
      <c r="F122" s="191"/>
      <c r="G122" s="191"/>
      <c r="H122" s="191"/>
      <c r="I122" s="191"/>
      <c r="J122" s="191"/>
      <c r="K122" s="191"/>
      <c r="L122" s="191"/>
      <c r="M122" s="191"/>
      <c r="N122" s="191"/>
      <c r="O122" s="191"/>
      <c r="P122" s="191"/>
      <c r="Q122" s="191"/>
      <c r="R122" s="191"/>
      <c r="S122" s="191"/>
      <c r="T122" s="191"/>
      <c r="U122" s="152"/>
      <c r="V122" s="11"/>
    </row>
    <row r="123" spans="2:22" hidden="1" x14ac:dyDescent="0.2">
      <c r="B123" s="7"/>
      <c r="C123" s="152"/>
      <c r="D123" s="191"/>
      <c r="E123" s="191"/>
      <c r="F123" s="191"/>
      <c r="G123" s="191"/>
      <c r="H123" s="191"/>
      <c r="I123" s="191"/>
      <c r="J123" s="191"/>
      <c r="K123" s="191"/>
      <c r="L123" s="191"/>
      <c r="M123" s="191"/>
      <c r="N123" s="191"/>
      <c r="O123" s="191"/>
      <c r="P123" s="191"/>
      <c r="Q123" s="191"/>
      <c r="R123" s="191"/>
      <c r="S123" s="191"/>
      <c r="T123" s="191"/>
      <c r="U123" s="152"/>
      <c r="V123" s="11"/>
    </row>
    <row r="124" spans="2:22" hidden="1" x14ac:dyDescent="0.2">
      <c r="B124" s="7"/>
      <c r="C124" s="152"/>
      <c r="D124" s="191"/>
      <c r="E124" s="191"/>
      <c r="F124" s="191"/>
      <c r="G124" s="191"/>
      <c r="H124" s="191"/>
      <c r="I124" s="191"/>
      <c r="J124" s="191"/>
      <c r="K124" s="191"/>
      <c r="L124" s="191"/>
      <c r="M124" s="191"/>
      <c r="N124" s="191"/>
      <c r="O124" s="191"/>
      <c r="P124" s="191"/>
      <c r="Q124" s="191"/>
      <c r="R124" s="191"/>
      <c r="S124" s="191"/>
      <c r="T124" s="191"/>
      <c r="U124" s="152"/>
      <c r="V124" s="11"/>
    </row>
    <row r="125" spans="2:22" hidden="1" x14ac:dyDescent="0.2">
      <c r="B125" s="7">
        <v>2011</v>
      </c>
      <c r="C125" s="152"/>
      <c r="D125" s="191"/>
      <c r="E125" s="191"/>
      <c r="F125" s="191"/>
      <c r="G125" s="191"/>
      <c r="H125" s="191"/>
      <c r="I125" s="191"/>
      <c r="J125" s="191"/>
      <c r="K125" s="191"/>
      <c r="L125" s="191"/>
      <c r="M125" s="191"/>
      <c r="N125" s="191"/>
      <c r="O125" s="191"/>
      <c r="P125" s="191"/>
      <c r="Q125" s="191"/>
      <c r="R125" s="191"/>
      <c r="S125" s="191"/>
      <c r="T125" s="191"/>
      <c r="U125" s="152"/>
      <c r="V125" s="8"/>
    </row>
    <row r="126" spans="2:22" hidden="1" x14ac:dyDescent="0.2">
      <c r="B126" s="7"/>
      <c r="C126" s="152"/>
      <c r="D126" s="191"/>
      <c r="E126" s="191"/>
      <c r="F126" s="191"/>
      <c r="G126" s="191"/>
      <c r="H126" s="191"/>
      <c r="I126" s="191"/>
      <c r="J126" s="191"/>
      <c r="K126" s="191"/>
      <c r="L126" s="191"/>
      <c r="M126" s="191"/>
      <c r="N126" s="191"/>
      <c r="O126" s="191"/>
      <c r="P126" s="191"/>
      <c r="Q126" s="191"/>
      <c r="R126" s="191"/>
      <c r="S126" s="191"/>
      <c r="T126" s="191"/>
      <c r="U126" s="152"/>
      <c r="V126" s="18"/>
    </row>
    <row r="127" spans="2:22" hidden="1" x14ac:dyDescent="0.2">
      <c r="B127" s="7"/>
      <c r="C127" s="152"/>
      <c r="D127" s="191"/>
      <c r="E127" s="191"/>
      <c r="F127" s="191"/>
      <c r="G127" s="191"/>
      <c r="H127" s="191"/>
      <c r="I127" s="191"/>
      <c r="J127" s="191"/>
      <c r="K127" s="191"/>
      <c r="L127" s="191"/>
      <c r="M127" s="191"/>
      <c r="N127" s="191"/>
      <c r="O127" s="191"/>
      <c r="P127" s="191"/>
      <c r="Q127" s="191"/>
      <c r="R127" s="191"/>
      <c r="S127" s="191"/>
      <c r="T127" s="191"/>
      <c r="U127" s="152"/>
      <c r="V127" s="18"/>
    </row>
    <row r="128" spans="2:22" hidden="1" x14ac:dyDescent="0.2">
      <c r="B128" s="7"/>
      <c r="C128" s="152"/>
      <c r="D128" s="191"/>
      <c r="E128" s="191"/>
      <c r="F128" s="191"/>
      <c r="G128" s="191"/>
      <c r="H128" s="191"/>
      <c r="I128" s="191"/>
      <c r="J128" s="191"/>
      <c r="K128" s="191"/>
      <c r="L128" s="191"/>
      <c r="M128" s="191"/>
      <c r="N128" s="191"/>
      <c r="O128" s="191"/>
      <c r="P128" s="191"/>
      <c r="Q128" s="191"/>
      <c r="R128" s="191"/>
      <c r="S128" s="191"/>
      <c r="T128" s="191"/>
      <c r="U128" s="152"/>
      <c r="V128" s="18"/>
    </row>
    <row r="129" spans="2:22" hidden="1" x14ac:dyDescent="0.2">
      <c r="B129" s="7"/>
      <c r="C129" s="152"/>
      <c r="D129" s="191"/>
      <c r="E129" s="191"/>
      <c r="F129" s="191"/>
      <c r="G129" s="191"/>
      <c r="H129" s="191"/>
      <c r="I129" s="191"/>
      <c r="J129" s="191"/>
      <c r="K129" s="191"/>
      <c r="L129" s="191"/>
      <c r="M129" s="191"/>
      <c r="N129" s="191"/>
      <c r="O129" s="191"/>
      <c r="P129" s="191"/>
      <c r="Q129" s="191"/>
      <c r="R129" s="191"/>
      <c r="S129" s="191"/>
      <c r="T129" s="191"/>
      <c r="U129" s="152"/>
      <c r="V129" s="18"/>
    </row>
    <row r="130" spans="2:22" hidden="1" x14ac:dyDescent="0.2">
      <c r="B130" s="7"/>
      <c r="C130" s="152"/>
      <c r="D130" s="191"/>
      <c r="E130" s="191"/>
      <c r="F130" s="191"/>
      <c r="G130" s="191"/>
      <c r="H130" s="191"/>
      <c r="I130" s="191"/>
      <c r="J130" s="191"/>
      <c r="K130" s="191"/>
      <c r="L130" s="191"/>
      <c r="M130" s="191"/>
      <c r="N130" s="191"/>
      <c r="O130" s="191"/>
      <c r="P130" s="191"/>
      <c r="Q130" s="191"/>
      <c r="R130" s="191"/>
      <c r="S130" s="191"/>
      <c r="T130" s="191"/>
      <c r="U130" s="152"/>
      <c r="V130" s="18"/>
    </row>
    <row r="131" spans="2:22" hidden="1" x14ac:dyDescent="0.2">
      <c r="B131" s="7"/>
      <c r="C131" s="152"/>
      <c r="D131" s="191"/>
      <c r="E131" s="191"/>
      <c r="F131" s="191"/>
      <c r="G131" s="191"/>
      <c r="H131" s="191"/>
      <c r="I131" s="191"/>
      <c r="J131" s="191"/>
      <c r="K131" s="191"/>
      <c r="L131" s="191"/>
      <c r="M131" s="191"/>
      <c r="N131" s="191"/>
      <c r="O131" s="191"/>
      <c r="P131" s="191"/>
      <c r="Q131" s="191"/>
      <c r="R131" s="191"/>
      <c r="S131" s="191"/>
      <c r="T131" s="191"/>
      <c r="U131" s="152"/>
      <c r="V131" s="18"/>
    </row>
    <row r="132" spans="2:22" hidden="1" x14ac:dyDescent="0.2">
      <c r="B132" s="7"/>
      <c r="C132" s="152"/>
      <c r="D132" s="191"/>
      <c r="E132" s="191"/>
      <c r="F132" s="191"/>
      <c r="G132" s="191"/>
      <c r="H132" s="191"/>
      <c r="I132" s="191"/>
      <c r="J132" s="191"/>
      <c r="K132" s="191"/>
      <c r="L132" s="191"/>
      <c r="M132" s="191"/>
      <c r="N132" s="191"/>
      <c r="O132" s="191"/>
      <c r="P132" s="191"/>
      <c r="Q132" s="191"/>
      <c r="R132" s="191"/>
      <c r="S132" s="191"/>
      <c r="T132" s="191"/>
      <c r="U132" s="152"/>
      <c r="V132" s="18"/>
    </row>
    <row r="133" spans="2:22" hidden="1" x14ac:dyDescent="0.2">
      <c r="B133" s="7"/>
      <c r="C133" s="152"/>
      <c r="D133" s="191"/>
      <c r="E133" s="191"/>
      <c r="F133" s="191"/>
      <c r="G133" s="191"/>
      <c r="H133" s="191"/>
      <c r="I133" s="191"/>
      <c r="J133" s="191"/>
      <c r="K133" s="191"/>
      <c r="L133" s="191"/>
      <c r="M133" s="191"/>
      <c r="N133" s="191"/>
      <c r="O133" s="191"/>
      <c r="P133" s="191"/>
      <c r="Q133" s="191"/>
      <c r="R133" s="191"/>
      <c r="S133" s="191"/>
      <c r="T133" s="191"/>
      <c r="U133" s="152"/>
      <c r="V133" s="18"/>
    </row>
    <row r="134" spans="2:22" hidden="1" x14ac:dyDescent="0.2">
      <c r="B134" s="7"/>
      <c r="C134" s="152"/>
      <c r="D134" s="191"/>
      <c r="E134" s="191"/>
      <c r="F134" s="191"/>
      <c r="G134" s="191"/>
      <c r="H134" s="191"/>
      <c r="I134" s="191"/>
      <c r="J134" s="191"/>
      <c r="K134" s="191"/>
      <c r="L134" s="191"/>
      <c r="M134" s="191"/>
      <c r="N134" s="191"/>
      <c r="O134" s="191"/>
      <c r="P134" s="191"/>
      <c r="Q134" s="191"/>
      <c r="R134" s="191"/>
      <c r="S134" s="191"/>
      <c r="T134" s="191"/>
      <c r="U134" s="152"/>
      <c r="V134" s="18"/>
    </row>
    <row r="135" spans="2:22" ht="25.5" hidden="1" customHeight="1" x14ac:dyDescent="0.2">
      <c r="B135" s="7"/>
      <c r="C135" s="152"/>
      <c r="D135" s="191"/>
      <c r="E135" s="191"/>
      <c r="F135" s="191"/>
      <c r="G135" s="191"/>
      <c r="H135" s="191"/>
      <c r="I135" s="191"/>
      <c r="J135" s="191"/>
      <c r="K135" s="191"/>
      <c r="L135" s="191"/>
      <c r="M135" s="191"/>
      <c r="N135" s="191"/>
      <c r="O135" s="191"/>
      <c r="P135" s="191"/>
      <c r="Q135" s="191"/>
      <c r="R135" s="191"/>
      <c r="S135" s="191"/>
      <c r="T135" s="191"/>
      <c r="U135" s="152"/>
      <c r="V135" s="19"/>
    </row>
    <row r="136" spans="2:22" ht="22.5" hidden="1" customHeight="1" x14ac:dyDescent="0.2">
      <c r="B136" s="7"/>
      <c r="C136" s="152"/>
      <c r="D136" s="191"/>
      <c r="E136" s="191"/>
      <c r="F136" s="191"/>
      <c r="G136" s="191"/>
      <c r="H136" s="191"/>
      <c r="I136" s="191"/>
      <c r="J136" s="191"/>
      <c r="K136" s="191"/>
      <c r="L136" s="191"/>
      <c r="M136" s="191"/>
      <c r="N136" s="191"/>
      <c r="O136" s="191"/>
      <c r="P136" s="191"/>
      <c r="Q136" s="191"/>
      <c r="R136" s="191"/>
      <c r="S136" s="191"/>
      <c r="T136" s="191"/>
      <c r="U136" s="152"/>
      <c r="V136" s="11"/>
    </row>
    <row r="137" spans="2:22" ht="21.75" hidden="1" customHeight="1" x14ac:dyDescent="0.2">
      <c r="B137" s="7"/>
      <c r="C137" s="152"/>
      <c r="D137" s="191"/>
      <c r="E137" s="191"/>
      <c r="F137" s="191"/>
      <c r="G137" s="191"/>
      <c r="H137" s="191"/>
      <c r="I137" s="191"/>
      <c r="J137" s="191"/>
      <c r="K137" s="191"/>
      <c r="L137" s="191"/>
      <c r="M137" s="191"/>
      <c r="N137" s="191"/>
      <c r="O137" s="191"/>
      <c r="P137" s="191"/>
      <c r="Q137" s="191"/>
      <c r="R137" s="191"/>
      <c r="S137" s="191"/>
      <c r="T137" s="191"/>
      <c r="U137" s="152"/>
      <c r="V137" s="14"/>
    </row>
    <row r="138" spans="2:22" ht="21.75" hidden="1" customHeight="1" x14ac:dyDescent="0.2">
      <c r="B138" s="7"/>
      <c r="C138" s="152"/>
      <c r="D138" s="191"/>
      <c r="E138" s="191"/>
      <c r="F138" s="191"/>
      <c r="G138" s="191"/>
      <c r="H138" s="191"/>
      <c r="I138" s="191"/>
      <c r="J138" s="191"/>
      <c r="K138" s="191"/>
      <c r="L138" s="191"/>
      <c r="M138" s="191"/>
      <c r="N138" s="191"/>
      <c r="O138" s="191"/>
      <c r="P138" s="191"/>
      <c r="Q138" s="191"/>
      <c r="R138" s="191"/>
      <c r="S138" s="191"/>
      <c r="T138" s="191"/>
      <c r="U138" s="152"/>
      <c r="V138" s="14"/>
    </row>
    <row r="139" spans="2:22" ht="21.75" hidden="1" customHeight="1" x14ac:dyDescent="0.2">
      <c r="B139" s="7"/>
      <c r="C139" s="152"/>
      <c r="D139" s="191"/>
      <c r="E139" s="191"/>
      <c r="F139" s="191"/>
      <c r="G139" s="191"/>
      <c r="H139" s="191"/>
      <c r="I139" s="191"/>
      <c r="J139" s="191"/>
      <c r="K139" s="191"/>
      <c r="L139" s="191"/>
      <c r="M139" s="191"/>
      <c r="N139" s="191"/>
      <c r="O139" s="191"/>
      <c r="P139" s="191"/>
      <c r="Q139" s="191"/>
      <c r="R139" s="191"/>
      <c r="S139" s="191"/>
      <c r="T139" s="191"/>
      <c r="U139" s="152"/>
      <c r="V139" s="14"/>
    </row>
    <row r="140" spans="2:22" ht="20.25" hidden="1" customHeight="1" x14ac:dyDescent="0.2">
      <c r="B140" s="7"/>
      <c r="C140" s="152"/>
      <c r="D140" s="191"/>
      <c r="E140" s="191"/>
      <c r="F140" s="191"/>
      <c r="G140" s="191"/>
      <c r="H140" s="191"/>
      <c r="I140" s="191"/>
      <c r="J140" s="191"/>
      <c r="K140" s="191"/>
      <c r="L140" s="191"/>
      <c r="M140" s="191"/>
      <c r="N140" s="191"/>
      <c r="O140" s="191"/>
      <c r="P140" s="191"/>
      <c r="Q140" s="191"/>
      <c r="R140" s="191"/>
      <c r="S140" s="191"/>
      <c r="T140" s="191"/>
      <c r="U140" s="152"/>
      <c r="V140" s="14"/>
    </row>
    <row r="141" spans="2:22" ht="18.75" hidden="1" customHeight="1" x14ac:dyDescent="0.2">
      <c r="B141" s="7"/>
      <c r="C141" s="152"/>
      <c r="D141" s="191"/>
      <c r="E141" s="191"/>
      <c r="F141" s="191"/>
      <c r="G141" s="191"/>
      <c r="H141" s="191"/>
      <c r="I141" s="191"/>
      <c r="J141" s="191"/>
      <c r="K141" s="191"/>
      <c r="L141" s="191"/>
      <c r="M141" s="191"/>
      <c r="N141" s="191"/>
      <c r="O141" s="191"/>
      <c r="P141" s="191"/>
      <c r="Q141" s="191"/>
      <c r="R141" s="191"/>
      <c r="S141" s="191"/>
      <c r="T141" s="191"/>
      <c r="U141" s="152"/>
      <c r="V141" s="14"/>
    </row>
    <row r="142" spans="2:22" ht="18.75" hidden="1" customHeight="1" x14ac:dyDescent="0.2">
      <c r="B142" s="7"/>
      <c r="C142" s="152"/>
      <c r="D142" s="191"/>
      <c r="E142" s="191"/>
      <c r="F142" s="191"/>
      <c r="G142" s="191"/>
      <c r="H142" s="191"/>
      <c r="I142" s="191"/>
      <c r="J142" s="191"/>
      <c r="K142" s="191"/>
      <c r="L142" s="191"/>
      <c r="M142" s="191"/>
      <c r="N142" s="191"/>
      <c r="O142" s="191"/>
      <c r="P142" s="191"/>
      <c r="Q142" s="191"/>
      <c r="R142" s="191"/>
      <c r="S142" s="191"/>
      <c r="T142" s="191"/>
      <c r="U142" s="152"/>
      <c r="V142" s="14"/>
    </row>
    <row r="143" spans="2:22" ht="19.5" hidden="1" customHeight="1" x14ac:dyDescent="0.2">
      <c r="B143" s="7"/>
      <c r="C143" s="152"/>
      <c r="D143" s="191"/>
      <c r="E143" s="191"/>
      <c r="F143" s="191"/>
      <c r="G143" s="191"/>
      <c r="H143" s="191"/>
      <c r="I143" s="191"/>
      <c r="J143" s="191"/>
      <c r="K143" s="191"/>
      <c r="L143" s="191"/>
      <c r="M143" s="191"/>
      <c r="N143" s="191"/>
      <c r="O143" s="191"/>
      <c r="P143" s="191"/>
      <c r="Q143" s="191"/>
      <c r="R143" s="191"/>
      <c r="S143" s="191"/>
      <c r="T143" s="191"/>
      <c r="U143" s="152"/>
      <c r="V143" s="14"/>
    </row>
    <row r="144" spans="2:22" ht="21" hidden="1" customHeight="1" x14ac:dyDescent="0.2">
      <c r="B144" s="7"/>
      <c r="C144" s="152"/>
      <c r="D144" s="191"/>
      <c r="E144" s="191"/>
      <c r="F144" s="191"/>
      <c r="G144" s="191"/>
      <c r="H144" s="191"/>
      <c r="I144" s="191"/>
      <c r="J144" s="191"/>
      <c r="K144" s="191"/>
      <c r="L144" s="191"/>
      <c r="M144" s="191"/>
      <c r="N144" s="191"/>
      <c r="O144" s="191"/>
      <c r="P144" s="191"/>
      <c r="Q144" s="191"/>
      <c r="R144" s="191"/>
      <c r="S144" s="191"/>
      <c r="T144" s="191"/>
      <c r="U144" s="152"/>
      <c r="V144" s="14"/>
    </row>
    <row r="145" spans="2:22" ht="19.5" hidden="1" customHeight="1" x14ac:dyDescent="0.2">
      <c r="B145" s="7"/>
      <c r="C145" s="152"/>
      <c r="D145" s="191"/>
      <c r="E145" s="191"/>
      <c r="F145" s="191"/>
      <c r="G145" s="191"/>
      <c r="H145" s="191"/>
      <c r="I145" s="191"/>
      <c r="J145" s="191"/>
      <c r="K145" s="191"/>
      <c r="L145" s="191"/>
      <c r="M145" s="191"/>
      <c r="N145" s="191"/>
      <c r="O145" s="191"/>
      <c r="P145" s="191"/>
      <c r="Q145" s="191"/>
      <c r="R145" s="191"/>
      <c r="S145" s="191"/>
      <c r="T145" s="191"/>
      <c r="U145" s="152"/>
      <c r="V145" s="14"/>
    </row>
    <row r="146" spans="2:22" ht="21" hidden="1" customHeight="1" x14ac:dyDescent="0.2">
      <c r="B146" s="7"/>
      <c r="C146" s="152"/>
      <c r="D146" s="191"/>
      <c r="E146" s="191"/>
      <c r="F146" s="191"/>
      <c r="G146" s="191"/>
      <c r="H146" s="191"/>
      <c r="I146" s="191"/>
      <c r="J146" s="191"/>
      <c r="K146" s="191"/>
      <c r="L146" s="191"/>
      <c r="M146" s="191"/>
      <c r="N146" s="191"/>
      <c r="O146" s="191"/>
      <c r="P146" s="191"/>
      <c r="Q146" s="191"/>
      <c r="R146" s="191"/>
      <c r="S146" s="191"/>
      <c r="T146" s="191"/>
      <c r="U146" s="152"/>
      <c r="V146" s="14"/>
    </row>
    <row r="147" spans="2:22" hidden="1" x14ac:dyDescent="0.2">
      <c r="B147" s="7"/>
      <c r="C147" s="152"/>
      <c r="D147" s="191"/>
      <c r="E147" s="191"/>
      <c r="F147" s="191"/>
      <c r="G147" s="191"/>
      <c r="H147" s="191"/>
      <c r="I147" s="191"/>
      <c r="J147" s="191"/>
      <c r="K147" s="191"/>
      <c r="L147" s="191"/>
      <c r="M147" s="191"/>
      <c r="N147" s="191"/>
      <c r="O147" s="191"/>
      <c r="P147" s="191"/>
      <c r="Q147" s="191"/>
      <c r="R147" s="191"/>
      <c r="S147" s="191"/>
      <c r="T147" s="191"/>
      <c r="U147" s="152"/>
      <c r="V147" s="14"/>
    </row>
    <row r="148" spans="2:22" hidden="1" x14ac:dyDescent="0.2">
      <c r="B148" s="7"/>
      <c r="C148" s="152"/>
      <c r="D148" s="191"/>
      <c r="E148" s="191"/>
      <c r="F148" s="191"/>
      <c r="G148" s="191"/>
      <c r="H148" s="191"/>
      <c r="I148" s="191"/>
      <c r="J148" s="191"/>
      <c r="K148" s="191"/>
      <c r="L148" s="191"/>
      <c r="M148" s="191"/>
      <c r="N148" s="191"/>
      <c r="O148" s="191"/>
      <c r="P148" s="191"/>
      <c r="Q148" s="191"/>
      <c r="R148" s="191"/>
      <c r="S148" s="191"/>
      <c r="T148" s="191"/>
      <c r="U148" s="152"/>
      <c r="V148" s="11"/>
    </row>
    <row r="149" spans="2:22" hidden="1" x14ac:dyDescent="0.2">
      <c r="B149" s="7"/>
      <c r="C149" s="152"/>
      <c r="D149" s="191"/>
      <c r="E149" s="191"/>
      <c r="F149" s="191"/>
      <c r="G149" s="191"/>
      <c r="H149" s="191"/>
      <c r="I149" s="191"/>
      <c r="J149" s="191"/>
      <c r="K149" s="191"/>
      <c r="L149" s="191"/>
      <c r="M149" s="191"/>
      <c r="N149" s="191"/>
      <c r="O149" s="191"/>
      <c r="P149" s="191"/>
      <c r="Q149" s="191"/>
      <c r="R149" s="191"/>
      <c r="S149" s="191"/>
      <c r="T149" s="191"/>
      <c r="U149" s="152"/>
      <c r="V149" s="11"/>
    </row>
    <row r="150" spans="2:22" hidden="1" x14ac:dyDescent="0.2">
      <c r="B150" s="7"/>
      <c r="C150" s="152"/>
      <c r="D150" s="191"/>
      <c r="E150" s="191"/>
      <c r="F150" s="191"/>
      <c r="G150" s="191"/>
      <c r="H150" s="191"/>
      <c r="I150" s="191"/>
      <c r="J150" s="191"/>
      <c r="K150" s="191"/>
      <c r="L150" s="191"/>
      <c r="M150" s="191"/>
      <c r="N150" s="191"/>
      <c r="O150" s="191"/>
      <c r="P150" s="191"/>
      <c r="Q150" s="191"/>
      <c r="R150" s="191"/>
      <c r="S150" s="191"/>
      <c r="T150" s="191"/>
      <c r="U150" s="152"/>
      <c r="V150" s="11"/>
    </row>
    <row r="151" spans="2:22" hidden="1" x14ac:dyDescent="0.2">
      <c r="B151" s="7"/>
      <c r="C151" s="152"/>
      <c r="D151" s="191"/>
      <c r="E151" s="191"/>
      <c r="F151" s="191"/>
      <c r="G151" s="191"/>
      <c r="H151" s="191"/>
      <c r="I151" s="191"/>
      <c r="J151" s="191"/>
      <c r="K151" s="191"/>
      <c r="L151" s="191"/>
      <c r="M151" s="191"/>
      <c r="N151" s="191"/>
      <c r="O151" s="191"/>
      <c r="P151" s="191"/>
      <c r="Q151" s="191"/>
      <c r="R151" s="191"/>
      <c r="S151" s="191"/>
      <c r="T151" s="191"/>
      <c r="U151" s="152"/>
      <c r="V151" s="11"/>
    </row>
    <row r="152" spans="2:22" hidden="1" x14ac:dyDescent="0.2">
      <c r="B152" s="7">
        <v>2010</v>
      </c>
      <c r="C152" s="152"/>
      <c r="D152" s="191"/>
      <c r="E152" s="191"/>
      <c r="F152" s="191"/>
      <c r="G152" s="191"/>
      <c r="H152" s="191"/>
      <c r="I152" s="191"/>
      <c r="J152" s="191"/>
      <c r="K152" s="191"/>
      <c r="L152" s="191"/>
      <c r="M152" s="191"/>
      <c r="N152" s="191"/>
      <c r="O152" s="191"/>
      <c r="P152" s="191"/>
      <c r="Q152" s="191"/>
      <c r="R152" s="191"/>
      <c r="S152" s="191"/>
      <c r="T152" s="191"/>
      <c r="U152" s="152"/>
      <c r="V152" s="8"/>
    </row>
    <row r="153" spans="2:22" hidden="1" x14ac:dyDescent="0.2">
      <c r="B153" s="7"/>
      <c r="C153" s="152"/>
      <c r="D153" s="191"/>
      <c r="E153" s="191"/>
      <c r="F153" s="191"/>
      <c r="G153" s="191"/>
      <c r="H153" s="191"/>
      <c r="I153" s="191"/>
      <c r="J153" s="191"/>
      <c r="K153" s="191"/>
      <c r="L153" s="191"/>
      <c r="M153" s="191"/>
      <c r="N153" s="191"/>
      <c r="O153" s="191"/>
      <c r="P153" s="191"/>
      <c r="Q153" s="191"/>
      <c r="R153" s="191"/>
      <c r="S153" s="191"/>
      <c r="T153" s="191"/>
      <c r="U153" s="152"/>
      <c r="V153" s="18"/>
    </row>
    <row r="154" spans="2:22" hidden="1" x14ac:dyDescent="0.2">
      <c r="B154" s="7"/>
      <c r="C154" s="152"/>
      <c r="D154" s="191"/>
      <c r="E154" s="191"/>
      <c r="F154" s="191"/>
      <c r="G154" s="191"/>
      <c r="H154" s="191"/>
      <c r="I154" s="191"/>
      <c r="J154" s="191"/>
      <c r="K154" s="191"/>
      <c r="L154" s="191"/>
      <c r="M154" s="191"/>
      <c r="N154" s="191"/>
      <c r="O154" s="191"/>
      <c r="P154" s="191"/>
      <c r="Q154" s="191"/>
      <c r="R154" s="191"/>
      <c r="S154" s="191"/>
      <c r="T154" s="191"/>
      <c r="U154" s="152"/>
      <c r="V154" s="18"/>
    </row>
    <row r="155" spans="2:22" hidden="1" x14ac:dyDescent="0.2">
      <c r="B155" s="7"/>
      <c r="C155" s="152"/>
      <c r="D155" s="191"/>
      <c r="E155" s="191"/>
      <c r="F155" s="191"/>
      <c r="G155" s="191"/>
      <c r="H155" s="191"/>
      <c r="I155" s="191"/>
      <c r="J155" s="191"/>
      <c r="K155" s="191"/>
      <c r="L155" s="191"/>
      <c r="M155" s="191"/>
      <c r="N155" s="191"/>
      <c r="O155" s="191"/>
      <c r="P155" s="191"/>
      <c r="Q155" s="191"/>
      <c r="R155" s="191"/>
      <c r="S155" s="191"/>
      <c r="T155" s="191"/>
      <c r="U155" s="152"/>
      <c r="V155" s="18"/>
    </row>
    <row r="156" spans="2:22" hidden="1" x14ac:dyDescent="0.2">
      <c r="B156" s="7"/>
      <c r="C156" s="152"/>
      <c r="D156" s="191"/>
      <c r="E156" s="191"/>
      <c r="F156" s="191"/>
      <c r="G156" s="191"/>
      <c r="H156" s="191"/>
      <c r="I156" s="191"/>
      <c r="J156" s="191"/>
      <c r="K156" s="191"/>
      <c r="L156" s="191"/>
      <c r="M156" s="191"/>
      <c r="N156" s="191"/>
      <c r="O156" s="191"/>
      <c r="P156" s="191"/>
      <c r="Q156" s="191"/>
      <c r="R156" s="191"/>
      <c r="S156" s="191"/>
      <c r="T156" s="191"/>
      <c r="U156" s="152"/>
      <c r="V156" s="18"/>
    </row>
    <row r="157" spans="2:22" hidden="1" x14ac:dyDescent="0.2">
      <c r="C157" s="152"/>
      <c r="D157" s="191"/>
      <c r="E157" s="191"/>
      <c r="F157" s="191"/>
      <c r="G157" s="191"/>
      <c r="H157" s="191"/>
      <c r="I157" s="191"/>
      <c r="J157" s="191"/>
      <c r="K157" s="191"/>
      <c r="L157" s="191"/>
      <c r="M157" s="191"/>
      <c r="N157" s="191"/>
      <c r="O157" s="191"/>
      <c r="P157" s="191"/>
      <c r="Q157" s="191"/>
      <c r="R157" s="191"/>
      <c r="S157" s="191"/>
      <c r="T157" s="191"/>
      <c r="U157" s="152"/>
      <c r="V157" s="18"/>
    </row>
    <row r="158" spans="2:22" hidden="1" x14ac:dyDescent="0.2">
      <c r="C158" s="152"/>
      <c r="D158" s="191"/>
      <c r="E158" s="191"/>
      <c r="F158" s="191"/>
      <c r="G158" s="191"/>
      <c r="H158" s="191"/>
      <c r="I158" s="191"/>
      <c r="J158" s="191"/>
      <c r="K158" s="191"/>
      <c r="L158" s="191"/>
      <c r="M158" s="191"/>
      <c r="N158" s="191"/>
      <c r="O158" s="191"/>
      <c r="P158" s="191"/>
      <c r="Q158" s="191"/>
      <c r="R158" s="191"/>
      <c r="S158" s="191"/>
      <c r="T158" s="191"/>
      <c r="U158" s="152"/>
      <c r="V158" s="18"/>
    </row>
    <row r="159" spans="2:22" hidden="1" x14ac:dyDescent="0.2">
      <c r="C159" s="152"/>
      <c r="D159" s="191"/>
      <c r="E159" s="191"/>
      <c r="F159" s="191"/>
      <c r="G159" s="191"/>
      <c r="H159" s="191"/>
      <c r="I159" s="191"/>
      <c r="J159" s="191"/>
      <c r="K159" s="191"/>
      <c r="L159" s="191"/>
      <c r="M159" s="191"/>
      <c r="N159" s="191"/>
      <c r="O159" s="191"/>
      <c r="P159" s="191"/>
      <c r="Q159" s="191"/>
      <c r="R159" s="191"/>
      <c r="S159" s="191"/>
      <c r="T159" s="191"/>
      <c r="U159" s="152"/>
      <c r="V159" s="18"/>
    </row>
    <row r="160" spans="2:22" hidden="1" x14ac:dyDescent="0.2">
      <c r="C160" s="152"/>
      <c r="D160" s="191"/>
      <c r="E160" s="191"/>
      <c r="F160" s="191"/>
      <c r="G160" s="191"/>
      <c r="H160" s="191"/>
      <c r="I160" s="191"/>
      <c r="J160" s="191"/>
      <c r="K160" s="191"/>
      <c r="L160" s="191"/>
      <c r="M160" s="191"/>
      <c r="N160" s="191"/>
      <c r="O160" s="191"/>
      <c r="P160" s="191"/>
      <c r="Q160" s="191"/>
      <c r="R160" s="191"/>
      <c r="S160" s="191"/>
      <c r="T160" s="191"/>
      <c r="U160" s="152"/>
      <c r="V160" s="18"/>
    </row>
    <row r="161" spans="3:22" hidden="1" x14ac:dyDescent="0.2">
      <c r="C161" s="152"/>
      <c r="D161" s="191"/>
      <c r="E161" s="191"/>
      <c r="F161" s="191"/>
      <c r="G161" s="191"/>
      <c r="H161" s="191"/>
      <c r="I161" s="191"/>
      <c r="J161" s="191"/>
      <c r="K161" s="191"/>
      <c r="L161" s="191"/>
      <c r="M161" s="191"/>
      <c r="N161" s="191"/>
      <c r="O161" s="191"/>
      <c r="P161" s="191"/>
      <c r="Q161" s="191"/>
      <c r="R161" s="191"/>
      <c r="S161" s="191"/>
      <c r="T161" s="191"/>
      <c r="U161" s="152"/>
      <c r="V161" s="18"/>
    </row>
    <row r="162" spans="3:22" hidden="1" x14ac:dyDescent="0.2">
      <c r="C162" s="152"/>
      <c r="D162" s="191"/>
      <c r="E162" s="191"/>
      <c r="F162" s="191"/>
      <c r="G162" s="191"/>
      <c r="H162" s="191"/>
      <c r="I162" s="191"/>
      <c r="J162" s="191"/>
      <c r="K162" s="191"/>
      <c r="L162" s="191"/>
      <c r="M162" s="191"/>
      <c r="N162" s="191"/>
      <c r="O162" s="191"/>
      <c r="P162" s="191"/>
      <c r="Q162" s="191"/>
      <c r="R162" s="191"/>
      <c r="S162" s="191"/>
      <c r="T162" s="191"/>
      <c r="U162" s="152"/>
      <c r="V162" s="19"/>
    </row>
    <row r="163" spans="3:22" hidden="1" x14ac:dyDescent="0.2">
      <c r="C163" s="152"/>
      <c r="D163" s="191"/>
      <c r="E163" s="191"/>
      <c r="F163" s="191"/>
      <c r="G163" s="191"/>
      <c r="H163" s="191"/>
      <c r="I163" s="191"/>
      <c r="J163" s="191"/>
      <c r="K163" s="191"/>
      <c r="L163" s="191"/>
      <c r="M163" s="191"/>
      <c r="N163" s="191"/>
      <c r="O163" s="191"/>
      <c r="P163" s="191"/>
      <c r="Q163" s="191"/>
      <c r="R163" s="191"/>
      <c r="S163" s="191"/>
      <c r="T163" s="191"/>
      <c r="U163" s="152"/>
      <c r="V163" s="11"/>
    </row>
    <row r="164" spans="3:22" hidden="1" x14ac:dyDescent="0.2">
      <c r="C164" s="152"/>
      <c r="D164" s="191"/>
      <c r="E164" s="191"/>
      <c r="F164" s="191"/>
      <c r="G164" s="191"/>
      <c r="H164" s="191"/>
      <c r="I164" s="191"/>
      <c r="J164" s="191"/>
      <c r="K164" s="191"/>
      <c r="L164" s="191"/>
      <c r="M164" s="191"/>
      <c r="N164" s="191"/>
      <c r="O164" s="191"/>
      <c r="P164" s="191"/>
      <c r="Q164" s="191"/>
      <c r="R164" s="191"/>
      <c r="S164" s="191"/>
      <c r="T164" s="191"/>
      <c r="U164" s="152"/>
      <c r="V164" s="11"/>
    </row>
    <row r="165" spans="3:22" hidden="1" x14ac:dyDescent="0.2">
      <c r="C165" s="152"/>
      <c r="D165" s="191"/>
      <c r="E165" s="191"/>
      <c r="F165" s="191"/>
      <c r="G165" s="191"/>
      <c r="H165" s="191"/>
      <c r="I165" s="191"/>
      <c r="J165" s="191"/>
      <c r="K165" s="191"/>
      <c r="L165" s="191"/>
      <c r="M165" s="191"/>
      <c r="N165" s="191"/>
      <c r="O165" s="191"/>
      <c r="P165" s="191"/>
      <c r="Q165" s="191"/>
      <c r="R165" s="191"/>
      <c r="S165" s="191"/>
      <c r="T165" s="191"/>
      <c r="U165" s="152"/>
      <c r="V165" s="11"/>
    </row>
    <row r="166" spans="3:22" hidden="1" x14ac:dyDescent="0.2">
      <c r="C166" s="152"/>
      <c r="D166" s="191"/>
      <c r="E166" s="191"/>
      <c r="F166" s="191"/>
      <c r="G166" s="191"/>
      <c r="H166" s="191"/>
      <c r="I166" s="191"/>
      <c r="J166" s="191"/>
      <c r="K166" s="191"/>
      <c r="L166" s="191"/>
      <c r="M166" s="191"/>
      <c r="N166" s="191"/>
      <c r="O166" s="191"/>
      <c r="P166" s="191"/>
      <c r="Q166" s="191"/>
      <c r="R166" s="191"/>
      <c r="S166" s="191"/>
      <c r="T166" s="191"/>
      <c r="U166" s="152"/>
      <c r="V166" s="11"/>
    </row>
    <row r="167" spans="3:22" hidden="1" x14ac:dyDescent="0.2">
      <c r="C167" s="152"/>
      <c r="D167" s="191"/>
      <c r="E167" s="191"/>
      <c r="F167" s="191"/>
      <c r="G167" s="191"/>
      <c r="H167" s="191"/>
      <c r="I167" s="191"/>
      <c r="J167" s="191"/>
      <c r="K167" s="191"/>
      <c r="L167" s="191"/>
      <c r="M167" s="191"/>
      <c r="N167" s="191"/>
      <c r="O167" s="191"/>
      <c r="P167" s="191"/>
      <c r="Q167" s="191"/>
      <c r="R167" s="191"/>
      <c r="S167" s="191"/>
      <c r="T167" s="191"/>
      <c r="U167" s="152"/>
      <c r="V167" s="14"/>
    </row>
    <row r="168" spans="3:22" hidden="1" x14ac:dyDescent="0.2">
      <c r="C168" s="152"/>
      <c r="D168" s="191"/>
      <c r="E168" s="191"/>
      <c r="F168" s="191"/>
      <c r="G168" s="191"/>
      <c r="H168" s="191"/>
      <c r="I168" s="191"/>
      <c r="J168" s="191"/>
      <c r="K168" s="191"/>
      <c r="L168" s="191"/>
      <c r="M168" s="191"/>
      <c r="N168" s="191"/>
      <c r="O168" s="191"/>
      <c r="P168" s="191"/>
      <c r="Q168" s="191"/>
      <c r="R168" s="191"/>
      <c r="S168" s="191"/>
      <c r="T168" s="191"/>
      <c r="U168" s="152"/>
      <c r="V168" s="14"/>
    </row>
    <row r="169" spans="3:22" hidden="1" x14ac:dyDescent="0.2">
      <c r="C169" s="152"/>
      <c r="D169" s="191"/>
      <c r="E169" s="191"/>
      <c r="F169" s="191"/>
      <c r="G169" s="191"/>
      <c r="H169" s="191"/>
      <c r="I169" s="191"/>
      <c r="J169" s="191"/>
      <c r="K169" s="191"/>
      <c r="L169" s="191"/>
      <c r="M169" s="191"/>
      <c r="N169" s="191"/>
      <c r="O169" s="191"/>
      <c r="P169" s="191"/>
      <c r="Q169" s="191"/>
      <c r="R169" s="191"/>
      <c r="S169" s="191"/>
      <c r="T169" s="191"/>
      <c r="U169" s="152"/>
      <c r="V169" s="14"/>
    </row>
    <row r="170" spans="3:22" hidden="1" x14ac:dyDescent="0.2">
      <c r="C170" s="152"/>
      <c r="D170" s="191"/>
      <c r="E170" s="191"/>
      <c r="F170" s="191"/>
      <c r="G170" s="191"/>
      <c r="H170" s="191"/>
      <c r="I170" s="191"/>
      <c r="J170" s="191"/>
      <c r="K170" s="191"/>
      <c r="L170" s="191"/>
      <c r="M170" s="191"/>
      <c r="N170" s="191"/>
      <c r="O170" s="191"/>
      <c r="P170" s="191"/>
      <c r="Q170" s="191"/>
      <c r="R170" s="191"/>
      <c r="S170" s="191"/>
      <c r="T170" s="191"/>
      <c r="U170" s="152"/>
      <c r="V170" s="14"/>
    </row>
    <row r="171" spans="3:22" hidden="1" x14ac:dyDescent="0.2">
      <c r="C171" s="152"/>
      <c r="D171" s="191"/>
      <c r="E171" s="191"/>
      <c r="F171" s="191"/>
      <c r="G171" s="191"/>
      <c r="H171" s="191"/>
      <c r="I171" s="191"/>
      <c r="J171" s="191"/>
      <c r="K171" s="191"/>
      <c r="L171" s="191"/>
      <c r="M171" s="191"/>
      <c r="N171" s="191"/>
      <c r="O171" s="191"/>
      <c r="P171" s="191"/>
      <c r="Q171" s="191"/>
      <c r="R171" s="191"/>
      <c r="S171" s="191"/>
      <c r="T171" s="191"/>
      <c r="U171" s="152"/>
      <c r="V171" s="14"/>
    </row>
    <row r="172" spans="3:22" hidden="1" x14ac:dyDescent="0.2">
      <c r="C172" s="152"/>
      <c r="D172" s="191"/>
      <c r="E172" s="191"/>
      <c r="F172" s="191"/>
      <c r="G172" s="191"/>
      <c r="H172" s="191"/>
      <c r="I172" s="191"/>
      <c r="J172" s="191"/>
      <c r="K172" s="191"/>
      <c r="L172" s="191"/>
      <c r="M172" s="191"/>
      <c r="N172" s="191"/>
      <c r="O172" s="191"/>
      <c r="P172" s="191"/>
      <c r="Q172" s="191"/>
      <c r="R172" s="191"/>
      <c r="S172" s="191"/>
      <c r="T172" s="191"/>
      <c r="U172" s="152"/>
      <c r="V172" s="14"/>
    </row>
    <row r="173" spans="3:22" hidden="1" x14ac:dyDescent="0.2">
      <c r="C173" s="152"/>
      <c r="D173" s="191"/>
      <c r="E173" s="191"/>
      <c r="F173" s="191"/>
      <c r="G173" s="191"/>
      <c r="H173" s="191"/>
      <c r="I173" s="191"/>
      <c r="J173" s="191"/>
      <c r="K173" s="191"/>
      <c r="L173" s="191"/>
      <c r="M173" s="191"/>
      <c r="N173" s="191"/>
      <c r="O173" s="191"/>
      <c r="P173" s="191"/>
      <c r="Q173" s="191"/>
      <c r="R173" s="191"/>
      <c r="S173" s="191"/>
      <c r="T173" s="191"/>
      <c r="U173" s="152"/>
      <c r="V173" s="14"/>
    </row>
    <row r="174" spans="3:22" hidden="1" x14ac:dyDescent="0.2">
      <c r="C174" s="152"/>
      <c r="D174" s="191"/>
      <c r="E174" s="191"/>
      <c r="F174" s="191"/>
      <c r="G174" s="191"/>
      <c r="H174" s="191"/>
      <c r="I174" s="191"/>
      <c r="J174" s="191"/>
      <c r="K174" s="191"/>
      <c r="L174" s="191"/>
      <c r="M174" s="191"/>
      <c r="N174" s="191"/>
      <c r="O174" s="191"/>
      <c r="P174" s="191"/>
      <c r="Q174" s="191"/>
      <c r="R174" s="191"/>
      <c r="S174" s="191"/>
      <c r="T174" s="191"/>
      <c r="U174" s="152"/>
      <c r="V174" s="14"/>
    </row>
    <row r="175" spans="3:22" hidden="1" x14ac:dyDescent="0.2">
      <c r="C175" s="152"/>
      <c r="D175" s="191"/>
      <c r="E175" s="191"/>
      <c r="F175" s="191"/>
      <c r="G175" s="191"/>
      <c r="H175" s="191"/>
      <c r="I175" s="191"/>
      <c r="J175" s="191"/>
      <c r="K175" s="191"/>
      <c r="L175" s="191"/>
      <c r="M175" s="191"/>
      <c r="N175" s="191"/>
      <c r="O175" s="191"/>
      <c r="P175" s="191"/>
      <c r="Q175" s="191"/>
      <c r="R175" s="191"/>
      <c r="S175" s="191"/>
      <c r="T175" s="191"/>
      <c r="U175" s="152"/>
      <c r="V175" s="14"/>
    </row>
    <row r="176" spans="3:22" hidden="1" x14ac:dyDescent="0.2">
      <c r="C176" s="152"/>
      <c r="D176" s="191"/>
      <c r="E176" s="191"/>
      <c r="F176" s="191"/>
      <c r="G176" s="191"/>
      <c r="H176" s="191"/>
      <c r="I176" s="191"/>
      <c r="J176" s="191"/>
      <c r="K176" s="191"/>
      <c r="L176" s="191"/>
      <c r="M176" s="191"/>
      <c r="N176" s="191"/>
      <c r="O176" s="191"/>
      <c r="P176" s="191"/>
      <c r="Q176" s="191"/>
      <c r="R176" s="191"/>
      <c r="S176" s="191"/>
      <c r="T176" s="191"/>
      <c r="U176" s="152"/>
      <c r="V176" s="14"/>
    </row>
    <row r="177" spans="2:22" hidden="1" x14ac:dyDescent="0.2">
      <c r="C177" s="152"/>
      <c r="D177" s="191"/>
      <c r="E177" s="191"/>
      <c r="F177" s="191"/>
      <c r="G177" s="191"/>
      <c r="H177" s="191"/>
      <c r="I177" s="191"/>
      <c r="J177" s="191"/>
      <c r="K177" s="191"/>
      <c r="L177" s="191"/>
      <c r="M177" s="191"/>
      <c r="N177" s="191"/>
      <c r="O177" s="191"/>
      <c r="P177" s="191"/>
      <c r="Q177" s="191"/>
      <c r="R177" s="191"/>
      <c r="S177" s="191"/>
      <c r="T177" s="191"/>
      <c r="U177" s="152"/>
      <c r="V177" s="14"/>
    </row>
    <row r="178" spans="2:22" hidden="1" x14ac:dyDescent="0.2">
      <c r="C178" s="152"/>
      <c r="D178" s="191"/>
      <c r="E178" s="191"/>
      <c r="F178" s="191"/>
      <c r="G178" s="191"/>
      <c r="H178" s="191"/>
      <c r="I178" s="191"/>
      <c r="J178" s="191"/>
      <c r="K178" s="191"/>
      <c r="L178" s="191"/>
      <c r="M178" s="191"/>
      <c r="N178" s="191"/>
      <c r="O178" s="191"/>
      <c r="P178" s="191"/>
      <c r="Q178" s="191"/>
      <c r="R178" s="191"/>
      <c r="S178" s="191"/>
      <c r="T178" s="191"/>
      <c r="U178" s="152"/>
      <c r="V178" s="20"/>
    </row>
    <row r="179" spans="2:22" ht="15.75" thickBot="1" x14ac:dyDescent="0.25">
      <c r="C179" s="152"/>
      <c r="D179" s="191"/>
      <c r="E179" s="191"/>
      <c r="F179" s="191"/>
      <c r="G179" s="191"/>
      <c r="H179" s="191"/>
      <c r="I179" s="191"/>
      <c r="J179" s="191"/>
      <c r="K179" s="191"/>
      <c r="L179" s="191"/>
      <c r="M179" s="191"/>
      <c r="N179" s="191"/>
      <c r="O179" s="191"/>
      <c r="P179" s="191"/>
      <c r="Q179" s="191"/>
      <c r="R179" s="191"/>
      <c r="S179" s="191"/>
      <c r="T179" s="191"/>
      <c r="U179" s="152"/>
      <c r="V179" s="9"/>
    </row>
    <row r="180" spans="2:22" ht="16.5" thickBot="1" x14ac:dyDescent="0.3">
      <c r="C180" s="154" t="s">
        <v>80</v>
      </c>
      <c r="D180" s="155" t="s">
        <v>8</v>
      </c>
      <c r="E180" s="155" t="s">
        <v>9</v>
      </c>
      <c r="F180" s="155" t="s">
        <v>10</v>
      </c>
      <c r="G180" s="155" t="s">
        <v>11</v>
      </c>
      <c r="H180" s="155" t="s">
        <v>12</v>
      </c>
      <c r="I180" s="155" t="s">
        <v>13</v>
      </c>
      <c r="J180" s="155" t="s">
        <v>14</v>
      </c>
      <c r="K180" s="155" t="s">
        <v>15</v>
      </c>
      <c r="L180" s="155" t="s">
        <v>16</v>
      </c>
      <c r="M180" s="155" t="s">
        <v>17</v>
      </c>
      <c r="N180" s="155" t="s">
        <v>18</v>
      </c>
      <c r="O180" s="155" t="s">
        <v>19</v>
      </c>
      <c r="P180" s="155" t="s">
        <v>20</v>
      </c>
      <c r="Q180" s="155" t="s">
        <v>21</v>
      </c>
      <c r="R180" s="155" t="s">
        <v>22</v>
      </c>
      <c r="S180" s="155" t="s">
        <v>23</v>
      </c>
      <c r="T180" s="156" t="s">
        <v>24</v>
      </c>
      <c r="U180" s="157"/>
    </row>
    <row r="181" spans="2:22" ht="15.75" x14ac:dyDescent="0.25">
      <c r="C181" s="158" t="s">
        <v>81</v>
      </c>
      <c r="D181" s="159">
        <f>(D54)*$D$91</f>
        <v>286546.36379305384</v>
      </c>
      <c r="E181" s="159">
        <f t="shared" ref="E181:S181" si="11">(E54)*$D$91</f>
        <v>576062.11995702016</v>
      </c>
      <c r="F181" s="159">
        <f t="shared" si="11"/>
        <v>1538887.5962253902</v>
      </c>
      <c r="G181" s="159">
        <f t="shared" si="11"/>
        <v>340737.77456220653</v>
      </c>
      <c r="H181" s="159">
        <f t="shared" si="11"/>
        <v>293227.49662760692</v>
      </c>
      <c r="I181" s="159">
        <f t="shared" si="11"/>
        <v>936843.2930228858</v>
      </c>
      <c r="J181" s="159">
        <f t="shared" si="11"/>
        <v>2753369.0759285926</v>
      </c>
      <c r="K181" s="159">
        <f t="shared" si="11"/>
        <v>189298.76364567026</v>
      </c>
      <c r="L181" s="159">
        <f t="shared" si="11"/>
        <v>145500.22617471128</v>
      </c>
      <c r="M181" s="159">
        <f t="shared" si="11"/>
        <v>1192211.0369213587</v>
      </c>
      <c r="N181" s="159">
        <f t="shared" si="11"/>
        <v>235324.34539481363</v>
      </c>
      <c r="O181" s="159">
        <f t="shared" si="11"/>
        <v>1106841.0062576251</v>
      </c>
      <c r="P181" s="159">
        <f t="shared" si="11"/>
        <v>58645.499325521385</v>
      </c>
      <c r="Q181" s="159">
        <f t="shared" si="11"/>
        <v>639904.05593163846</v>
      </c>
      <c r="R181" s="159">
        <f t="shared" si="11"/>
        <v>236809.04158026987</v>
      </c>
      <c r="S181" s="159">
        <f t="shared" si="11"/>
        <v>7018158.8686516341</v>
      </c>
      <c r="T181" s="160">
        <f>SUM(D181:S181)</f>
        <v>17548366.563999999</v>
      </c>
      <c r="U181" s="161"/>
    </row>
    <row r="182" spans="2:22" ht="15.75" x14ac:dyDescent="0.25">
      <c r="C182" s="162"/>
      <c r="D182" s="163"/>
      <c r="E182" s="163"/>
      <c r="F182" s="163"/>
      <c r="G182" s="163"/>
      <c r="H182" s="163"/>
      <c r="I182" s="163"/>
      <c r="J182" s="163"/>
      <c r="K182" s="163"/>
      <c r="L182" s="163"/>
      <c r="M182" s="163"/>
      <c r="N182" s="163"/>
      <c r="O182" s="163"/>
      <c r="P182" s="163"/>
      <c r="Q182" s="163"/>
      <c r="R182" s="163"/>
      <c r="S182" s="163"/>
      <c r="T182" s="164"/>
      <c r="U182" s="165"/>
    </row>
    <row r="183" spans="2:22" ht="15.75" x14ac:dyDescent="0.25">
      <c r="C183" s="166" t="s">
        <v>83</v>
      </c>
      <c r="D183" s="163">
        <f>(-D181+D86)*Kontrollpanel!$D$39</f>
        <v>-16386.216465485002</v>
      </c>
      <c r="E183" s="163">
        <f>(-E181+E86)*Kontrollpanel!$D$39</f>
        <v>64600.625727936887</v>
      </c>
      <c r="F183" s="163">
        <f>(-F181+F86)*Kontrollpanel!$D$39</f>
        <v>-69631.26574650369</v>
      </c>
      <c r="G183" s="163">
        <f>(-G181+G86)*Kontrollpanel!$D$39</f>
        <v>-14606.510465434261</v>
      </c>
      <c r="H183" s="163">
        <f>(-H181+H86)*Kontrollpanel!$D$39</f>
        <v>-11346.529107944491</v>
      </c>
      <c r="I183" s="163">
        <f>(-I181+I86)*Kontrollpanel!$D$39</f>
        <v>-45430.52606487579</v>
      </c>
      <c r="J183" s="163">
        <f>(-J181+J86)*Kontrollpanel!$D$39</f>
        <v>-389507.48195358511</v>
      </c>
      <c r="K183" s="163">
        <f>(-K181+K86)*Kontrollpanel!$D$39</f>
        <v>3378.6846303143247</v>
      </c>
      <c r="L183" s="163">
        <f>(-L181+L86)*Kontrollpanel!$D$39</f>
        <v>-16461.605013562337</v>
      </c>
      <c r="M183" s="163">
        <f>(-M181+M86)*Kontrollpanel!$D$39</f>
        <v>-192238.76029888313</v>
      </c>
      <c r="N183" s="163">
        <f>(-N181+N86)*Kontrollpanel!$D$39</f>
        <v>-41476.100506628864</v>
      </c>
      <c r="O183" s="163">
        <f>(-O181+O86)*Kontrollpanel!$D$39</f>
        <v>-54205.909067456341</v>
      </c>
      <c r="P183" s="163">
        <f>(-P181+P86)*Kontrollpanel!$D$39</f>
        <v>6273.410438411096</v>
      </c>
      <c r="Q183" s="163">
        <f>(-Q181+Q86)*Kontrollpanel!$D$39</f>
        <v>-79885.842355564993</v>
      </c>
      <c r="R183" s="163">
        <f>(-R181+R86)*Kontrollpanel!$D$39</f>
        <v>30071.935672824558</v>
      </c>
      <c r="S183" s="163">
        <f>(-S181+S86)*Kontrollpanel!$D$39</f>
        <v>826852.09057643812</v>
      </c>
      <c r="T183" s="198">
        <f>SUM(D183:S183)</f>
        <v>0</v>
      </c>
      <c r="U183" s="165"/>
    </row>
    <row r="184" spans="2:22" ht="15.75" x14ac:dyDescent="0.25">
      <c r="C184" s="166"/>
      <c r="D184" s="163"/>
      <c r="E184" s="163"/>
      <c r="F184" s="163"/>
      <c r="G184" s="163"/>
      <c r="H184" s="163"/>
      <c r="I184" s="163"/>
      <c r="J184" s="163"/>
      <c r="K184" s="163"/>
      <c r="L184" s="163"/>
      <c r="M184" s="163"/>
      <c r="N184" s="163"/>
      <c r="O184" s="163"/>
      <c r="P184" s="163"/>
      <c r="Q184" s="163"/>
      <c r="R184" s="163"/>
      <c r="S184" s="163"/>
      <c r="T184" s="164"/>
      <c r="U184" s="165"/>
    </row>
    <row r="185" spans="2:22" ht="15.75" x14ac:dyDescent="0.25">
      <c r="C185" s="166"/>
      <c r="D185" s="163">
        <f>D183/0.6</f>
        <v>-27310.360775808338</v>
      </c>
      <c r="E185" s="163">
        <f t="shared" ref="E185:S185" si="12">E183/0.6</f>
        <v>107667.70954656148</v>
      </c>
      <c r="F185" s="163">
        <f t="shared" si="12"/>
        <v>-116052.10957750615</v>
      </c>
      <c r="G185" s="163">
        <f t="shared" si="12"/>
        <v>-24344.184109057103</v>
      </c>
      <c r="H185" s="163">
        <f t="shared" si="12"/>
        <v>-18910.881846574153</v>
      </c>
      <c r="I185" s="163">
        <f t="shared" si="12"/>
        <v>-75717.543441459653</v>
      </c>
      <c r="J185" s="163">
        <f t="shared" si="12"/>
        <v>-649179.1365893085</v>
      </c>
      <c r="K185" s="163">
        <f t="shared" si="12"/>
        <v>5631.1410505238746</v>
      </c>
      <c r="L185" s="163">
        <f t="shared" si="12"/>
        <v>-27436.008355937229</v>
      </c>
      <c r="M185" s="163">
        <f t="shared" si="12"/>
        <v>-320397.93383147189</v>
      </c>
      <c r="N185" s="163">
        <f t="shared" si="12"/>
        <v>-69126.834177714773</v>
      </c>
      <c r="O185" s="163">
        <f t="shared" si="12"/>
        <v>-90343.181779093909</v>
      </c>
      <c r="P185" s="163">
        <f t="shared" si="12"/>
        <v>10455.684064018495</v>
      </c>
      <c r="Q185" s="163">
        <f t="shared" si="12"/>
        <v>-133143.07059260833</v>
      </c>
      <c r="R185" s="163">
        <f t="shared" si="12"/>
        <v>50119.892788040932</v>
      </c>
      <c r="S185" s="163">
        <f t="shared" si="12"/>
        <v>1378086.8176273969</v>
      </c>
      <c r="T185" s="167"/>
      <c r="U185" s="165"/>
    </row>
    <row r="186" spans="2:22" ht="16.5" thickBot="1" x14ac:dyDescent="0.3">
      <c r="B186" s="9"/>
      <c r="C186" s="168"/>
      <c r="D186" s="169">
        <f>-D181+D86</f>
        <v>-25209.563793053851</v>
      </c>
      <c r="E186" s="169">
        <f t="shared" ref="E186:S186" si="13">-E181+E86</f>
        <v>99385.578042979818</v>
      </c>
      <c r="F186" s="169">
        <f t="shared" si="13"/>
        <v>-107125.02422539028</v>
      </c>
      <c r="G186" s="169">
        <f t="shared" si="13"/>
        <v>-22471.554562206555</v>
      </c>
      <c r="H186" s="169">
        <f t="shared" si="13"/>
        <v>-17456.198627606907</v>
      </c>
      <c r="I186" s="169">
        <f t="shared" si="13"/>
        <v>-69893.117022885825</v>
      </c>
      <c r="J186" s="169">
        <f t="shared" si="13"/>
        <v>-599242.2799285925</v>
      </c>
      <c r="K186" s="169">
        <f t="shared" si="13"/>
        <v>5197.9763543297304</v>
      </c>
      <c r="L186" s="169">
        <f t="shared" si="13"/>
        <v>-25325.546174711286</v>
      </c>
      <c r="M186" s="169">
        <f t="shared" si="13"/>
        <v>-295751.93892135867</v>
      </c>
      <c r="N186" s="169">
        <f t="shared" si="13"/>
        <v>-63809.385394813638</v>
      </c>
      <c r="O186" s="169">
        <f t="shared" si="13"/>
        <v>-83393.706257625134</v>
      </c>
      <c r="P186" s="169">
        <f t="shared" si="13"/>
        <v>9651.4006744786093</v>
      </c>
      <c r="Q186" s="169">
        <f t="shared" si="13"/>
        <v>-122901.29593163845</v>
      </c>
      <c r="R186" s="169">
        <f t="shared" si="13"/>
        <v>46264.516419730091</v>
      </c>
      <c r="S186" s="169">
        <f t="shared" si="13"/>
        <v>1272080.1393483663</v>
      </c>
      <c r="T186" s="192"/>
      <c r="U186" s="170"/>
    </row>
    <row r="187" spans="2:22" ht="15.75" x14ac:dyDescent="0.25">
      <c r="B187" s="9"/>
      <c r="C187" s="6"/>
      <c r="D187" s="151"/>
      <c r="E187" s="193"/>
      <c r="F187" s="150"/>
      <c r="G187" s="193"/>
      <c r="H187" s="194"/>
      <c r="I187" s="114"/>
      <c r="J187" s="9"/>
      <c r="K187" s="9"/>
      <c r="L187" s="9"/>
      <c r="M187" s="9"/>
      <c r="N187" s="9"/>
      <c r="O187" s="9"/>
      <c r="P187" s="9"/>
      <c r="Q187" s="9"/>
      <c r="R187" s="9"/>
    </row>
    <row r="188" spans="2:22" ht="15.75" x14ac:dyDescent="0.25">
      <c r="B188" s="9"/>
      <c r="C188" s="9"/>
      <c r="D188" s="151"/>
      <c r="E188" s="193"/>
      <c r="F188" s="194"/>
      <c r="G188" s="193"/>
      <c r="H188" s="194"/>
      <c r="I188" s="114"/>
      <c r="J188" s="9"/>
      <c r="K188" s="9"/>
      <c r="L188" s="9"/>
      <c r="M188" s="9"/>
      <c r="N188" s="9"/>
      <c r="O188" s="9"/>
      <c r="P188" s="9"/>
      <c r="Q188" s="9"/>
      <c r="R188" s="9"/>
    </row>
    <row r="189" spans="2:22" x14ac:dyDescent="0.2">
      <c r="B189" s="9"/>
      <c r="C189" s="9"/>
      <c r="D189" s="9"/>
      <c r="E189" s="9"/>
      <c r="F189" s="9"/>
      <c r="G189" s="9"/>
      <c r="H189" s="9"/>
      <c r="I189" s="9"/>
      <c r="J189" s="9"/>
      <c r="K189" s="9"/>
      <c r="L189" s="36"/>
      <c r="N189" s="9"/>
      <c r="O189" s="36"/>
      <c r="P189" s="9"/>
      <c r="Q189" s="9"/>
      <c r="R189" s="9"/>
    </row>
    <row r="190" spans="2:22" x14ac:dyDescent="0.2">
      <c r="B190" s="9"/>
      <c r="C190" s="9"/>
      <c r="D190" s="9"/>
      <c r="E190" s="9"/>
      <c r="F190" s="9"/>
      <c r="G190" s="9"/>
      <c r="H190" s="9"/>
      <c r="I190" s="9"/>
      <c r="J190" s="9"/>
      <c r="K190" s="9"/>
      <c r="L190" s="36"/>
      <c r="N190" s="9"/>
      <c r="O190" s="36"/>
      <c r="P190" s="9"/>
      <c r="Q190" s="9"/>
      <c r="R190" s="9"/>
    </row>
    <row r="191" spans="2:22" x14ac:dyDescent="0.2">
      <c r="B191" s="9"/>
      <c r="C191" s="9"/>
      <c r="D191" s="9"/>
      <c r="E191" s="9"/>
      <c r="F191" s="9"/>
      <c r="G191" s="9"/>
      <c r="H191" s="9"/>
      <c r="I191" s="9"/>
      <c r="J191" s="9"/>
      <c r="K191" s="9"/>
      <c r="L191" s="36"/>
      <c r="O191" s="36"/>
    </row>
    <row r="192" spans="2:22" ht="16.5" thickBot="1" x14ac:dyDescent="0.3">
      <c r="B192" s="9"/>
      <c r="C192" s="9"/>
      <c r="D192" s="9"/>
      <c r="E192" s="5" t="s">
        <v>85</v>
      </c>
      <c r="F192" s="9"/>
      <c r="G192" s="9"/>
      <c r="H192" s="6"/>
      <c r="I192" s="9"/>
      <c r="J192" s="9"/>
      <c r="K192" s="9"/>
      <c r="L192" s="36"/>
      <c r="O192" s="36"/>
      <c r="S192" s="9"/>
    </row>
    <row r="193" spans="2:19" ht="16.5" thickBot="1" x14ac:dyDescent="0.3">
      <c r="B193" s="9"/>
      <c r="C193" s="9"/>
      <c r="D193" s="9"/>
      <c r="E193" s="89" t="s">
        <v>84</v>
      </c>
      <c r="F193" s="150"/>
      <c r="G193" s="150"/>
      <c r="H193" s="150"/>
      <c r="I193" s="150"/>
      <c r="J193" s="492"/>
      <c r="K193" s="9"/>
      <c r="L193" s="36"/>
      <c r="O193" s="36"/>
      <c r="S193" s="9"/>
    </row>
    <row r="194" spans="2:19" ht="15.75" x14ac:dyDescent="0.25">
      <c r="B194" s="9"/>
      <c r="C194" s="214" t="s">
        <v>8</v>
      </c>
      <c r="E194" s="220">
        <f>D183</f>
        <v>-16386.216465485002</v>
      </c>
      <c r="F194" s="193"/>
      <c r="G194" s="220">
        <f>D86</f>
        <v>261336.8</v>
      </c>
      <c r="H194" s="193">
        <f>(G194/$C$86)-G194</f>
        <v>42543.200000000012</v>
      </c>
      <c r="I194" s="193"/>
      <c r="J194" s="114"/>
      <c r="K194" s="9"/>
      <c r="L194" s="36"/>
      <c r="O194" s="36"/>
      <c r="P194" s="96"/>
      <c r="Q194" s="96"/>
      <c r="R194" s="96"/>
      <c r="S194" s="9"/>
    </row>
    <row r="195" spans="2:19" ht="15.75" x14ac:dyDescent="0.25">
      <c r="B195" s="9"/>
      <c r="C195" s="215" t="s">
        <v>9</v>
      </c>
      <c r="D195" s="36"/>
      <c r="E195" s="220">
        <f>E183</f>
        <v>64600.625727936887</v>
      </c>
      <c r="F195" s="193"/>
      <c r="G195" s="220">
        <f>E86</f>
        <v>675447.69799999997</v>
      </c>
      <c r="H195" s="193">
        <f t="shared" ref="H195:H210" si="14">(G195/$C$86)-G195</f>
        <v>109956.60199999996</v>
      </c>
      <c r="I195" s="193"/>
      <c r="J195" s="114"/>
      <c r="K195" s="9"/>
      <c r="L195" s="36"/>
      <c r="O195" s="36"/>
      <c r="S195" s="9"/>
    </row>
    <row r="196" spans="2:19" ht="15.75" x14ac:dyDescent="0.25">
      <c r="B196" s="9"/>
      <c r="C196" s="215" t="s">
        <v>10</v>
      </c>
      <c r="E196" s="220">
        <f>F183</f>
        <v>-69631.26574650369</v>
      </c>
      <c r="F196" s="193"/>
      <c r="G196" s="220">
        <f>F86</f>
        <v>1431762.5719999999</v>
      </c>
      <c r="H196" s="193">
        <f t="shared" si="14"/>
        <v>233077.62800000003</v>
      </c>
      <c r="I196" s="193"/>
      <c r="J196" s="114"/>
      <c r="K196" s="9"/>
      <c r="L196" s="36"/>
      <c r="O196" s="36"/>
      <c r="S196" s="9"/>
    </row>
    <row r="197" spans="2:19" ht="15.75" x14ac:dyDescent="0.25">
      <c r="B197" s="9"/>
      <c r="C197" s="215" t="s">
        <v>11</v>
      </c>
      <c r="E197" s="220">
        <f>G183</f>
        <v>-14606.510465434261</v>
      </c>
      <c r="F197" s="193"/>
      <c r="G197" s="220">
        <f>G86</f>
        <v>318266.21999999997</v>
      </c>
      <c r="H197" s="193">
        <f t="shared" si="14"/>
        <v>51810.780000000028</v>
      </c>
      <c r="I197" s="193"/>
      <c r="J197" s="114"/>
      <c r="K197" s="9"/>
      <c r="L197" s="36"/>
      <c r="O197" s="36"/>
      <c r="S197" s="9"/>
    </row>
    <row r="198" spans="2:19" ht="15.75" x14ac:dyDescent="0.25">
      <c r="B198" s="9"/>
      <c r="C198" s="215" t="s">
        <v>12</v>
      </c>
      <c r="D198" s="36"/>
      <c r="E198" s="220">
        <f>H183</f>
        <v>-11346.529107944491</v>
      </c>
      <c r="F198" s="193"/>
      <c r="G198" s="220">
        <f>H86</f>
        <v>275771.29800000001</v>
      </c>
      <c r="H198" s="193">
        <f t="shared" si="14"/>
        <v>44893.001999999979</v>
      </c>
      <c r="I198" s="193"/>
      <c r="J198" s="114"/>
      <c r="K198" s="9"/>
      <c r="L198" s="36"/>
      <c r="O198" s="36"/>
      <c r="S198" s="9"/>
    </row>
    <row r="199" spans="2:19" ht="15.75" x14ac:dyDescent="0.25">
      <c r="B199" s="9"/>
      <c r="C199" s="215" t="s">
        <v>13</v>
      </c>
      <c r="E199" s="220">
        <f>I183</f>
        <v>-45430.52606487579</v>
      </c>
      <c r="F199" s="193"/>
      <c r="G199" s="220">
        <f>I86</f>
        <v>866950.17599999998</v>
      </c>
      <c r="H199" s="193">
        <f t="shared" si="14"/>
        <v>141131.424</v>
      </c>
      <c r="I199" s="193"/>
      <c r="J199" s="114"/>
      <c r="K199" s="9"/>
      <c r="S199" s="9"/>
    </row>
    <row r="200" spans="2:19" ht="15.75" x14ac:dyDescent="0.25">
      <c r="B200" s="9"/>
      <c r="C200" s="215" t="s">
        <v>14</v>
      </c>
      <c r="E200" s="220">
        <f>J183</f>
        <v>-389507.48195358511</v>
      </c>
      <c r="F200" s="193"/>
      <c r="G200" s="220">
        <f>J86</f>
        <v>2154126.7960000001</v>
      </c>
      <c r="H200" s="193">
        <f t="shared" si="14"/>
        <v>350671.804</v>
      </c>
      <c r="I200" s="193"/>
      <c r="J200" s="114"/>
      <c r="K200" s="9"/>
      <c r="S200" s="9"/>
    </row>
    <row r="201" spans="2:19" ht="15.75" x14ac:dyDescent="0.25">
      <c r="C201" s="215" t="s">
        <v>15</v>
      </c>
      <c r="E201" s="220">
        <f>K183</f>
        <v>3378.6846303143247</v>
      </c>
      <c r="F201" s="193"/>
      <c r="G201" s="220">
        <f>K86</f>
        <v>194496.74</v>
      </c>
      <c r="H201" s="193">
        <f t="shared" si="14"/>
        <v>31662.260000000009</v>
      </c>
      <c r="I201" s="193"/>
      <c r="J201" s="114"/>
      <c r="K201" s="9"/>
      <c r="S201" s="9"/>
    </row>
    <row r="202" spans="2:19" ht="15.75" x14ac:dyDescent="0.25">
      <c r="C202" s="215" t="s">
        <v>16</v>
      </c>
      <c r="D202" s="9"/>
      <c r="E202" s="220">
        <f>L183</f>
        <v>-16461.605013562337</v>
      </c>
      <c r="F202" s="193"/>
      <c r="G202" s="220">
        <f>L86</f>
        <v>120174.68</v>
      </c>
      <c r="H202" s="193">
        <f t="shared" si="14"/>
        <v>19563.320000000007</v>
      </c>
      <c r="I202" s="193"/>
      <c r="J202" s="114"/>
      <c r="K202" s="9"/>
      <c r="S202" s="9"/>
    </row>
    <row r="203" spans="2:19" ht="15.75" x14ac:dyDescent="0.25">
      <c r="C203" s="215" t="s">
        <v>17</v>
      </c>
      <c r="E203" s="220">
        <f>M183</f>
        <v>-192238.76029888313</v>
      </c>
      <c r="F203" s="193"/>
      <c r="G203" s="220">
        <f>M86</f>
        <v>896459.098</v>
      </c>
      <c r="H203" s="193">
        <f t="shared" si="14"/>
        <v>145935.20200000005</v>
      </c>
      <c r="I203" s="193"/>
      <c r="J203" s="114"/>
      <c r="K203" s="9"/>
      <c r="S203" s="9"/>
    </row>
    <row r="204" spans="2:19" ht="15.75" x14ac:dyDescent="0.25">
      <c r="C204" s="215" t="s">
        <v>18</v>
      </c>
      <c r="E204" s="220">
        <f>N183</f>
        <v>-41476.100506628864</v>
      </c>
      <c r="F204" s="193"/>
      <c r="G204" s="220">
        <f>N86</f>
        <v>171514.96</v>
      </c>
      <c r="H204" s="193">
        <f t="shared" si="14"/>
        <v>27921.040000000008</v>
      </c>
      <c r="I204" s="193"/>
      <c r="J204" s="114"/>
      <c r="K204" s="9"/>
      <c r="S204" s="9"/>
    </row>
    <row r="205" spans="2:19" ht="15.75" x14ac:dyDescent="0.25">
      <c r="C205" s="215" t="s">
        <v>19</v>
      </c>
      <c r="E205" s="220">
        <f>O183</f>
        <v>-54205.909067456341</v>
      </c>
      <c r="F205" s="193"/>
      <c r="G205" s="220">
        <f>O86</f>
        <v>1023447.2999999999</v>
      </c>
      <c r="H205" s="193">
        <f t="shared" si="14"/>
        <v>166607.70000000007</v>
      </c>
      <c r="I205" s="193"/>
      <c r="J205" s="114"/>
      <c r="K205" s="9"/>
      <c r="S205" s="9"/>
    </row>
    <row r="206" spans="2:19" ht="15.75" x14ac:dyDescent="0.25">
      <c r="C206" s="215" t="s">
        <v>20</v>
      </c>
      <c r="E206" s="220">
        <f>P183</f>
        <v>6273.410438411096</v>
      </c>
      <c r="F206" s="193"/>
      <c r="G206" s="220">
        <f>P86</f>
        <v>68296.899999999994</v>
      </c>
      <c r="H206" s="193">
        <f t="shared" si="14"/>
        <v>11118.100000000006</v>
      </c>
      <c r="I206" s="193"/>
      <c r="J206" s="114"/>
      <c r="K206" s="9"/>
      <c r="S206" s="9"/>
    </row>
    <row r="207" spans="2:19" ht="15.75" x14ac:dyDescent="0.25">
      <c r="C207" s="215" t="s">
        <v>21</v>
      </c>
      <c r="E207" s="220">
        <f>Q183</f>
        <v>-79885.842355564993</v>
      </c>
      <c r="F207" s="193"/>
      <c r="G207" s="220">
        <f>Q86</f>
        <v>517002.76</v>
      </c>
      <c r="H207" s="193">
        <f t="shared" si="14"/>
        <v>84163.239999999991</v>
      </c>
      <c r="I207" s="193"/>
      <c r="J207" s="114"/>
      <c r="K207" s="9"/>
      <c r="S207" s="9"/>
    </row>
    <row r="208" spans="2:19" ht="15.75" x14ac:dyDescent="0.25">
      <c r="C208" s="215" t="s">
        <v>22</v>
      </c>
      <c r="E208" s="220">
        <f>R183</f>
        <v>30071.935672824558</v>
      </c>
      <c r="F208" s="193"/>
      <c r="G208" s="220">
        <f>R86</f>
        <v>283073.55799999996</v>
      </c>
      <c r="H208" s="193">
        <f t="shared" si="14"/>
        <v>46081.742000000027</v>
      </c>
      <c r="I208" s="193"/>
      <c r="J208" s="114"/>
      <c r="K208" s="9"/>
      <c r="S208" s="9"/>
    </row>
    <row r="209" spans="3:19" ht="16.5" thickBot="1" x14ac:dyDescent="0.3">
      <c r="C209" s="216" t="s">
        <v>23</v>
      </c>
      <c r="E209" s="221">
        <f>S183</f>
        <v>826852.09057643812</v>
      </c>
      <c r="F209" s="193"/>
      <c r="G209" s="221">
        <f>S86</f>
        <v>8290239.0080000004</v>
      </c>
      <c r="H209" s="193">
        <f t="shared" si="14"/>
        <v>1349573.7920000004</v>
      </c>
      <c r="I209" s="193"/>
      <c r="J209" s="114"/>
      <c r="K209" s="9"/>
      <c r="S209" s="9"/>
    </row>
    <row r="210" spans="3:19" ht="15.75" x14ac:dyDescent="0.25">
      <c r="D210" s="9"/>
      <c r="E210" s="222">
        <f>SUM(E194:E209)</f>
        <v>0</v>
      </c>
      <c r="F210" s="222"/>
      <c r="G210" s="222">
        <f>SUM(G194:G209)</f>
        <v>17548366.564000003</v>
      </c>
      <c r="H210" s="222">
        <f t="shared" si="14"/>
        <v>2856710.8359999992</v>
      </c>
      <c r="I210" s="222"/>
      <c r="J210" s="6"/>
      <c r="K210" s="9"/>
      <c r="S210" s="9"/>
    </row>
    <row r="211" spans="3:19" x14ac:dyDescent="0.2">
      <c r="D211" s="9"/>
      <c r="E211" s="21"/>
      <c r="F211" s="9"/>
      <c r="G211" s="9"/>
      <c r="H211" s="9"/>
      <c r="I211" s="9"/>
      <c r="J211" s="9"/>
      <c r="K211" s="9"/>
      <c r="S211" s="9"/>
    </row>
    <row r="212" spans="3:19" x14ac:dyDescent="0.2">
      <c r="D212" s="9"/>
      <c r="E212" s="21"/>
      <c r="F212" s="9"/>
      <c r="G212" s="9"/>
      <c r="H212" s="9"/>
      <c r="I212" s="9"/>
      <c r="J212" s="9"/>
      <c r="K212" s="9"/>
      <c r="S212" s="9"/>
    </row>
    <row r="213" spans="3:19" x14ac:dyDescent="0.2">
      <c r="D213" s="9"/>
      <c r="E213" s="21"/>
      <c r="F213" s="9"/>
      <c r="G213" s="9"/>
      <c r="H213" s="9"/>
      <c r="I213" s="9"/>
      <c r="J213" s="9"/>
      <c r="K213" s="9"/>
      <c r="S213" s="9"/>
    </row>
    <row r="214" spans="3:19" x14ac:dyDescent="0.2">
      <c r="D214" s="9"/>
      <c r="E214" s="21"/>
      <c r="F214" s="9"/>
      <c r="G214" s="9"/>
      <c r="H214" s="9"/>
      <c r="I214" s="9"/>
      <c r="J214" s="9"/>
      <c r="K214" s="9"/>
      <c r="S214" s="9"/>
    </row>
    <row r="215" spans="3:19" x14ac:dyDescent="0.2">
      <c r="D215" s="9"/>
      <c r="E215" s="21"/>
      <c r="F215" s="9"/>
      <c r="G215" s="9"/>
      <c r="H215" s="9"/>
      <c r="I215" s="9"/>
      <c r="J215" s="9"/>
      <c r="S215" s="9"/>
    </row>
    <row r="216" spans="3:19" x14ac:dyDescent="0.2">
      <c r="D216" s="9"/>
      <c r="E216" s="21"/>
      <c r="F216" s="9"/>
      <c r="G216" s="9"/>
      <c r="H216" s="9"/>
      <c r="I216" s="9"/>
      <c r="J216" s="9"/>
      <c r="S216" s="9"/>
    </row>
    <row r="217" spans="3:19" x14ac:dyDescent="0.2">
      <c r="D217" s="9"/>
      <c r="E217" s="9"/>
      <c r="F217" s="9"/>
      <c r="G217" s="9"/>
      <c r="H217" s="9"/>
      <c r="I217" s="9"/>
      <c r="J217" s="9"/>
      <c r="S217" s="9"/>
    </row>
    <row r="218" spans="3:19" x14ac:dyDescent="0.2">
      <c r="D218" s="9"/>
      <c r="E218" s="36"/>
      <c r="F218" s="9"/>
      <c r="G218" s="9"/>
      <c r="H218" s="9"/>
      <c r="I218" s="9"/>
      <c r="J218" s="9"/>
      <c r="K218" s="9"/>
      <c r="L218" s="9"/>
      <c r="M218" s="9"/>
      <c r="N218" s="9"/>
      <c r="O218" s="9"/>
      <c r="S218" s="9"/>
    </row>
    <row r="219" spans="3:19" ht="15.75" x14ac:dyDescent="0.25">
      <c r="D219" s="9"/>
      <c r="E219" s="9"/>
      <c r="F219" s="9"/>
      <c r="G219" s="9"/>
      <c r="H219" s="9"/>
      <c r="I219" s="9"/>
      <c r="J219" s="9"/>
      <c r="K219" s="9"/>
      <c r="L219" s="9"/>
      <c r="M219" s="6"/>
      <c r="N219" s="9"/>
      <c r="O219" s="9"/>
      <c r="R219" s="9"/>
    </row>
    <row r="220" spans="3:19" x14ac:dyDescent="0.2">
      <c r="D220" s="9"/>
      <c r="E220" s="9"/>
      <c r="F220" s="9"/>
      <c r="G220" s="9"/>
      <c r="H220" s="194"/>
      <c r="I220" s="194"/>
      <c r="J220" s="194"/>
      <c r="K220" s="195"/>
      <c r="L220" s="194"/>
      <c r="M220" s="194"/>
      <c r="N220" s="194"/>
      <c r="O220" s="9"/>
      <c r="R220" s="9"/>
    </row>
    <row r="221" spans="3:19" ht="15.75" x14ac:dyDescent="0.25">
      <c r="D221" s="9"/>
      <c r="E221" s="9"/>
      <c r="F221" s="9"/>
      <c r="G221" s="114"/>
      <c r="H221" s="193"/>
      <c r="I221" s="96"/>
      <c r="J221" s="193"/>
      <c r="K221" s="193"/>
      <c r="L221" s="194"/>
      <c r="M221" s="196"/>
      <c r="N221" s="194"/>
      <c r="O221" s="9"/>
      <c r="R221" s="9"/>
    </row>
    <row r="222" spans="3:19" ht="15.75" x14ac:dyDescent="0.25">
      <c r="F222" s="9"/>
      <c r="G222" s="37"/>
      <c r="H222" s="193"/>
      <c r="I222" s="194"/>
      <c r="J222" s="193"/>
      <c r="K222" s="193"/>
      <c r="L222" s="194"/>
      <c r="M222" s="196"/>
      <c r="N222" s="194"/>
      <c r="O222" s="9"/>
    </row>
    <row r="223" spans="3:19" ht="15.75" x14ac:dyDescent="0.25">
      <c r="F223" s="9"/>
      <c r="G223" s="37"/>
      <c r="H223" s="193"/>
      <c r="I223" s="194"/>
      <c r="J223" s="193"/>
      <c r="K223" s="193"/>
      <c r="L223" s="194"/>
      <c r="M223" s="196"/>
      <c r="N223" s="194"/>
      <c r="O223" s="9"/>
    </row>
    <row r="224" spans="3:19" ht="15.75" x14ac:dyDescent="0.25">
      <c r="F224" s="9"/>
      <c r="G224" s="197"/>
      <c r="H224" s="193"/>
      <c r="I224" s="194"/>
      <c r="J224" s="193"/>
      <c r="K224" s="193"/>
      <c r="L224" s="194"/>
      <c r="M224" s="196"/>
      <c r="N224" s="194"/>
      <c r="O224" s="9"/>
    </row>
    <row r="225" spans="4:15" ht="15.75" x14ac:dyDescent="0.25">
      <c r="F225" s="9"/>
      <c r="G225" s="197"/>
      <c r="H225" s="193"/>
      <c r="I225" s="194"/>
      <c r="J225" s="193"/>
      <c r="K225" s="193"/>
      <c r="L225" s="194"/>
      <c r="M225" s="196"/>
      <c r="N225" s="194"/>
      <c r="O225" s="9"/>
    </row>
    <row r="226" spans="4:15" ht="15.75" x14ac:dyDescent="0.25">
      <c r="F226" s="9"/>
      <c r="G226" s="37"/>
      <c r="H226" s="193"/>
      <c r="I226" s="194"/>
      <c r="J226" s="193"/>
      <c r="K226" s="193"/>
      <c r="L226" s="194"/>
      <c r="M226" s="196"/>
      <c r="N226" s="194"/>
      <c r="O226" s="9"/>
    </row>
    <row r="227" spans="4:15" ht="15.75" x14ac:dyDescent="0.25">
      <c r="F227" s="9"/>
      <c r="G227" s="37"/>
      <c r="H227" s="193"/>
      <c r="I227" s="194"/>
      <c r="J227" s="193"/>
      <c r="K227" s="193"/>
      <c r="L227" s="194"/>
      <c r="M227" s="196"/>
      <c r="N227" s="194"/>
      <c r="O227" s="9"/>
    </row>
    <row r="228" spans="4:15" ht="15.75" x14ac:dyDescent="0.25">
      <c r="F228" s="9"/>
      <c r="G228" s="197"/>
      <c r="H228" s="193"/>
      <c r="I228" s="194"/>
      <c r="J228" s="193"/>
      <c r="K228" s="193"/>
      <c r="L228" s="194"/>
      <c r="M228" s="196"/>
      <c r="N228" s="194"/>
      <c r="O228" s="9"/>
    </row>
    <row r="229" spans="4:15" ht="15.75" x14ac:dyDescent="0.25">
      <c r="F229" s="9"/>
      <c r="G229" s="197"/>
      <c r="H229" s="193"/>
      <c r="I229" s="194"/>
      <c r="J229" s="193"/>
      <c r="K229" s="193"/>
      <c r="L229" s="194"/>
      <c r="M229" s="196"/>
      <c r="N229" s="194"/>
      <c r="O229" s="9"/>
    </row>
    <row r="230" spans="4:15" ht="15.75" x14ac:dyDescent="0.25">
      <c r="F230" s="9"/>
      <c r="G230" s="37"/>
      <c r="H230" s="193"/>
      <c r="I230" s="194"/>
      <c r="J230" s="193"/>
      <c r="K230" s="193"/>
      <c r="L230" s="194"/>
      <c r="M230" s="196"/>
      <c r="N230" s="194"/>
      <c r="O230" s="9"/>
    </row>
    <row r="231" spans="4:15" ht="15.75" x14ac:dyDescent="0.25">
      <c r="F231" s="9"/>
      <c r="G231" s="37"/>
      <c r="H231" s="193"/>
      <c r="I231" s="194"/>
      <c r="J231" s="193"/>
      <c r="K231" s="193"/>
      <c r="L231" s="194"/>
      <c r="M231" s="196"/>
      <c r="N231" s="194"/>
      <c r="O231" s="9"/>
    </row>
    <row r="232" spans="4:15" ht="15.75" x14ac:dyDescent="0.25">
      <c r="F232" s="9"/>
      <c r="G232" s="37"/>
      <c r="H232" s="193"/>
      <c r="I232" s="194"/>
      <c r="J232" s="193"/>
      <c r="K232" s="193"/>
      <c r="L232" s="194"/>
      <c r="M232" s="196"/>
      <c r="N232" s="194"/>
      <c r="O232" s="9"/>
    </row>
    <row r="233" spans="4:15" ht="15.75" x14ac:dyDescent="0.25">
      <c r="F233" s="9"/>
      <c r="G233" s="197"/>
      <c r="H233" s="193"/>
      <c r="I233" s="194"/>
      <c r="J233" s="193"/>
      <c r="K233" s="193"/>
      <c r="L233" s="194"/>
      <c r="M233" s="196"/>
      <c r="N233" s="194"/>
      <c r="O233" s="9"/>
    </row>
    <row r="234" spans="4:15" ht="15.75" x14ac:dyDescent="0.25">
      <c r="F234" s="9"/>
      <c r="G234" s="37"/>
      <c r="H234" s="193"/>
      <c r="I234" s="194"/>
      <c r="J234" s="193"/>
      <c r="K234" s="193"/>
      <c r="L234" s="194"/>
      <c r="M234" s="196"/>
      <c r="N234" s="194"/>
      <c r="O234" s="9"/>
    </row>
    <row r="235" spans="4:15" ht="15.75" x14ac:dyDescent="0.25">
      <c r="F235" s="9"/>
      <c r="G235" s="197"/>
      <c r="H235" s="193"/>
      <c r="I235" s="194"/>
      <c r="J235" s="193"/>
      <c r="K235" s="193"/>
      <c r="L235" s="194"/>
      <c r="M235" s="196"/>
      <c r="N235" s="194"/>
      <c r="O235" s="9"/>
    </row>
    <row r="236" spans="4:15" ht="15.75" x14ac:dyDescent="0.25">
      <c r="F236" s="9"/>
      <c r="G236" s="37"/>
      <c r="H236" s="193"/>
      <c r="I236" s="194"/>
      <c r="J236" s="193"/>
      <c r="K236" s="193"/>
      <c r="L236" s="194"/>
      <c r="M236" s="196"/>
      <c r="N236" s="194"/>
      <c r="O236" s="9"/>
    </row>
    <row r="237" spans="4:15" ht="15.75" x14ac:dyDescent="0.25">
      <c r="F237" s="9"/>
      <c r="G237" s="9"/>
      <c r="H237" s="222"/>
      <c r="I237" s="6"/>
      <c r="J237" s="222"/>
      <c r="K237" s="222"/>
      <c r="L237" s="6"/>
      <c r="M237" s="6"/>
      <c r="N237" s="6"/>
      <c r="O237" s="9"/>
    </row>
    <row r="238" spans="4:15" x14ac:dyDescent="0.2">
      <c r="F238" s="9"/>
      <c r="G238" s="9"/>
      <c r="H238" s="9"/>
      <c r="I238" s="9"/>
      <c r="J238" s="9"/>
      <c r="K238" s="9"/>
      <c r="L238" s="9"/>
      <c r="M238" s="9"/>
      <c r="N238" s="9"/>
      <c r="O238" s="9"/>
    </row>
    <row r="239" spans="4:15" x14ac:dyDescent="0.2">
      <c r="E239" s="119"/>
      <c r="F239" s="117"/>
      <c r="G239" s="117"/>
      <c r="H239" s="9"/>
      <c r="I239" s="9"/>
      <c r="J239" s="9"/>
      <c r="K239" s="9"/>
      <c r="L239" s="9"/>
      <c r="M239" s="9"/>
      <c r="N239" s="9"/>
      <c r="O239" s="9"/>
    </row>
    <row r="240" spans="4:15" x14ac:dyDescent="0.2">
      <c r="D240" s="116"/>
      <c r="E240" s="116"/>
      <c r="F240" s="116"/>
      <c r="G240" s="116"/>
      <c r="H240" s="116"/>
      <c r="I240" s="116"/>
      <c r="J240" s="116"/>
      <c r="K240" s="116"/>
      <c r="L240" s="9"/>
      <c r="M240" s="9"/>
      <c r="N240" s="9"/>
      <c r="O240" s="9"/>
    </row>
    <row r="241" spans="6:15" ht="15.75" x14ac:dyDescent="0.25">
      <c r="F241" s="9"/>
      <c r="G241" s="9"/>
      <c r="H241" s="9"/>
      <c r="I241" s="150"/>
      <c r="J241" s="184"/>
      <c r="K241" s="9"/>
      <c r="L241" s="9"/>
      <c r="M241" s="9"/>
      <c r="N241" s="9"/>
      <c r="O241" s="9"/>
    </row>
    <row r="242" spans="6:15" ht="15.75" x14ac:dyDescent="0.25">
      <c r="F242" s="9"/>
      <c r="G242" s="9"/>
      <c r="H242" s="9"/>
      <c r="I242" s="150"/>
      <c r="J242" s="184"/>
      <c r="K242" s="9"/>
      <c r="L242" s="9"/>
      <c r="M242" s="9"/>
      <c r="N242" s="9"/>
      <c r="O242" s="9"/>
    </row>
    <row r="243" spans="6:15" x14ac:dyDescent="0.2">
      <c r="F243" s="9"/>
      <c r="G243" s="9"/>
      <c r="H243" s="9"/>
      <c r="I243" s="9"/>
      <c r="J243" s="9"/>
      <c r="K243" s="9"/>
      <c r="L243" s="9"/>
      <c r="M243" s="9"/>
      <c r="N243" s="9"/>
      <c r="O243" s="9"/>
    </row>
    <row r="244" spans="6:15" x14ac:dyDescent="0.2">
      <c r="I244" s="1" t="s">
        <v>86</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245"/>
  <sheetViews>
    <sheetView topLeftCell="A61" zoomScale="70" zoomScaleNormal="70" workbookViewId="0">
      <selection activeCell="K92" sqref="K92"/>
    </sheetView>
  </sheetViews>
  <sheetFormatPr defaultColWidth="8.88671875" defaultRowHeight="15" x14ac:dyDescent="0.2"/>
  <cols>
    <col min="1" max="1" width="2.21875" style="1" customWidth="1"/>
    <col min="2" max="2" width="2" style="1" customWidth="1"/>
    <col min="3" max="3" width="32.6640625" style="1" customWidth="1"/>
    <col min="4" max="4" width="10.6640625" style="1" customWidth="1"/>
    <col min="5" max="5" width="16" style="1" customWidth="1"/>
    <col min="6" max="6" width="13.6640625" style="1" bestFit="1" customWidth="1"/>
    <col min="7" max="7" width="12.109375" style="1" customWidth="1"/>
    <col min="8" max="8" width="14.6640625" style="1" customWidth="1"/>
    <col min="9" max="9" width="15.77734375" style="1" customWidth="1"/>
    <col min="10" max="10" width="15.88671875" style="1" customWidth="1"/>
    <col min="11" max="11" width="12.109375" style="1" customWidth="1"/>
    <col min="12" max="12" width="10.6640625" style="1" customWidth="1"/>
    <col min="13" max="13" width="10.77734375" style="1" customWidth="1"/>
    <col min="14" max="14" width="9.44140625" style="1" bestFit="1" customWidth="1"/>
    <col min="15" max="15" width="13.6640625" style="1" bestFit="1" customWidth="1"/>
    <col min="16" max="16" width="9.109375" style="1" bestFit="1" customWidth="1"/>
    <col min="17" max="17" width="10.5546875" style="1" bestFit="1" customWidth="1"/>
    <col min="18" max="18" width="13.6640625" style="1" bestFit="1" customWidth="1"/>
    <col min="19" max="19" width="11.5546875" style="1" customWidth="1"/>
    <col min="20" max="20" width="14.77734375" style="1" customWidth="1"/>
    <col min="21" max="21" width="15.88671875" style="1" customWidth="1"/>
    <col min="22" max="22" width="5.44140625" style="1" customWidth="1"/>
    <col min="23" max="16384" width="8.88671875" style="1"/>
  </cols>
  <sheetData>
    <row r="2" spans="3:8" ht="23.25" thickBot="1" x14ac:dyDescent="0.35">
      <c r="C2" s="225" t="s">
        <v>65</v>
      </c>
      <c r="D2" s="121"/>
      <c r="E2" s="120"/>
      <c r="F2" s="120"/>
      <c r="G2" s="120"/>
    </row>
    <row r="3" spans="3:8" ht="15.75" thickTop="1" x14ac:dyDescent="0.2"/>
    <row r="5" spans="3:8" ht="17.25" customHeight="1" thickBot="1" x14ac:dyDescent="0.3">
      <c r="C5" s="223" t="s">
        <v>98</v>
      </c>
      <c r="D5" s="224"/>
      <c r="E5" s="224"/>
      <c r="F5" s="224"/>
      <c r="G5" s="224"/>
      <c r="H5" s="224"/>
    </row>
    <row r="6" spans="3:8" ht="17.25" hidden="1" customHeight="1" thickTop="1" x14ac:dyDescent="0.2"/>
    <row r="7" spans="3:8" ht="17.25" hidden="1" customHeight="1" x14ac:dyDescent="0.2"/>
    <row r="8" spans="3:8" ht="17.25" hidden="1" customHeight="1" x14ac:dyDescent="0.2"/>
    <row r="9" spans="3:8" ht="17.25" hidden="1" customHeight="1" x14ac:dyDescent="0.2"/>
    <row r="10" spans="3:8" ht="17.25" hidden="1" customHeight="1" x14ac:dyDescent="0.2"/>
    <row r="11" spans="3:8" ht="17.25" hidden="1" customHeight="1" x14ac:dyDescent="0.2"/>
    <row r="12" spans="3:8" ht="17.25" hidden="1" customHeight="1" x14ac:dyDescent="0.2"/>
    <row r="13" spans="3:8" ht="17.25" hidden="1" customHeight="1" x14ac:dyDescent="0.2"/>
    <row r="14" spans="3:8" ht="17.25" hidden="1" customHeight="1" x14ac:dyDescent="0.2"/>
    <row r="15" spans="3:8" ht="17.25" hidden="1" customHeight="1" x14ac:dyDescent="0.2"/>
    <row r="16" spans="3:8" ht="15" hidden="1" customHeight="1" x14ac:dyDescent="0.2"/>
    <row r="17" spans="2:13" ht="15" hidden="1" customHeight="1" x14ac:dyDescent="0.2"/>
    <row r="18" spans="2:13" ht="15" hidden="1" customHeight="1" x14ac:dyDescent="0.2"/>
    <row r="19" spans="2:13" ht="15" hidden="1" customHeight="1" x14ac:dyDescent="0.2"/>
    <row r="20" spans="2:13" ht="15" hidden="1" customHeight="1" x14ac:dyDescent="0.2"/>
    <row r="21" spans="2:13" ht="15" hidden="1" customHeight="1" x14ac:dyDescent="0.2"/>
    <row r="22" spans="2:13" ht="15" hidden="1" customHeight="1" x14ac:dyDescent="0.2"/>
    <row r="23" spans="2:13" ht="15" hidden="1" customHeight="1" x14ac:dyDescent="0.2"/>
    <row r="24" spans="2:13" ht="15" hidden="1" customHeight="1" x14ac:dyDescent="0.2"/>
    <row r="25" spans="2:13" ht="15.75" thickTop="1" x14ac:dyDescent="0.2"/>
    <row r="27" spans="2:13" ht="17.25" thickBot="1" x14ac:dyDescent="0.3">
      <c r="B27" s="34"/>
      <c r="C27" s="227" t="s">
        <v>97</v>
      </c>
      <c r="D27" s="227"/>
      <c r="E27" s="227"/>
      <c r="F27" s="227"/>
      <c r="G27" s="227"/>
      <c r="H27" s="226"/>
    </row>
    <row r="28" spans="2:13" ht="15.75" thickTop="1" x14ac:dyDescent="0.2">
      <c r="H28" s="9"/>
      <c r="I28" s="9"/>
      <c r="J28" s="9"/>
    </row>
    <row r="29" spans="2:13" ht="15.75" x14ac:dyDescent="0.25">
      <c r="H29" s="9"/>
      <c r="I29" s="46"/>
      <c r="J29" s="9"/>
      <c r="L29" s="9"/>
    </row>
    <row r="30" spans="2:13" ht="15.75" x14ac:dyDescent="0.25">
      <c r="H30" s="9"/>
      <c r="I30" s="46"/>
      <c r="J30" s="124"/>
      <c r="L30" s="123"/>
      <c r="M30" s="45"/>
    </row>
    <row r="31" spans="2:13" ht="15.75" x14ac:dyDescent="0.25">
      <c r="H31" s="9"/>
      <c r="I31" s="46"/>
      <c r="J31" s="124"/>
      <c r="L31" s="46"/>
      <c r="M31" s="46"/>
    </row>
    <row r="32" spans="2:13" ht="15.75" x14ac:dyDescent="0.25">
      <c r="H32" s="9"/>
      <c r="I32" s="46"/>
      <c r="J32" s="124"/>
      <c r="L32" s="125"/>
      <c r="M32" s="46"/>
    </row>
    <row r="33" spans="1:23" ht="15.75" x14ac:dyDescent="0.25">
      <c r="H33" s="9"/>
      <c r="I33" s="46"/>
      <c r="J33" s="124"/>
      <c r="K33" s="9"/>
      <c r="L33" s="125"/>
      <c r="M33" s="46"/>
    </row>
    <row r="34" spans="1:23" ht="15.75" x14ac:dyDescent="0.25">
      <c r="H34" s="9"/>
      <c r="I34" s="46"/>
      <c r="J34" s="124"/>
      <c r="K34" s="9"/>
      <c r="L34" s="125"/>
      <c r="M34" s="46"/>
    </row>
    <row r="35" spans="1:23" ht="15.75" x14ac:dyDescent="0.25">
      <c r="H35" s="9"/>
      <c r="I35" s="9"/>
      <c r="J35" s="46"/>
      <c r="K35" s="124"/>
      <c r="L35" s="125"/>
      <c r="M35" s="46"/>
    </row>
    <row r="36" spans="1:23" ht="15.75" x14ac:dyDescent="0.25">
      <c r="H36" s="9"/>
      <c r="I36" s="9"/>
      <c r="J36" s="46"/>
      <c r="K36" s="124"/>
      <c r="L36" s="125"/>
      <c r="M36" s="46"/>
    </row>
    <row r="37" spans="1:23" x14ac:dyDescent="0.2">
      <c r="I37" s="9"/>
      <c r="J37" s="9"/>
      <c r="K37" s="9"/>
      <c r="L37" s="9"/>
      <c r="M37" s="9"/>
    </row>
    <row r="38" spans="1:23" x14ac:dyDescent="0.2">
      <c r="M38" s="9"/>
    </row>
    <row r="39" spans="1:23" ht="15.75" thickBot="1" x14ac:dyDescent="0.25">
      <c r="V39" s="9"/>
      <c r="W39" s="9"/>
    </row>
    <row r="40" spans="1:23" ht="15.75" x14ac:dyDescent="0.25">
      <c r="C40" s="2"/>
      <c r="D40" s="3"/>
      <c r="E40" s="3"/>
      <c r="F40" s="3"/>
      <c r="G40" s="3"/>
      <c r="H40" s="3"/>
      <c r="I40" s="3"/>
      <c r="J40" s="3"/>
      <c r="K40" s="3"/>
      <c r="L40" s="3"/>
      <c r="M40" s="3"/>
      <c r="N40" s="3"/>
      <c r="O40" s="3"/>
      <c r="P40" s="3"/>
      <c r="Q40" s="3"/>
      <c r="R40" s="3"/>
      <c r="S40" s="3"/>
      <c r="T40" s="3"/>
      <c r="U40" s="4"/>
      <c r="V40" s="6"/>
      <c r="W40" s="9"/>
    </row>
    <row r="41" spans="1:23" ht="16.5" thickBot="1" x14ac:dyDescent="0.3">
      <c r="B41" s="5"/>
      <c r="C41" s="52" t="s">
        <v>475</v>
      </c>
      <c r="D41" s="75" t="s">
        <v>477</v>
      </c>
      <c r="E41" s="9"/>
      <c r="F41" s="9"/>
      <c r="G41" s="9"/>
      <c r="H41" s="9"/>
      <c r="I41" s="9"/>
      <c r="J41" s="9"/>
      <c r="K41" s="9"/>
      <c r="L41" s="9"/>
      <c r="M41" s="9"/>
      <c r="N41" s="9"/>
      <c r="O41" s="9"/>
      <c r="P41" s="9"/>
      <c r="Q41" s="9"/>
      <c r="R41" s="9"/>
      <c r="S41" s="9"/>
      <c r="T41" s="9"/>
      <c r="U41" s="108" t="s">
        <v>47</v>
      </c>
      <c r="V41" s="6"/>
      <c r="W41" s="9"/>
    </row>
    <row r="42" spans="1:23" ht="15.75" x14ac:dyDescent="0.25">
      <c r="C42" s="122" t="s">
        <v>66</v>
      </c>
      <c r="D42" s="126" t="s">
        <v>8</v>
      </c>
      <c r="E42" s="57" t="s">
        <v>9</v>
      </c>
      <c r="F42" s="57" t="s">
        <v>10</v>
      </c>
      <c r="G42" s="57" t="s">
        <v>11</v>
      </c>
      <c r="H42" s="57" t="s">
        <v>12</v>
      </c>
      <c r="I42" s="57" t="s">
        <v>13</v>
      </c>
      <c r="J42" s="57" t="s">
        <v>14</v>
      </c>
      <c r="K42" s="57" t="s">
        <v>15</v>
      </c>
      <c r="L42" s="57" t="s">
        <v>16</v>
      </c>
      <c r="M42" s="57" t="s">
        <v>17</v>
      </c>
      <c r="N42" s="57" t="s">
        <v>18</v>
      </c>
      <c r="O42" s="57" t="s">
        <v>19</v>
      </c>
      <c r="P42" s="57" t="s">
        <v>20</v>
      </c>
      <c r="Q42" s="57" t="s">
        <v>21</v>
      </c>
      <c r="R42" s="57" t="s">
        <v>22</v>
      </c>
      <c r="S42" s="57" t="s">
        <v>23</v>
      </c>
      <c r="T42" s="127" t="s">
        <v>24</v>
      </c>
      <c r="U42" s="128"/>
      <c r="V42" s="9"/>
      <c r="W42" s="9"/>
    </row>
    <row r="43" spans="1:23" ht="15.75" x14ac:dyDescent="0.25">
      <c r="B43" s="7"/>
      <c r="C43" s="129" t="s">
        <v>67</v>
      </c>
      <c r="D43" s="130">
        <v>385</v>
      </c>
      <c r="E43" s="54">
        <v>771</v>
      </c>
      <c r="F43" s="54">
        <v>2065</v>
      </c>
      <c r="G43" s="54">
        <v>451</v>
      </c>
      <c r="H43" s="54">
        <v>394</v>
      </c>
      <c r="I43" s="54">
        <v>1268</v>
      </c>
      <c r="J43" s="54">
        <v>3760</v>
      </c>
      <c r="K43" s="54">
        <v>250</v>
      </c>
      <c r="L43" s="54">
        <v>198</v>
      </c>
      <c r="M43" s="54">
        <v>1642</v>
      </c>
      <c r="N43" s="54">
        <v>327</v>
      </c>
      <c r="O43" s="54">
        <v>1487</v>
      </c>
      <c r="P43" s="54">
        <v>76</v>
      </c>
      <c r="Q43" s="54">
        <v>853</v>
      </c>
      <c r="R43" s="54">
        <v>331</v>
      </c>
      <c r="S43" s="54">
        <v>9473</v>
      </c>
      <c r="T43" s="131">
        <v>23731</v>
      </c>
      <c r="U43" s="132">
        <f>T43/$T$49</f>
        <v>1</v>
      </c>
      <c r="V43" s="37"/>
      <c r="W43" s="9"/>
    </row>
    <row r="44" spans="1:23" ht="15.75" x14ac:dyDescent="0.25">
      <c r="B44" s="7"/>
      <c r="C44" s="40" t="s">
        <v>68</v>
      </c>
      <c r="D44" s="130"/>
      <c r="E44" s="54"/>
      <c r="F44" s="54"/>
      <c r="G44" s="54"/>
      <c r="H44" s="54"/>
      <c r="I44" s="54"/>
      <c r="J44" s="54"/>
      <c r="K44" s="54"/>
      <c r="L44" s="54"/>
      <c r="M44" s="54"/>
      <c r="N44" s="54"/>
      <c r="O44" s="54"/>
      <c r="P44" s="54"/>
      <c r="Q44" s="54"/>
      <c r="R44" s="54"/>
      <c r="S44" s="54"/>
      <c r="T44" s="131">
        <f>SUM(D44:S44)</f>
        <v>0</v>
      </c>
      <c r="U44" s="132">
        <f>T44/$T$49</f>
        <v>0</v>
      </c>
      <c r="V44" s="37"/>
      <c r="W44" s="9"/>
    </row>
    <row r="45" spans="1:23" ht="15.75" x14ac:dyDescent="0.25">
      <c r="B45" s="7"/>
      <c r="C45" s="40" t="s">
        <v>69</v>
      </c>
      <c r="D45" s="130"/>
      <c r="E45" s="54"/>
      <c r="F45" s="54"/>
      <c r="G45" s="54"/>
      <c r="H45" s="54"/>
      <c r="I45" s="54"/>
      <c r="J45" s="54"/>
      <c r="K45" s="54"/>
      <c r="L45" s="54"/>
      <c r="M45" s="54"/>
      <c r="N45" s="54"/>
      <c r="O45" s="54"/>
      <c r="P45" s="54"/>
      <c r="Q45" s="54"/>
      <c r="R45" s="54"/>
      <c r="S45" s="54"/>
      <c r="T45" s="131">
        <f>SUM(D45:S45)</f>
        <v>0</v>
      </c>
      <c r="U45" s="132">
        <f>T45/$T$49</f>
        <v>0</v>
      </c>
      <c r="V45" s="37"/>
      <c r="W45" s="9"/>
    </row>
    <row r="46" spans="1:23" ht="15.75" x14ac:dyDescent="0.25">
      <c r="B46" s="7"/>
      <c r="C46" s="40"/>
      <c r="D46" s="130"/>
      <c r="E46" s="54"/>
      <c r="F46" s="54"/>
      <c r="G46" s="54"/>
      <c r="H46" s="54"/>
      <c r="I46" s="54"/>
      <c r="J46" s="54"/>
      <c r="K46" s="54"/>
      <c r="L46" s="54"/>
      <c r="M46" s="54"/>
      <c r="N46" s="54"/>
      <c r="O46" s="54"/>
      <c r="P46" s="54"/>
      <c r="Q46" s="54"/>
      <c r="R46" s="54"/>
      <c r="S46" s="54"/>
      <c r="T46" s="131"/>
      <c r="U46" s="133"/>
      <c r="V46" s="37"/>
      <c r="W46" s="9"/>
    </row>
    <row r="47" spans="1:23" ht="15.75" x14ac:dyDescent="0.25">
      <c r="A47" s="119"/>
      <c r="B47" s="136"/>
      <c r="C47" s="40" t="s">
        <v>4</v>
      </c>
      <c r="D47" s="130">
        <v>320</v>
      </c>
      <c r="E47" s="54">
        <v>673</v>
      </c>
      <c r="F47" s="54">
        <v>1835</v>
      </c>
      <c r="G47" s="54">
        <v>389</v>
      </c>
      <c r="H47" s="54">
        <v>355</v>
      </c>
      <c r="I47" s="54">
        <v>1102</v>
      </c>
      <c r="J47" s="54">
        <v>3345</v>
      </c>
      <c r="K47" s="54">
        <v>221</v>
      </c>
      <c r="L47" s="54">
        <v>158</v>
      </c>
      <c r="M47" s="54">
        <v>1448</v>
      </c>
      <c r="N47" s="54">
        <v>275</v>
      </c>
      <c r="O47" s="54">
        <v>1286</v>
      </c>
      <c r="P47" s="54">
        <v>65</v>
      </c>
      <c r="Q47" s="54">
        <v>730</v>
      </c>
      <c r="R47" s="54">
        <v>282</v>
      </c>
      <c r="S47" s="54">
        <v>8341</v>
      </c>
      <c r="T47" s="135">
        <v>20825</v>
      </c>
      <c r="U47" s="133"/>
      <c r="V47" s="37"/>
      <c r="W47" s="9"/>
    </row>
    <row r="48" spans="1:23" ht="15.75" x14ac:dyDescent="0.25">
      <c r="A48" s="119"/>
      <c r="B48" s="136"/>
      <c r="C48" s="40"/>
      <c r="D48" s="134"/>
      <c r="E48" s="38"/>
      <c r="F48" s="38"/>
      <c r="G48" s="38"/>
      <c r="H48" s="38"/>
      <c r="I48" s="38"/>
      <c r="J48" s="38"/>
      <c r="K48" s="38"/>
      <c r="L48" s="38"/>
      <c r="M48" s="38"/>
      <c r="N48" s="38"/>
      <c r="O48" s="38"/>
      <c r="P48" s="38"/>
      <c r="Q48" s="38"/>
      <c r="R48" s="38"/>
      <c r="S48" s="38"/>
      <c r="T48" s="135"/>
      <c r="U48" s="133"/>
      <c r="V48" s="37"/>
      <c r="W48" s="9"/>
    </row>
    <row r="49" spans="1:23" ht="16.5" thickBot="1" x14ac:dyDescent="0.3">
      <c r="A49" s="119"/>
      <c r="B49" s="136"/>
      <c r="C49" s="42" t="s">
        <v>27</v>
      </c>
      <c r="D49" s="307">
        <f t="shared" ref="D49:T49" si="0">SUM(D43:D45)</f>
        <v>385</v>
      </c>
      <c r="E49" s="192">
        <f t="shared" si="0"/>
        <v>771</v>
      </c>
      <c r="F49" s="192">
        <f t="shared" si="0"/>
        <v>2065</v>
      </c>
      <c r="G49" s="192">
        <f t="shared" si="0"/>
        <v>451</v>
      </c>
      <c r="H49" s="192">
        <f t="shared" si="0"/>
        <v>394</v>
      </c>
      <c r="I49" s="192">
        <f t="shared" si="0"/>
        <v>1268</v>
      </c>
      <c r="J49" s="192">
        <f t="shared" si="0"/>
        <v>3760</v>
      </c>
      <c r="K49" s="192">
        <f t="shared" si="0"/>
        <v>250</v>
      </c>
      <c r="L49" s="192">
        <f t="shared" si="0"/>
        <v>198</v>
      </c>
      <c r="M49" s="192">
        <f t="shared" si="0"/>
        <v>1642</v>
      </c>
      <c r="N49" s="192">
        <f t="shared" si="0"/>
        <v>327</v>
      </c>
      <c r="O49" s="192">
        <f t="shared" si="0"/>
        <v>1487</v>
      </c>
      <c r="P49" s="192">
        <f t="shared" si="0"/>
        <v>76</v>
      </c>
      <c r="Q49" s="192">
        <f t="shared" si="0"/>
        <v>853</v>
      </c>
      <c r="R49" s="192">
        <f t="shared" si="0"/>
        <v>331</v>
      </c>
      <c r="S49" s="192">
        <f t="shared" si="0"/>
        <v>9473</v>
      </c>
      <c r="T49" s="308">
        <f t="shared" si="0"/>
        <v>23731</v>
      </c>
      <c r="U49" s="137"/>
      <c r="V49" s="37"/>
      <c r="W49" s="9"/>
    </row>
    <row r="50" spans="1:23" ht="16.5" thickBot="1" x14ac:dyDescent="0.3">
      <c r="A50" s="119"/>
      <c r="B50" s="136"/>
      <c r="C50" s="6"/>
      <c r="D50" s="6"/>
      <c r="E50" s="6"/>
      <c r="F50" s="6"/>
      <c r="G50" s="6"/>
      <c r="H50" s="6"/>
      <c r="I50" s="6"/>
      <c r="J50" s="6"/>
      <c r="K50" s="6"/>
      <c r="L50" s="6"/>
      <c r="M50" s="6"/>
      <c r="N50" s="6"/>
      <c r="O50" s="6"/>
      <c r="P50" s="6"/>
      <c r="Q50" s="6"/>
      <c r="R50" s="6"/>
      <c r="S50" s="6"/>
      <c r="T50" s="138"/>
      <c r="U50" s="9"/>
      <c r="V50" s="9"/>
      <c r="W50" s="9"/>
    </row>
    <row r="51" spans="1:23" ht="15.75" x14ac:dyDescent="0.25">
      <c r="A51" s="119"/>
      <c r="B51" s="136"/>
      <c r="C51" s="139" t="s">
        <v>28</v>
      </c>
      <c r="D51" s="297"/>
      <c r="E51" s="140"/>
      <c r="F51" s="140"/>
      <c r="G51" s="140"/>
      <c r="H51" s="140"/>
      <c r="I51" s="140"/>
      <c r="J51" s="140"/>
      <c r="K51" s="140"/>
      <c r="L51" s="140"/>
      <c r="M51" s="140"/>
      <c r="N51" s="140"/>
      <c r="O51" s="140"/>
      <c r="P51" s="140"/>
      <c r="Q51" s="140"/>
      <c r="R51" s="140"/>
      <c r="S51" s="298"/>
      <c r="T51" s="141" t="s">
        <v>24</v>
      </c>
      <c r="U51" s="9"/>
      <c r="V51" s="9"/>
      <c r="W51" s="9"/>
    </row>
    <row r="52" spans="1:23" ht="15.75" x14ac:dyDescent="0.25">
      <c r="A52" s="119"/>
      <c r="B52" s="136"/>
      <c r="C52" s="142" t="s">
        <v>71</v>
      </c>
      <c r="D52" s="299">
        <f t="shared" ref="D52:T52" si="1">D43/D$49</f>
        <v>1</v>
      </c>
      <c r="E52" s="143">
        <f t="shared" si="1"/>
        <v>1</v>
      </c>
      <c r="F52" s="143">
        <f t="shared" si="1"/>
        <v>1</v>
      </c>
      <c r="G52" s="143">
        <f t="shared" si="1"/>
        <v>1</v>
      </c>
      <c r="H52" s="143">
        <f t="shared" si="1"/>
        <v>1</v>
      </c>
      <c r="I52" s="143">
        <f t="shared" si="1"/>
        <v>1</v>
      </c>
      <c r="J52" s="143">
        <f t="shared" si="1"/>
        <v>1</v>
      </c>
      <c r="K52" s="143">
        <f t="shared" si="1"/>
        <v>1</v>
      </c>
      <c r="L52" s="143">
        <f t="shared" si="1"/>
        <v>1</v>
      </c>
      <c r="M52" s="143">
        <f t="shared" si="1"/>
        <v>1</v>
      </c>
      <c r="N52" s="143">
        <f t="shared" si="1"/>
        <v>1</v>
      </c>
      <c r="O52" s="143">
        <f t="shared" si="1"/>
        <v>1</v>
      </c>
      <c r="P52" s="143">
        <f t="shared" si="1"/>
        <v>1</v>
      </c>
      <c r="Q52" s="143">
        <f t="shared" si="1"/>
        <v>1</v>
      </c>
      <c r="R52" s="143">
        <f t="shared" si="1"/>
        <v>1</v>
      </c>
      <c r="S52" s="300">
        <f t="shared" si="1"/>
        <v>1</v>
      </c>
      <c r="T52" s="144">
        <f t="shared" si="1"/>
        <v>1</v>
      </c>
      <c r="U52" s="9"/>
      <c r="V52" s="9"/>
      <c r="W52" s="9"/>
    </row>
    <row r="53" spans="1:23" ht="15.75" x14ac:dyDescent="0.25">
      <c r="A53" s="119"/>
      <c r="B53" s="136"/>
      <c r="C53" s="145"/>
      <c r="D53" s="299"/>
      <c r="E53" s="143"/>
      <c r="F53" s="143"/>
      <c r="G53" s="143"/>
      <c r="H53" s="143"/>
      <c r="I53" s="143"/>
      <c r="J53" s="143"/>
      <c r="K53" s="143"/>
      <c r="L53" s="143"/>
      <c r="M53" s="143"/>
      <c r="N53" s="143"/>
      <c r="O53" s="143"/>
      <c r="P53" s="143"/>
      <c r="Q53" s="143"/>
      <c r="R53" s="143"/>
      <c r="S53" s="300"/>
      <c r="T53" s="144"/>
      <c r="U53" s="9"/>
      <c r="V53" s="9"/>
      <c r="W53" s="9"/>
    </row>
    <row r="54" spans="1:23" ht="15.75" x14ac:dyDescent="0.25">
      <c r="A54" s="119"/>
      <c r="B54" s="136"/>
      <c r="C54" s="142" t="s">
        <v>92</v>
      </c>
      <c r="D54" s="299">
        <f t="shared" ref="D54:S54" si="2">D43/$T$43</f>
        <v>1.6223505119885382E-2</v>
      </c>
      <c r="E54" s="143">
        <f t="shared" si="2"/>
        <v>3.2489149214108129E-2</v>
      </c>
      <c r="F54" s="143">
        <f t="shared" si="2"/>
        <v>8.7016982006657959E-2</v>
      </c>
      <c r="G54" s="143">
        <f t="shared" si="2"/>
        <v>1.9004677426151449E-2</v>
      </c>
      <c r="H54" s="143">
        <f t="shared" si="2"/>
        <v>1.6602755888921662E-2</v>
      </c>
      <c r="I54" s="143">
        <f t="shared" si="2"/>
        <v>5.343221945977835E-2</v>
      </c>
      <c r="J54" s="143">
        <f t="shared" si="2"/>
        <v>0.15844254350849099</v>
      </c>
      <c r="K54" s="143">
        <f t="shared" si="2"/>
        <v>1.0534743584341158E-2</v>
      </c>
      <c r="L54" s="143">
        <f t="shared" si="2"/>
        <v>8.343516918798196E-3</v>
      </c>
      <c r="M54" s="143">
        <f t="shared" si="2"/>
        <v>6.9192195861952716E-2</v>
      </c>
      <c r="N54" s="143">
        <f t="shared" si="2"/>
        <v>1.3779444608318234E-2</v>
      </c>
      <c r="O54" s="143">
        <f t="shared" si="2"/>
        <v>6.2660654839661198E-2</v>
      </c>
      <c r="P54" s="143">
        <f t="shared" si="2"/>
        <v>3.2025620496397116E-3</v>
      </c>
      <c r="Q54" s="143">
        <f t="shared" si="2"/>
        <v>3.5944545109772026E-2</v>
      </c>
      <c r="R54" s="143">
        <f t="shared" si="2"/>
        <v>1.3948000505667692E-2</v>
      </c>
      <c r="S54" s="300">
        <f t="shared" si="2"/>
        <v>0.39918250389785515</v>
      </c>
      <c r="T54" s="228">
        <f>SUM(D54:S54)</f>
        <v>1</v>
      </c>
      <c r="U54" s="9"/>
      <c r="V54" s="9"/>
      <c r="W54" s="9"/>
    </row>
    <row r="55" spans="1:23" ht="15.75" x14ac:dyDescent="0.25">
      <c r="A55" s="119"/>
      <c r="B55" s="136"/>
      <c r="C55" s="145" t="s">
        <v>93</v>
      </c>
      <c r="D55" s="299">
        <f>D49/$T$49</f>
        <v>1.6223505119885382E-2</v>
      </c>
      <c r="E55" s="143">
        <f t="shared" ref="E55:S55" si="3">E49/$T$49</f>
        <v>3.2489149214108129E-2</v>
      </c>
      <c r="F55" s="143">
        <f t="shared" si="3"/>
        <v>8.7016982006657959E-2</v>
      </c>
      <c r="G55" s="143">
        <f t="shared" si="3"/>
        <v>1.9004677426151449E-2</v>
      </c>
      <c r="H55" s="143">
        <f t="shared" si="3"/>
        <v>1.6602755888921662E-2</v>
      </c>
      <c r="I55" s="143">
        <f t="shared" si="3"/>
        <v>5.343221945977835E-2</v>
      </c>
      <c r="J55" s="143">
        <f t="shared" si="3"/>
        <v>0.15844254350849099</v>
      </c>
      <c r="K55" s="143">
        <f t="shared" si="3"/>
        <v>1.0534743584341158E-2</v>
      </c>
      <c r="L55" s="143">
        <f t="shared" si="3"/>
        <v>8.343516918798196E-3</v>
      </c>
      <c r="M55" s="143">
        <f t="shared" si="3"/>
        <v>6.9192195861952716E-2</v>
      </c>
      <c r="N55" s="143">
        <f t="shared" si="3"/>
        <v>1.3779444608318234E-2</v>
      </c>
      <c r="O55" s="143">
        <f t="shared" si="3"/>
        <v>6.2660654839661198E-2</v>
      </c>
      <c r="P55" s="143">
        <f t="shared" si="3"/>
        <v>3.2025620496397116E-3</v>
      </c>
      <c r="Q55" s="143">
        <f t="shared" si="3"/>
        <v>3.5944545109772026E-2</v>
      </c>
      <c r="R55" s="143">
        <f t="shared" si="3"/>
        <v>1.3948000505667692E-2</v>
      </c>
      <c r="S55" s="300">
        <f t="shared" si="3"/>
        <v>0.39918250389785515</v>
      </c>
      <c r="T55" s="144"/>
      <c r="U55" s="9"/>
      <c r="V55" s="9"/>
      <c r="W55" s="9"/>
    </row>
    <row r="56" spans="1:23" ht="15.75" x14ac:dyDescent="0.25">
      <c r="A56" s="119"/>
      <c r="B56" s="136"/>
      <c r="C56" s="145" t="s">
        <v>728</v>
      </c>
      <c r="D56" s="299">
        <f>D47/$T$47</f>
        <v>1.5366146458583434E-2</v>
      </c>
      <c r="E56" s="299">
        <f t="shared" ref="E56:S56" si="4">E47/$T$47</f>
        <v>3.2316926770708285E-2</v>
      </c>
      <c r="F56" s="299">
        <f t="shared" si="4"/>
        <v>8.8115246098439376E-2</v>
      </c>
      <c r="G56" s="299">
        <f t="shared" si="4"/>
        <v>1.8679471788715485E-2</v>
      </c>
      <c r="H56" s="299">
        <f t="shared" si="4"/>
        <v>1.7046818727490996E-2</v>
      </c>
      <c r="I56" s="299">
        <f t="shared" si="4"/>
        <v>5.2917166866746697E-2</v>
      </c>
      <c r="J56" s="299">
        <f t="shared" si="4"/>
        <v>0.16062424969987996</v>
      </c>
      <c r="K56" s="299">
        <f t="shared" si="4"/>
        <v>1.0612244897959184E-2</v>
      </c>
      <c r="L56" s="299">
        <f t="shared" si="4"/>
        <v>7.5870348139255705E-3</v>
      </c>
      <c r="M56" s="299">
        <f t="shared" si="4"/>
        <v>6.9531812725090042E-2</v>
      </c>
      <c r="N56" s="299">
        <f t="shared" si="4"/>
        <v>1.3205282112845138E-2</v>
      </c>
      <c r="O56" s="299">
        <f t="shared" si="4"/>
        <v>6.1752701080432175E-2</v>
      </c>
      <c r="P56" s="299">
        <f t="shared" si="4"/>
        <v>3.1212484993997599E-3</v>
      </c>
      <c r="Q56" s="299">
        <f t="shared" si="4"/>
        <v>3.505402160864346E-2</v>
      </c>
      <c r="R56" s="299">
        <f t="shared" si="4"/>
        <v>1.3541416566626651E-2</v>
      </c>
      <c r="S56" s="299">
        <f t="shared" si="4"/>
        <v>0.40052821128451382</v>
      </c>
      <c r="T56" s="144"/>
      <c r="U56" s="9"/>
      <c r="V56" s="9"/>
      <c r="W56" s="9"/>
    </row>
    <row r="57" spans="1:23" ht="15.75" x14ac:dyDescent="0.25">
      <c r="A57" s="119"/>
      <c r="B57" s="136"/>
      <c r="C57" s="146" t="s">
        <v>172</v>
      </c>
      <c r="D57" s="301"/>
      <c r="E57" s="147"/>
      <c r="F57" s="147"/>
      <c r="G57" s="147"/>
      <c r="H57" s="147"/>
      <c r="I57" s="147"/>
      <c r="J57" s="147"/>
      <c r="K57" s="147"/>
      <c r="L57" s="147"/>
      <c r="M57" s="147"/>
      <c r="N57" s="147"/>
      <c r="O57" s="147"/>
      <c r="P57" s="147"/>
      <c r="Q57" s="147"/>
      <c r="R57" s="147"/>
      <c r="S57" s="302"/>
      <c r="T57" s="148"/>
      <c r="U57" s="9"/>
      <c r="V57" s="9"/>
      <c r="W57" s="9"/>
    </row>
    <row r="58" spans="1:23" ht="15.75" x14ac:dyDescent="0.25">
      <c r="A58" s="119"/>
      <c r="B58" s="136"/>
      <c r="C58" s="142" t="s">
        <v>168</v>
      </c>
      <c r="D58" s="301">
        <v>9000</v>
      </c>
      <c r="E58" s="147">
        <v>46000</v>
      </c>
      <c r="F58" s="147">
        <v>148000</v>
      </c>
      <c r="G58" s="147">
        <v>73000</v>
      </c>
      <c r="H58" s="147">
        <v>96000</v>
      </c>
      <c r="I58" s="147">
        <v>140000</v>
      </c>
      <c r="J58" s="147">
        <v>407000</v>
      </c>
      <c r="K58" s="147">
        <v>2000</v>
      </c>
      <c r="L58" s="147">
        <v>2000</v>
      </c>
      <c r="M58" s="147">
        <v>119000</v>
      </c>
      <c r="N58" s="147">
        <v>14000</v>
      </c>
      <c r="O58" s="147">
        <v>121000</v>
      </c>
      <c r="P58" s="147">
        <v>1000</v>
      </c>
      <c r="Q58" s="147">
        <v>323000</v>
      </c>
      <c r="R58" s="147">
        <v>5000</v>
      </c>
      <c r="S58" s="302">
        <v>1387000</v>
      </c>
      <c r="T58" s="294">
        <f t="shared" ref="T58:T64" si="5">SUM(D58:S58)</f>
        <v>2893000</v>
      </c>
      <c r="U58" s="9"/>
      <c r="V58" s="9"/>
      <c r="W58" s="9"/>
    </row>
    <row r="59" spans="1:23" ht="15.75" x14ac:dyDescent="0.25">
      <c r="A59" s="119"/>
      <c r="B59" s="136"/>
      <c r="C59" s="142" t="s">
        <v>235</v>
      </c>
      <c r="D59" s="303">
        <v>111000</v>
      </c>
      <c r="E59" s="295">
        <v>489000</v>
      </c>
      <c r="F59" s="295">
        <v>775000</v>
      </c>
      <c r="G59" s="295">
        <v>35000</v>
      </c>
      <c r="H59" s="295">
        <v>365000</v>
      </c>
      <c r="I59" s="295">
        <v>366000</v>
      </c>
      <c r="J59" s="295">
        <v>855000</v>
      </c>
      <c r="K59" s="295">
        <v>84000</v>
      </c>
      <c r="L59" s="295">
        <v>0</v>
      </c>
      <c r="M59" s="295">
        <v>343000</v>
      </c>
      <c r="N59" s="295">
        <v>0</v>
      </c>
      <c r="O59" s="295">
        <v>364000</v>
      </c>
      <c r="P59" s="295">
        <v>0</v>
      </c>
      <c r="Q59" s="295">
        <v>155000</v>
      </c>
      <c r="R59" s="295">
        <v>0</v>
      </c>
      <c r="S59" s="304">
        <v>4297000</v>
      </c>
      <c r="T59" s="294">
        <f t="shared" si="5"/>
        <v>8239000</v>
      </c>
      <c r="U59" s="9"/>
      <c r="V59" s="9"/>
      <c r="W59" s="9"/>
    </row>
    <row r="60" spans="1:23" ht="15.75" x14ac:dyDescent="0.25">
      <c r="A60" s="119"/>
      <c r="B60" s="136"/>
      <c r="C60" s="142" t="s">
        <v>470</v>
      </c>
      <c r="D60" s="303">
        <v>14000</v>
      </c>
      <c r="E60" s="295">
        <v>219000</v>
      </c>
      <c r="F60" s="295">
        <v>257000</v>
      </c>
      <c r="G60" s="295">
        <v>11000</v>
      </c>
      <c r="H60" s="295">
        <v>123000</v>
      </c>
      <c r="I60" s="295">
        <v>295000</v>
      </c>
      <c r="J60" s="295">
        <v>536000</v>
      </c>
      <c r="K60" s="295">
        <v>7000</v>
      </c>
      <c r="L60" s="295">
        <v>27000</v>
      </c>
      <c r="M60" s="295">
        <v>472000</v>
      </c>
      <c r="N60" s="295">
        <v>27000</v>
      </c>
      <c r="O60" s="295">
        <v>108000</v>
      </c>
      <c r="P60" s="295">
        <v>1000</v>
      </c>
      <c r="Q60" s="295">
        <v>528000</v>
      </c>
      <c r="R60" s="295">
        <v>70000</v>
      </c>
      <c r="S60" s="304">
        <v>1787000</v>
      </c>
      <c r="T60" s="294">
        <f t="shared" si="5"/>
        <v>4482000</v>
      </c>
      <c r="U60" s="9"/>
      <c r="V60" s="9"/>
      <c r="W60" s="9"/>
    </row>
    <row r="61" spans="1:23" ht="15.75" x14ac:dyDescent="0.25">
      <c r="A61" s="119"/>
      <c r="B61" s="136"/>
      <c r="C61" s="142" t="s">
        <v>234</v>
      </c>
      <c r="D61" s="301">
        <v>2000</v>
      </c>
      <c r="E61" s="147">
        <v>16000</v>
      </c>
      <c r="F61" s="147">
        <v>31000</v>
      </c>
      <c r="G61" s="147">
        <v>7000</v>
      </c>
      <c r="H61" s="147">
        <v>2000</v>
      </c>
      <c r="I61" s="147">
        <v>20000</v>
      </c>
      <c r="J61" s="147">
        <v>64000</v>
      </c>
      <c r="K61" s="147">
        <v>1000</v>
      </c>
      <c r="L61" s="147">
        <v>0</v>
      </c>
      <c r="M61" s="147">
        <v>21000</v>
      </c>
      <c r="N61" s="147">
        <v>7000</v>
      </c>
      <c r="O61" s="147">
        <v>48000</v>
      </c>
      <c r="P61" s="147">
        <v>0</v>
      </c>
      <c r="Q61" s="147">
        <v>2000</v>
      </c>
      <c r="R61" s="147">
        <v>3000</v>
      </c>
      <c r="S61" s="302">
        <v>255000</v>
      </c>
      <c r="T61" s="294">
        <f t="shared" si="5"/>
        <v>479000</v>
      </c>
      <c r="U61" s="9"/>
      <c r="V61" s="9"/>
      <c r="W61" s="9"/>
    </row>
    <row r="62" spans="1:23" ht="15.75" x14ac:dyDescent="0.25">
      <c r="A62" s="119"/>
      <c r="B62" s="136"/>
      <c r="C62" s="142" t="s">
        <v>233</v>
      </c>
      <c r="D62" s="301">
        <v>87000</v>
      </c>
      <c r="E62" s="147">
        <v>101000</v>
      </c>
      <c r="F62" s="147">
        <v>180000</v>
      </c>
      <c r="G62" s="147">
        <v>13000</v>
      </c>
      <c r="H62" s="147">
        <v>34000</v>
      </c>
      <c r="I62" s="147">
        <v>113000</v>
      </c>
      <c r="J62" s="147">
        <v>233000</v>
      </c>
      <c r="K62" s="147">
        <v>5000</v>
      </c>
      <c r="L62" s="147">
        <v>0</v>
      </c>
      <c r="M62" s="147">
        <v>107000</v>
      </c>
      <c r="N62" s="147">
        <v>90000</v>
      </c>
      <c r="O62" s="147">
        <v>60000</v>
      </c>
      <c r="P62" s="147">
        <v>0</v>
      </c>
      <c r="Q62" s="147">
        <v>27000</v>
      </c>
      <c r="R62" s="147">
        <v>8000</v>
      </c>
      <c r="S62" s="302">
        <v>1300000</v>
      </c>
      <c r="T62" s="294">
        <f t="shared" si="5"/>
        <v>2358000</v>
      </c>
      <c r="U62" s="230"/>
      <c r="V62" s="9"/>
      <c r="W62" s="9"/>
    </row>
    <row r="63" spans="1:23" ht="15.75" x14ac:dyDescent="0.25">
      <c r="A63" s="119"/>
      <c r="B63" s="136"/>
      <c r="C63" s="142" t="s">
        <v>598</v>
      </c>
      <c r="D63" s="301">
        <v>7000</v>
      </c>
      <c r="E63" s="147">
        <v>47000</v>
      </c>
      <c r="F63" s="147">
        <v>52000</v>
      </c>
      <c r="G63" s="147">
        <v>8000</v>
      </c>
      <c r="H63" s="147">
        <v>30000</v>
      </c>
      <c r="I63" s="147">
        <v>36000</v>
      </c>
      <c r="J63" s="147">
        <v>53000</v>
      </c>
      <c r="K63" s="147">
        <v>6000</v>
      </c>
      <c r="L63" s="147">
        <v>1000</v>
      </c>
      <c r="M63" s="147">
        <v>63000</v>
      </c>
      <c r="N63" s="147">
        <v>14000</v>
      </c>
      <c r="O63" s="147">
        <v>9000</v>
      </c>
      <c r="P63" s="147">
        <v>0</v>
      </c>
      <c r="Q63" s="147">
        <v>35000</v>
      </c>
      <c r="R63" s="147">
        <v>1000</v>
      </c>
      <c r="S63" s="302">
        <v>398000</v>
      </c>
      <c r="T63" s="294">
        <f t="shared" si="5"/>
        <v>760000</v>
      </c>
      <c r="U63" s="230"/>
      <c r="V63" s="9"/>
      <c r="W63" s="9"/>
    </row>
    <row r="64" spans="1:23" ht="16.5" thickBot="1" x14ac:dyDescent="0.3">
      <c r="A64" s="119"/>
      <c r="B64" s="136"/>
      <c r="C64" s="142" t="s">
        <v>236</v>
      </c>
      <c r="D64" s="305"/>
      <c r="E64" s="149">
        <v>0.58333333333333337</v>
      </c>
      <c r="F64" s="149">
        <v>5</v>
      </c>
      <c r="G64" s="149"/>
      <c r="H64" s="149">
        <v>2</v>
      </c>
      <c r="I64" s="149">
        <v>3</v>
      </c>
      <c r="J64" s="149">
        <v>1.5833333333333335</v>
      </c>
      <c r="K64" s="149"/>
      <c r="L64" s="149"/>
      <c r="M64" s="149">
        <v>1</v>
      </c>
      <c r="N64" s="149"/>
      <c r="O64" s="149">
        <v>0.58333333333333337</v>
      </c>
      <c r="P64" s="149"/>
      <c r="Q64" s="149"/>
      <c r="R64" s="149">
        <v>0.41666666666666669</v>
      </c>
      <c r="S64" s="306">
        <v>8.4166666666666679</v>
      </c>
      <c r="T64" s="1064">
        <f t="shared" si="5"/>
        <v>22.583333333333336</v>
      </c>
      <c r="U64" s="230"/>
      <c r="V64" s="9"/>
      <c r="W64" s="9"/>
    </row>
    <row r="65" spans="1:23" ht="15.75" thickBot="1" x14ac:dyDescent="0.25">
      <c r="A65" s="119"/>
      <c r="B65" s="136"/>
      <c r="C65" s="296" t="s">
        <v>169</v>
      </c>
      <c r="D65" s="309">
        <f>SUM(D58:D63)</f>
        <v>230000</v>
      </c>
      <c r="E65" s="309">
        <f t="shared" ref="E65:S65" si="6">SUM(E58:E63)</f>
        <v>918000</v>
      </c>
      <c r="F65" s="309">
        <f t="shared" si="6"/>
        <v>1443000</v>
      </c>
      <c r="G65" s="309">
        <f t="shared" si="6"/>
        <v>147000</v>
      </c>
      <c r="H65" s="309">
        <f t="shared" si="6"/>
        <v>650000</v>
      </c>
      <c r="I65" s="309">
        <f t="shared" si="6"/>
        <v>970000</v>
      </c>
      <c r="J65" s="309">
        <f t="shared" si="6"/>
        <v>2148000</v>
      </c>
      <c r="K65" s="309">
        <f t="shared" si="6"/>
        <v>105000</v>
      </c>
      <c r="L65" s="309">
        <f t="shared" si="6"/>
        <v>30000</v>
      </c>
      <c r="M65" s="309">
        <f t="shared" si="6"/>
        <v>1125000</v>
      </c>
      <c r="N65" s="309">
        <f t="shared" si="6"/>
        <v>152000</v>
      </c>
      <c r="O65" s="309">
        <f t="shared" si="6"/>
        <v>710000</v>
      </c>
      <c r="P65" s="309">
        <f t="shared" si="6"/>
        <v>2000</v>
      </c>
      <c r="Q65" s="309">
        <f t="shared" si="6"/>
        <v>1070000</v>
      </c>
      <c r="R65" s="309">
        <f t="shared" si="6"/>
        <v>87000</v>
      </c>
      <c r="S65" s="309">
        <f t="shared" si="6"/>
        <v>9424000</v>
      </c>
      <c r="T65" s="309">
        <f>SUM(T58:T63)</f>
        <v>19211000</v>
      </c>
      <c r="U65" s="9"/>
      <c r="V65" s="9"/>
      <c r="W65" s="9"/>
    </row>
    <row r="66" spans="1:23" ht="15.75" x14ac:dyDescent="0.25">
      <c r="A66" s="119"/>
      <c r="B66" s="136"/>
      <c r="C66" s="231"/>
      <c r="D66" s="232"/>
      <c r="E66" s="232"/>
      <c r="F66" s="232"/>
      <c r="G66" s="232"/>
      <c r="H66" s="232"/>
      <c r="I66" s="232"/>
      <c r="J66" s="232"/>
      <c r="K66" s="232"/>
      <c r="L66" s="232"/>
      <c r="M66" s="232"/>
      <c r="N66" s="232"/>
      <c r="O66" s="232"/>
      <c r="P66" s="232"/>
      <c r="Q66" s="232"/>
      <c r="R66" s="232"/>
      <c r="S66" s="232"/>
      <c r="T66" s="233"/>
      <c r="U66" s="9"/>
      <c r="V66" s="9"/>
      <c r="W66" s="9"/>
    </row>
    <row r="67" spans="1:23" ht="15.75" x14ac:dyDescent="0.25">
      <c r="A67" s="119"/>
      <c r="B67" s="311"/>
      <c r="C67" s="231"/>
      <c r="D67" s="310"/>
      <c r="E67" s="310"/>
      <c r="F67" s="310"/>
      <c r="G67" s="310"/>
      <c r="H67" s="310"/>
      <c r="I67" s="310"/>
      <c r="J67" s="310"/>
      <c r="K67" s="310"/>
      <c r="L67" s="310"/>
      <c r="M67" s="310"/>
      <c r="N67" s="310"/>
      <c r="O67" s="310"/>
      <c r="P67" s="310"/>
      <c r="Q67" s="310"/>
      <c r="R67" s="310"/>
      <c r="S67" s="310"/>
      <c r="T67" s="1062"/>
      <c r="U67" s="1069">
        <v>763000</v>
      </c>
      <c r="V67" s="9" t="s">
        <v>599</v>
      </c>
      <c r="W67" s="9"/>
    </row>
    <row r="68" spans="1:23" ht="15.75" x14ac:dyDescent="0.25">
      <c r="A68" s="119"/>
      <c r="B68" s="311"/>
      <c r="C68" s="313"/>
      <c r="D68" s="310"/>
      <c r="E68" s="310"/>
      <c r="F68" s="310"/>
      <c r="G68" s="310"/>
      <c r="H68" s="310" t="s">
        <v>378</v>
      </c>
      <c r="I68" s="310"/>
      <c r="J68" s="310"/>
      <c r="K68" s="310"/>
      <c r="L68" s="310"/>
      <c r="M68" s="310"/>
      <c r="N68" s="310"/>
      <c r="O68" s="310"/>
      <c r="P68" s="310"/>
      <c r="Q68" s="310"/>
      <c r="R68" s="310"/>
      <c r="S68" s="310"/>
      <c r="T68" s="312" t="s">
        <v>595</v>
      </c>
      <c r="U68" s="9"/>
      <c r="V68" s="9"/>
      <c r="W68" s="9"/>
    </row>
    <row r="69" spans="1:23" ht="16.5" thickBot="1" x14ac:dyDescent="0.3">
      <c r="A69" s="119"/>
      <c r="B69" s="311"/>
      <c r="C69" s="313"/>
      <c r="D69" s="310"/>
      <c r="E69" s="310"/>
      <c r="F69" s="310"/>
      <c r="G69" s="310"/>
      <c r="H69" s="310"/>
      <c r="I69" s="310"/>
      <c r="J69" s="310"/>
      <c r="K69" s="310"/>
      <c r="L69" s="310"/>
      <c r="M69" s="310"/>
      <c r="N69" s="310"/>
      <c r="O69" s="310"/>
      <c r="P69" s="310"/>
      <c r="Q69" s="310"/>
      <c r="R69" s="310"/>
      <c r="S69" s="310"/>
      <c r="T69" s="312"/>
      <c r="U69" s="9"/>
      <c r="V69" s="9"/>
      <c r="W69" s="9"/>
    </row>
    <row r="70" spans="1:23" ht="15.75" x14ac:dyDescent="0.25">
      <c r="A70" s="119"/>
      <c r="B70" s="136"/>
      <c r="C70" s="139"/>
      <c r="D70" s="140"/>
      <c r="E70" s="140"/>
      <c r="F70" s="140"/>
      <c r="G70" s="140"/>
      <c r="H70" s="140"/>
      <c r="I70" s="140"/>
      <c r="J70" s="140"/>
      <c r="K70" s="140"/>
      <c r="L70" s="140"/>
      <c r="M70" s="140"/>
      <c r="N70" s="140"/>
      <c r="O70" s="140"/>
      <c r="P70" s="140"/>
      <c r="Q70" s="140"/>
      <c r="R70" s="140"/>
      <c r="S70" s="140"/>
      <c r="T70" s="141"/>
      <c r="U70" s="9"/>
      <c r="V70" s="9"/>
      <c r="W70" s="9"/>
    </row>
    <row r="71" spans="1:23" ht="15.75" x14ac:dyDescent="0.25">
      <c r="A71" s="119"/>
      <c r="B71" s="136"/>
      <c r="C71" s="142"/>
      <c r="D71" s="147"/>
      <c r="E71" s="147"/>
      <c r="F71" s="147"/>
      <c r="G71" s="147"/>
      <c r="H71" s="147"/>
      <c r="I71" s="147"/>
      <c r="J71" s="147"/>
      <c r="K71" s="147"/>
      <c r="L71" s="147"/>
      <c r="M71" s="147"/>
      <c r="N71" s="147"/>
      <c r="O71" s="147"/>
      <c r="P71" s="147"/>
      <c r="Q71" s="147"/>
      <c r="R71" s="147"/>
      <c r="S71" s="302"/>
      <c r="T71" s="294"/>
      <c r="U71" s="9"/>
      <c r="V71" s="9"/>
      <c r="W71" s="9"/>
    </row>
    <row r="72" spans="1:23" ht="15.75" x14ac:dyDescent="0.25">
      <c r="A72" s="119"/>
      <c r="B72" s="136"/>
      <c r="C72" s="142"/>
      <c r="D72" s="295"/>
      <c r="E72" s="295"/>
      <c r="F72" s="295"/>
      <c r="G72" s="295"/>
      <c r="H72" s="295"/>
      <c r="I72" s="295"/>
      <c r="J72" s="295"/>
      <c r="K72" s="295"/>
      <c r="L72" s="295"/>
      <c r="M72" s="295"/>
      <c r="N72" s="295"/>
      <c r="O72" s="295"/>
      <c r="P72" s="295"/>
      <c r="Q72" s="295"/>
      <c r="R72" s="295"/>
      <c r="S72" s="304"/>
      <c r="T72" s="294"/>
      <c r="U72" s="9"/>
      <c r="V72" s="9"/>
      <c r="W72" s="9"/>
    </row>
    <row r="73" spans="1:23" ht="15.75" x14ac:dyDescent="0.25">
      <c r="A73" s="119"/>
      <c r="B73" s="136"/>
      <c r="C73" s="142"/>
      <c r="D73" s="295"/>
      <c r="E73" s="295"/>
      <c r="F73" s="295"/>
      <c r="G73" s="295"/>
      <c r="H73" s="295"/>
      <c r="I73" s="295"/>
      <c r="J73" s="295"/>
      <c r="K73" s="295"/>
      <c r="L73" s="295"/>
      <c r="M73" s="295"/>
      <c r="N73" s="295"/>
      <c r="O73" s="295"/>
      <c r="P73" s="295"/>
      <c r="Q73" s="295"/>
      <c r="R73" s="295"/>
      <c r="S73" s="304"/>
      <c r="T73" s="294"/>
      <c r="U73" s="9"/>
      <c r="V73" s="9"/>
      <c r="W73" s="9"/>
    </row>
    <row r="74" spans="1:23" ht="15.75" x14ac:dyDescent="0.25">
      <c r="A74" s="119"/>
      <c r="B74" s="136"/>
      <c r="C74" s="142"/>
      <c r="D74" s="147"/>
      <c r="E74" s="147"/>
      <c r="F74" s="147"/>
      <c r="G74" s="147"/>
      <c r="H74" s="147"/>
      <c r="I74" s="147"/>
      <c r="J74" s="147"/>
      <c r="K74" s="147"/>
      <c r="L74" s="147"/>
      <c r="M74" s="147"/>
      <c r="N74" s="147"/>
      <c r="O74" s="147"/>
      <c r="P74" s="147"/>
      <c r="Q74" s="147"/>
      <c r="R74" s="147"/>
      <c r="S74" s="302"/>
      <c r="T74" s="294"/>
      <c r="U74" s="9"/>
      <c r="V74" s="9"/>
      <c r="W74" s="9"/>
    </row>
    <row r="75" spans="1:23" ht="15.75" x14ac:dyDescent="0.25">
      <c r="A75" s="119"/>
      <c r="B75" s="136"/>
      <c r="C75" s="142"/>
      <c r="D75" s="147"/>
      <c r="E75" s="147"/>
      <c r="F75" s="147"/>
      <c r="G75" s="147"/>
      <c r="H75" s="147"/>
      <c r="I75" s="147"/>
      <c r="J75" s="147"/>
      <c r="K75" s="147"/>
      <c r="L75" s="147"/>
      <c r="M75" s="147"/>
      <c r="N75" s="147"/>
      <c r="O75" s="147"/>
      <c r="P75" s="147"/>
      <c r="Q75" s="147"/>
      <c r="R75" s="147"/>
      <c r="S75" s="302"/>
      <c r="T75" s="294"/>
      <c r="U75" s="9"/>
      <c r="V75" s="9"/>
      <c r="W75" s="9"/>
    </row>
    <row r="76" spans="1:23" ht="16.5" thickBot="1" x14ac:dyDescent="0.3">
      <c r="A76" s="119"/>
      <c r="B76" s="136"/>
      <c r="C76" s="142"/>
      <c r="D76" s="149"/>
      <c r="E76" s="149"/>
      <c r="F76" s="149"/>
      <c r="G76" s="149"/>
      <c r="H76" s="149"/>
      <c r="I76" s="149"/>
      <c r="J76" s="149"/>
      <c r="K76" s="149"/>
      <c r="L76" s="149"/>
      <c r="M76" s="149"/>
      <c r="N76" s="149"/>
      <c r="O76" s="149"/>
      <c r="P76" s="149"/>
      <c r="Q76" s="149"/>
      <c r="R76" s="149"/>
      <c r="S76" s="306"/>
      <c r="T76" s="294"/>
      <c r="U76" s="9"/>
      <c r="V76" s="9"/>
      <c r="W76" s="9"/>
    </row>
    <row r="77" spans="1:23" ht="16.5" thickBot="1" x14ac:dyDescent="0.3">
      <c r="A77" s="119"/>
      <c r="B77" s="136"/>
      <c r="C77" s="296"/>
      <c r="D77" s="580"/>
      <c r="E77" s="580"/>
      <c r="F77" s="580"/>
      <c r="G77" s="580"/>
      <c r="H77" s="580"/>
      <c r="I77" s="580"/>
      <c r="J77" s="580"/>
      <c r="K77" s="580"/>
      <c r="L77" s="580"/>
      <c r="M77" s="580"/>
      <c r="N77" s="580"/>
      <c r="O77" s="580"/>
      <c r="P77" s="580"/>
      <c r="Q77" s="580"/>
      <c r="R77" s="580"/>
      <c r="S77" s="580"/>
      <c r="T77" s="581"/>
      <c r="U77" s="9"/>
      <c r="V77" s="9"/>
      <c r="W77" s="9"/>
    </row>
    <row r="78" spans="1:23" ht="15.75" x14ac:dyDescent="0.25">
      <c r="A78" s="119"/>
      <c r="B78" s="136"/>
      <c r="C78" s="231"/>
      <c r="D78" s="232"/>
      <c r="E78" s="232"/>
      <c r="F78" s="293"/>
      <c r="G78" s="232"/>
      <c r="H78" s="232"/>
      <c r="I78" s="232"/>
      <c r="J78" s="232"/>
      <c r="K78" s="232"/>
      <c r="L78" s="232"/>
      <c r="M78" s="232"/>
      <c r="N78" s="232"/>
      <c r="O78" s="232"/>
      <c r="P78" s="232"/>
      <c r="Q78" s="232"/>
      <c r="R78" s="232"/>
      <c r="S78" s="232"/>
      <c r="T78" s="233"/>
      <c r="U78" s="9"/>
      <c r="V78" s="9"/>
      <c r="W78" s="9"/>
    </row>
    <row r="79" spans="1:23" ht="15.75" x14ac:dyDescent="0.25">
      <c r="A79" s="119"/>
      <c r="B79" s="136"/>
      <c r="C79" s="231"/>
      <c r="D79" s="232"/>
      <c r="E79" s="232"/>
      <c r="F79" s="232"/>
      <c r="G79" s="232"/>
      <c r="H79" s="232"/>
      <c r="I79" s="232"/>
      <c r="J79" s="232"/>
      <c r="K79" s="232"/>
      <c r="L79" s="232"/>
      <c r="M79" s="232"/>
      <c r="N79" s="232"/>
      <c r="O79" s="232"/>
      <c r="P79" s="232"/>
      <c r="Q79" s="232"/>
      <c r="R79" s="232"/>
      <c r="S79" s="232"/>
      <c r="T79" s="233"/>
      <c r="U79" s="9"/>
      <c r="V79" s="9"/>
      <c r="W79" s="9"/>
    </row>
    <row r="80" spans="1:23" ht="15.75" x14ac:dyDescent="0.25">
      <c r="A80" s="119"/>
      <c r="B80" s="136"/>
      <c r="C80" s="231"/>
      <c r="D80" s="232"/>
      <c r="E80" s="232"/>
      <c r="F80" s="232"/>
      <c r="G80" s="232"/>
      <c r="H80" s="232"/>
      <c r="I80" s="232"/>
      <c r="J80" s="232"/>
      <c r="K80" s="232"/>
      <c r="L80" s="232"/>
      <c r="M80" s="232"/>
      <c r="N80" s="232"/>
      <c r="O80" s="232"/>
      <c r="P80" s="232"/>
      <c r="Q80" s="232"/>
      <c r="R80" s="232"/>
      <c r="S80" s="232"/>
      <c r="T80" s="233"/>
      <c r="U80" s="9"/>
      <c r="V80" s="9"/>
      <c r="W80" s="9"/>
    </row>
    <row r="81" spans="1:23" ht="21.75" customHeight="1" thickBot="1" x14ac:dyDescent="0.3">
      <c r="A81" s="119"/>
      <c r="B81" s="136"/>
      <c r="C81" s="150"/>
      <c r="D81" s="151"/>
      <c r="E81" s="152"/>
      <c r="F81" s="152"/>
      <c r="G81" s="152"/>
      <c r="H81" s="152"/>
      <c r="I81" s="152"/>
      <c r="J81" s="152"/>
      <c r="K81" s="152"/>
      <c r="L81" s="152"/>
      <c r="M81" s="152"/>
      <c r="N81" s="152"/>
      <c r="O81" s="152"/>
      <c r="P81" s="152"/>
      <c r="Q81" s="152"/>
      <c r="R81" s="152"/>
      <c r="S81" s="152"/>
      <c r="T81" s="153"/>
      <c r="U81" s="152"/>
      <c r="V81" s="9"/>
      <c r="W81" s="9"/>
    </row>
    <row r="82" spans="1:23" ht="21.75" customHeight="1" thickBot="1" x14ac:dyDescent="0.3">
      <c r="B82" s="7"/>
      <c r="C82" s="154" t="s">
        <v>170</v>
      </c>
      <c r="D82" s="205" t="s">
        <v>8</v>
      </c>
      <c r="E82" s="205" t="s">
        <v>9</v>
      </c>
      <c r="F82" s="205" t="s">
        <v>10</v>
      </c>
      <c r="G82" s="205" t="s">
        <v>11</v>
      </c>
      <c r="H82" s="205" t="s">
        <v>12</v>
      </c>
      <c r="I82" s="205" t="s">
        <v>13</v>
      </c>
      <c r="J82" s="205" t="s">
        <v>14</v>
      </c>
      <c r="K82" s="205" t="s">
        <v>15</v>
      </c>
      <c r="L82" s="205" t="s">
        <v>16</v>
      </c>
      <c r="M82" s="205" t="s">
        <v>17</v>
      </c>
      <c r="N82" s="205" t="s">
        <v>18</v>
      </c>
      <c r="O82" s="205" t="s">
        <v>19</v>
      </c>
      <c r="P82" s="205" t="s">
        <v>20</v>
      </c>
      <c r="Q82" s="205" t="s">
        <v>21</v>
      </c>
      <c r="R82" s="205" t="s">
        <v>22</v>
      </c>
      <c r="S82" s="205" t="s">
        <v>23</v>
      </c>
      <c r="T82" s="206" t="s">
        <v>24</v>
      </c>
      <c r="U82" s="157"/>
      <c r="V82" s="9"/>
      <c r="W82" s="9"/>
    </row>
    <row r="83" spans="1:23" ht="21.75" customHeight="1" x14ac:dyDescent="0.25">
      <c r="B83" s="7"/>
      <c r="C83" s="199" t="s">
        <v>72</v>
      </c>
      <c r="D83" s="207">
        <f>Kontrollpanel!$F$37*D64</f>
        <v>0</v>
      </c>
      <c r="E83" s="207">
        <f>Kontrollpanel!$F$37*E64</f>
        <v>31544.45</v>
      </c>
      <c r="F83" s="207">
        <f>Kontrollpanel!$F$37*F64</f>
        <v>270381</v>
      </c>
      <c r="G83" s="207">
        <f>Kontrollpanel!$F$37*G64</f>
        <v>0</v>
      </c>
      <c r="H83" s="207">
        <f>Kontrollpanel!$F$37*H64</f>
        <v>108152.4</v>
      </c>
      <c r="I83" s="207">
        <f>Kontrollpanel!$F$37*I64</f>
        <v>162228.59999999998</v>
      </c>
      <c r="J83" s="207">
        <f>Kontrollpanel!$F$37*J64</f>
        <v>85620.650000000009</v>
      </c>
      <c r="K83" s="207">
        <f>Kontrollpanel!$F$37*K64</f>
        <v>0</v>
      </c>
      <c r="L83" s="207">
        <f>Kontrollpanel!$F$37*L64</f>
        <v>0</v>
      </c>
      <c r="M83" s="207">
        <f>Kontrollpanel!$F$37*M64</f>
        <v>54076.2</v>
      </c>
      <c r="N83" s="207">
        <f>Kontrollpanel!$F$37*N64</f>
        <v>0</v>
      </c>
      <c r="O83" s="207">
        <f>Kontrollpanel!$F$37*O64</f>
        <v>31544.45</v>
      </c>
      <c r="P83" s="207">
        <f>Kontrollpanel!$F$37*P64</f>
        <v>0</v>
      </c>
      <c r="Q83" s="207">
        <f>Kontrollpanel!$F$37*Q64</f>
        <v>0</v>
      </c>
      <c r="R83" s="207">
        <f>Kontrollpanel!$F$37*R64</f>
        <v>22531.75</v>
      </c>
      <c r="S83" s="207">
        <f>Kontrollpanel!$F$37*S64</f>
        <v>455141.35000000003</v>
      </c>
      <c r="T83" s="208">
        <f>SUM(D83:S83)</f>
        <v>1221220.8499999999</v>
      </c>
      <c r="U83" s="202"/>
      <c r="V83" s="9"/>
      <c r="W83" s="9"/>
    </row>
    <row r="84" spans="1:23" ht="18" customHeight="1" x14ac:dyDescent="0.25">
      <c r="B84" s="7"/>
      <c r="C84" s="200" t="s">
        <v>73</v>
      </c>
      <c r="D84" s="209">
        <v>0</v>
      </c>
      <c r="E84" s="163"/>
      <c r="F84" s="163"/>
      <c r="G84" s="163"/>
      <c r="H84" s="163"/>
      <c r="I84" s="163"/>
      <c r="J84" s="163"/>
      <c r="K84" s="163"/>
      <c r="L84" s="163"/>
      <c r="M84" s="163"/>
      <c r="N84" s="163"/>
      <c r="O84" s="163"/>
      <c r="P84" s="163"/>
      <c r="Q84" s="163"/>
      <c r="R84" s="163"/>
      <c r="S84" s="163"/>
      <c r="T84" s="210"/>
      <c r="U84" s="203"/>
      <c r="V84" s="9"/>
      <c r="W84" s="9"/>
    </row>
    <row r="85" spans="1:23" ht="16.5" customHeight="1" x14ac:dyDescent="0.25">
      <c r="B85" s="7"/>
      <c r="C85" s="134" t="s">
        <v>82</v>
      </c>
      <c r="D85" s="209">
        <f t="shared" ref="D85:S85" si="7">D65</f>
        <v>230000</v>
      </c>
      <c r="E85" s="209">
        <f t="shared" si="7"/>
        <v>918000</v>
      </c>
      <c r="F85" s="209">
        <f t="shared" si="7"/>
        <v>1443000</v>
      </c>
      <c r="G85" s="209">
        <f t="shared" si="7"/>
        <v>147000</v>
      </c>
      <c r="H85" s="209">
        <f t="shared" si="7"/>
        <v>650000</v>
      </c>
      <c r="I85" s="209">
        <f t="shared" si="7"/>
        <v>970000</v>
      </c>
      <c r="J85" s="209">
        <f t="shared" si="7"/>
        <v>2148000</v>
      </c>
      <c r="K85" s="209">
        <f t="shared" si="7"/>
        <v>105000</v>
      </c>
      <c r="L85" s="209">
        <f t="shared" si="7"/>
        <v>30000</v>
      </c>
      <c r="M85" s="209">
        <f t="shared" si="7"/>
        <v>1125000</v>
      </c>
      <c r="N85" s="209">
        <f t="shared" si="7"/>
        <v>152000</v>
      </c>
      <c r="O85" s="209">
        <f t="shared" si="7"/>
        <v>710000</v>
      </c>
      <c r="P85" s="209">
        <f t="shared" si="7"/>
        <v>2000</v>
      </c>
      <c r="Q85" s="209">
        <f t="shared" si="7"/>
        <v>1070000</v>
      </c>
      <c r="R85" s="209">
        <f t="shared" si="7"/>
        <v>87000</v>
      </c>
      <c r="S85" s="209">
        <f t="shared" si="7"/>
        <v>9424000</v>
      </c>
      <c r="T85" s="210">
        <f>SUM(D85:S85)</f>
        <v>19211000</v>
      </c>
      <c r="U85" s="203"/>
      <c r="V85" s="9"/>
      <c r="W85" s="9"/>
    </row>
    <row r="86" spans="1:23" ht="15.75" x14ac:dyDescent="0.25">
      <c r="B86" s="7"/>
      <c r="C86" s="134"/>
      <c r="D86" s="209"/>
      <c r="E86" s="163"/>
      <c r="F86" s="163"/>
      <c r="G86" s="163"/>
      <c r="H86" s="163"/>
      <c r="I86" s="163"/>
      <c r="J86" s="163"/>
      <c r="K86" s="163"/>
      <c r="L86" s="163"/>
      <c r="M86" s="163"/>
      <c r="N86" s="163"/>
      <c r="O86" s="163"/>
      <c r="P86" s="163"/>
      <c r="Q86" s="163"/>
      <c r="R86" s="163"/>
      <c r="S86" s="163"/>
      <c r="T86" s="211"/>
      <c r="U86" s="203"/>
      <c r="V86" s="9"/>
      <c r="W86" s="9"/>
    </row>
    <row r="87" spans="1:23" ht="17.25" customHeight="1" thickBot="1" x14ac:dyDescent="0.25">
      <c r="B87" s="64"/>
      <c r="C87" s="134">
        <f>Kontrollpanel!D40</f>
        <v>0.86</v>
      </c>
      <c r="D87" s="212">
        <f>D88-(Kontrollpanel!$G$40*Kontrollpanel!$D$41*D47)</f>
        <v>189624.448</v>
      </c>
      <c r="E87" s="212">
        <f>E88-(Kontrollpanel!$G$40*Kontrollpanel!$D$41*E47)</f>
        <v>864629.61719999998</v>
      </c>
      <c r="F87" s="212">
        <f>F88-(Kontrollpanel!$G$40*Kontrollpanel!$D$41*F47)</f>
        <v>1481852.4439999999</v>
      </c>
      <c r="G87" s="212">
        <f>G88-(Kontrollpanel!$G$40*Kontrollpanel!$D$41*G47)</f>
        <v>97918.469599999997</v>
      </c>
      <c r="H87" s="212">
        <f>H88-(Kontrollpanel!$G$40*Kontrollpanel!$D$41*H47)</f>
        <v>713360.772</v>
      </c>
      <c r="I87" s="212">
        <f>I88-(Kontrollpanel!$G$40*Kontrollpanel!$D$41*I47)</f>
        <v>993185.29280000005</v>
      </c>
      <c r="J87" s="212">
        <f>J88-(Kontrollpanel!$G$40*Kontrollpanel!$D$41*J47)</f>
        <v>1811569.9579999999</v>
      </c>
      <c r="K87" s="212">
        <f>K88-(Kontrollpanel!$G$40*Kontrollpanel!$D$41*K47)</f>
        <v>77115.634399999995</v>
      </c>
      <c r="L87" s="212">
        <f>L88-(Kontrollpanel!$G$40*Kontrollpanel!$D$41*L47)</f>
        <v>10064.571199999998</v>
      </c>
      <c r="M87" s="212">
        <f>M88-(Kontrollpanel!$G$40*Kontrollpanel!$D$41*M47)</f>
        <v>996376.82719999994</v>
      </c>
      <c r="N87" s="212">
        <f>N88-(Kontrollpanel!$G$40*Kontrollpanel!$D$41*N47)</f>
        <v>117302.26</v>
      </c>
      <c r="O87" s="212">
        <f>O88-(Kontrollpanel!$G$40*Kontrollpanel!$D$41*O47)</f>
        <v>579285.20039999997</v>
      </c>
      <c r="P87" s="212">
        <f>P88-(Kontrollpanel!$G$40*Kontrollpanel!$D$41*P47)</f>
        <v>-6201.2839999999997</v>
      </c>
      <c r="Q87" s="212">
        <f>Q88-(Kontrollpanel!$G$40*Kontrollpanel!$D$41*Q47)</f>
        <v>977893.272</v>
      </c>
      <c r="R87" s="212">
        <f>R88-(Kontrollpanel!$G$40*Kontrollpanel!$D$41*R47)</f>
        <v>73950.794800000003</v>
      </c>
      <c r="S87" s="212">
        <f>S88-(Kontrollpanel!$G$40*Kontrollpanel!$D$41*S47)</f>
        <v>8826727.3523999993</v>
      </c>
      <c r="T87" s="212">
        <f>T88-(Kontrollpanel!$G$40*Kontrollpanel!$D$41*T47)</f>
        <v>17804655.630000003</v>
      </c>
      <c r="U87" s="203"/>
      <c r="V87" s="9"/>
      <c r="W87" s="9">
        <f>SUM(D87:S87)</f>
        <v>17804655.629999999</v>
      </c>
    </row>
    <row r="88" spans="1:23" ht="16.5" thickBot="1" x14ac:dyDescent="0.3">
      <c r="B88" s="64"/>
      <c r="C88" s="201" t="s">
        <v>74</v>
      </c>
      <c r="D88" s="212">
        <f>SUM(D83:D85)</f>
        <v>230000</v>
      </c>
      <c r="E88" s="212">
        <f t="shared" ref="E88:S88" si="8">SUM(E83:E85)</f>
        <v>949544.45</v>
      </c>
      <c r="F88" s="212">
        <f t="shared" si="8"/>
        <v>1713381</v>
      </c>
      <c r="G88" s="212">
        <f t="shared" si="8"/>
        <v>147000</v>
      </c>
      <c r="H88" s="212">
        <f t="shared" si="8"/>
        <v>758152.4</v>
      </c>
      <c r="I88" s="212">
        <f t="shared" si="8"/>
        <v>1132228.6000000001</v>
      </c>
      <c r="J88" s="212">
        <f t="shared" si="8"/>
        <v>2233620.65</v>
      </c>
      <c r="K88" s="212">
        <f t="shared" si="8"/>
        <v>105000</v>
      </c>
      <c r="L88" s="212">
        <f t="shared" si="8"/>
        <v>30000</v>
      </c>
      <c r="M88" s="212">
        <f t="shared" si="8"/>
        <v>1179076.2</v>
      </c>
      <c r="N88" s="212">
        <f t="shared" si="8"/>
        <v>152000</v>
      </c>
      <c r="O88" s="212">
        <f t="shared" si="8"/>
        <v>741544.45</v>
      </c>
      <c r="P88" s="212">
        <f t="shared" si="8"/>
        <v>2000</v>
      </c>
      <c r="Q88" s="212">
        <f t="shared" si="8"/>
        <v>1070000</v>
      </c>
      <c r="R88" s="212">
        <f t="shared" si="8"/>
        <v>109531.75</v>
      </c>
      <c r="S88" s="212">
        <f t="shared" si="8"/>
        <v>9879141.3499999996</v>
      </c>
      <c r="T88" s="213">
        <f>SUM(T83:T85)</f>
        <v>20432220.850000001</v>
      </c>
      <c r="U88" s="204" t="s">
        <v>410</v>
      </c>
      <c r="V88" s="9"/>
      <c r="W88" s="9"/>
    </row>
    <row r="89" spans="1:23" ht="16.5" thickBot="1" x14ac:dyDescent="0.3">
      <c r="B89" s="64"/>
      <c r="C89" s="124"/>
      <c r="D89" s="171"/>
      <c r="E89" s="171"/>
      <c r="F89" s="171"/>
      <c r="G89" s="171"/>
      <c r="H89" s="171"/>
      <c r="I89" s="171"/>
      <c r="J89" s="171"/>
      <c r="K89" s="171"/>
      <c r="L89" s="171"/>
      <c r="M89" s="171"/>
      <c r="N89" s="171"/>
      <c r="O89" s="171"/>
      <c r="P89" s="171"/>
      <c r="Q89" s="171"/>
      <c r="R89" s="171"/>
      <c r="S89" s="171"/>
      <c r="T89" s="172"/>
      <c r="U89" s="173"/>
      <c r="V89" s="9"/>
      <c r="W89" s="9"/>
    </row>
    <row r="90" spans="1:23" ht="16.5" thickBot="1" x14ac:dyDescent="0.3">
      <c r="B90" s="64"/>
      <c r="C90" s="174" t="s">
        <v>99</v>
      </c>
      <c r="D90" s="175"/>
      <c r="E90" s="175"/>
      <c r="F90" s="175"/>
      <c r="G90" s="176"/>
      <c r="H90" s="175"/>
      <c r="I90" s="175"/>
      <c r="J90" s="175"/>
      <c r="K90" s="175"/>
      <c r="L90" s="175"/>
      <c r="M90" s="175"/>
      <c r="N90" s="176"/>
      <c r="O90" s="177"/>
      <c r="P90" s="177"/>
      <c r="Q90" s="177"/>
      <c r="R90" s="177"/>
      <c r="S90" s="177"/>
      <c r="T90" s="172"/>
      <c r="U90" s="173"/>
      <c r="V90" s="9"/>
      <c r="W90" s="9"/>
    </row>
    <row r="91" spans="1:23" ht="16.5" thickBot="1" x14ac:dyDescent="0.3">
      <c r="B91" s="64"/>
      <c r="C91" s="124"/>
      <c r="D91" s="177"/>
      <c r="E91" s="177"/>
      <c r="F91" s="177"/>
      <c r="G91" s="177"/>
      <c r="H91" s="177"/>
      <c r="I91" s="177"/>
      <c r="J91" s="177"/>
      <c r="K91" s="177"/>
      <c r="L91" s="177"/>
      <c r="M91" s="177"/>
      <c r="N91" s="177"/>
      <c r="O91" s="177"/>
      <c r="P91" s="177"/>
      <c r="Q91" s="177"/>
      <c r="R91" s="177"/>
      <c r="S91" s="177"/>
      <c r="T91" s="172"/>
      <c r="U91" s="173"/>
      <c r="V91" s="9"/>
      <c r="W91" s="9"/>
    </row>
    <row r="92" spans="1:23" ht="15.75" x14ac:dyDescent="0.25">
      <c r="B92" s="64"/>
      <c r="C92" s="178" t="s">
        <v>692</v>
      </c>
      <c r="D92" s="1303">
        <f>T87</f>
        <v>17804655.630000003</v>
      </c>
      <c r="E92" s="179"/>
      <c r="F92" s="179"/>
      <c r="G92" s="179"/>
      <c r="H92" s="180"/>
      <c r="I92" s="177"/>
      <c r="J92" s="1301" t="s">
        <v>694</v>
      </c>
      <c r="K92" s="1304">
        <f>T88-T87</f>
        <v>2627565.2199999988</v>
      </c>
      <c r="L92" s="1305"/>
      <c r="M92" s="177"/>
      <c r="N92" s="177"/>
      <c r="O92" s="177"/>
      <c r="P92" s="177"/>
      <c r="Q92" s="177"/>
      <c r="R92" s="177"/>
      <c r="S92" s="177"/>
      <c r="T92" s="172"/>
      <c r="U92" s="173"/>
      <c r="V92" s="9"/>
      <c r="W92" s="9"/>
    </row>
    <row r="93" spans="1:23" ht="15.75" x14ac:dyDescent="0.25">
      <c r="B93" s="64"/>
      <c r="C93" s="181" t="s">
        <v>74</v>
      </c>
      <c r="D93" s="182">
        <f>SUM(T83:T85)</f>
        <v>20432220.850000001</v>
      </c>
      <c r="E93" s="182"/>
      <c r="F93" s="182"/>
      <c r="G93" s="182"/>
      <c r="H93" s="183"/>
      <c r="I93" s="96"/>
      <c r="J93" s="96"/>
      <c r="K93" s="96"/>
      <c r="L93" s="96"/>
      <c r="M93" s="96"/>
      <c r="N93" s="96"/>
      <c r="O93" s="96"/>
      <c r="P93" s="96"/>
      <c r="Q93" s="96"/>
      <c r="R93" s="96"/>
      <c r="S93" s="96"/>
      <c r="T93" s="96"/>
      <c r="U93" s="184"/>
      <c r="V93" s="9"/>
      <c r="W93" s="9"/>
    </row>
    <row r="94" spans="1:23" ht="15.75" x14ac:dyDescent="0.25">
      <c r="B94" s="64"/>
      <c r="C94" s="181" t="s">
        <v>75</v>
      </c>
      <c r="D94" s="1210">
        <f>Kontrollpanel!D39</f>
        <v>0.65</v>
      </c>
      <c r="E94" s="182"/>
      <c r="F94" s="182" t="s">
        <v>76</v>
      </c>
      <c r="G94" s="182"/>
      <c r="H94" s="183"/>
      <c r="I94" s="96"/>
      <c r="J94" s="96"/>
      <c r="K94" s="1302">
        <f>D93-D92</f>
        <v>2627565.2199999988</v>
      </c>
      <c r="L94" s="96"/>
      <c r="M94" s="96"/>
      <c r="N94" s="96"/>
      <c r="O94" s="96"/>
      <c r="P94" s="96"/>
      <c r="Q94" s="96"/>
      <c r="R94" s="96"/>
      <c r="S94" s="96"/>
      <c r="T94" s="96"/>
      <c r="U94" s="184"/>
      <c r="V94" s="9"/>
      <c r="W94" s="9"/>
    </row>
    <row r="95" spans="1:23" ht="15.75" x14ac:dyDescent="0.25">
      <c r="B95" s="7"/>
      <c r="C95" s="181" t="s">
        <v>77</v>
      </c>
      <c r="D95" s="182">
        <f>D93-D94</f>
        <v>20432220.200000003</v>
      </c>
      <c r="E95" s="182"/>
      <c r="F95" s="182" t="s">
        <v>78</v>
      </c>
      <c r="G95" s="182"/>
      <c r="H95" s="183"/>
      <c r="I95" s="185"/>
      <c r="J95" s="185"/>
      <c r="K95" s="185"/>
      <c r="L95" s="185"/>
      <c r="M95" s="185"/>
      <c r="N95" s="185"/>
      <c r="O95" s="185"/>
      <c r="P95" s="185"/>
      <c r="Q95" s="185"/>
      <c r="R95" s="185"/>
      <c r="S95" s="185"/>
      <c r="T95" s="185"/>
      <c r="U95" s="186"/>
      <c r="V95" s="9"/>
      <c r="W95" s="9"/>
    </row>
    <row r="96" spans="1:23" ht="15.75" x14ac:dyDescent="0.25">
      <c r="B96" s="7"/>
      <c r="C96" s="181"/>
      <c r="D96" s="182"/>
      <c r="E96" s="182"/>
      <c r="F96" s="182"/>
      <c r="G96" s="182"/>
      <c r="H96" s="183"/>
      <c r="I96" s="185"/>
      <c r="J96" s="185"/>
      <c r="K96" s="185"/>
      <c r="L96" s="185"/>
      <c r="M96" s="185"/>
      <c r="N96" s="185"/>
      <c r="O96" s="185"/>
      <c r="P96" s="185"/>
      <c r="Q96" s="185"/>
      <c r="R96" s="185"/>
      <c r="S96" s="185"/>
      <c r="T96" s="185"/>
      <c r="U96" s="186"/>
      <c r="V96" s="9"/>
      <c r="W96" s="9"/>
    </row>
    <row r="97" spans="2:23" ht="16.5" thickBot="1" x14ac:dyDescent="0.3">
      <c r="B97" s="7"/>
      <c r="C97" s="187" t="s">
        <v>79</v>
      </c>
      <c r="D97" s="188">
        <f>D95/T43</f>
        <v>860.99280266318328</v>
      </c>
      <c r="E97" s="189"/>
      <c r="F97" s="189"/>
      <c r="G97" s="189"/>
      <c r="H97" s="190"/>
      <c r="I97" s="191"/>
      <c r="J97" s="191"/>
      <c r="K97" s="191"/>
      <c r="L97" s="191"/>
      <c r="M97" s="191"/>
      <c r="N97" s="191"/>
      <c r="O97" s="191"/>
      <c r="P97" s="191"/>
      <c r="Q97" s="191"/>
      <c r="R97" s="191"/>
      <c r="S97" s="191"/>
      <c r="T97" s="191"/>
      <c r="U97" s="152"/>
      <c r="V97" s="9"/>
      <c r="W97" s="9"/>
    </row>
    <row r="98" spans="2:23" hidden="1" x14ac:dyDescent="0.2">
      <c r="B98" s="7">
        <v>2012</v>
      </c>
      <c r="C98" s="152"/>
      <c r="D98" s="191"/>
      <c r="E98" s="191"/>
      <c r="F98" s="191"/>
      <c r="G98" s="191"/>
      <c r="H98" s="191"/>
      <c r="I98" s="191"/>
      <c r="J98" s="191"/>
      <c r="K98" s="191"/>
      <c r="L98" s="191"/>
      <c r="M98" s="191"/>
      <c r="N98" s="191"/>
      <c r="O98" s="191"/>
      <c r="P98" s="191"/>
      <c r="Q98" s="191"/>
      <c r="R98" s="191"/>
      <c r="S98" s="191"/>
      <c r="T98" s="191"/>
      <c r="U98" s="152"/>
      <c r="V98" s="18"/>
    </row>
    <row r="99" spans="2:23" hidden="1" x14ac:dyDescent="0.2">
      <c r="B99" s="7"/>
      <c r="C99" s="152"/>
      <c r="D99" s="191"/>
      <c r="E99" s="191"/>
      <c r="F99" s="191"/>
      <c r="G99" s="191"/>
      <c r="H99" s="191"/>
      <c r="I99" s="191"/>
      <c r="J99" s="191"/>
      <c r="K99" s="191"/>
      <c r="L99" s="191"/>
      <c r="M99" s="191"/>
      <c r="N99" s="191"/>
      <c r="O99" s="191"/>
      <c r="P99" s="191"/>
      <c r="Q99" s="191"/>
      <c r="R99" s="191"/>
      <c r="S99" s="191"/>
      <c r="T99" s="191"/>
      <c r="U99" s="152"/>
      <c r="V99" s="18"/>
    </row>
    <row r="100" spans="2:23" hidden="1" x14ac:dyDescent="0.2">
      <c r="B100" s="7"/>
      <c r="C100" s="152"/>
      <c r="D100" s="191"/>
      <c r="E100" s="191"/>
      <c r="F100" s="191"/>
      <c r="G100" s="191"/>
      <c r="H100" s="191"/>
      <c r="I100" s="191"/>
      <c r="J100" s="191"/>
      <c r="K100" s="191"/>
      <c r="L100" s="191"/>
      <c r="M100" s="191"/>
      <c r="N100" s="191"/>
      <c r="O100" s="191"/>
      <c r="P100" s="191"/>
      <c r="Q100" s="191"/>
      <c r="R100" s="191"/>
      <c r="S100" s="191"/>
      <c r="T100" s="191"/>
      <c r="U100" s="152"/>
      <c r="V100" s="18"/>
    </row>
    <row r="101" spans="2:23" hidden="1" x14ac:dyDescent="0.2">
      <c r="B101" s="7"/>
      <c r="C101" s="152"/>
      <c r="D101" s="191"/>
      <c r="E101" s="191"/>
      <c r="F101" s="191"/>
      <c r="G101" s="191"/>
      <c r="H101" s="191"/>
      <c r="I101" s="191"/>
      <c r="J101" s="191"/>
      <c r="K101" s="191"/>
      <c r="L101" s="191"/>
      <c r="M101" s="191"/>
      <c r="N101" s="191"/>
      <c r="O101" s="191"/>
      <c r="P101" s="191"/>
      <c r="Q101" s="191"/>
      <c r="R101" s="191"/>
      <c r="S101" s="191"/>
      <c r="T101" s="191"/>
      <c r="U101" s="152"/>
      <c r="V101" s="18"/>
    </row>
    <row r="102" spans="2:23" hidden="1" x14ac:dyDescent="0.2">
      <c r="B102" s="7"/>
      <c r="C102" s="152"/>
      <c r="D102" s="191"/>
      <c r="E102" s="191"/>
      <c r="F102" s="191"/>
      <c r="G102" s="191"/>
      <c r="H102" s="191"/>
      <c r="I102" s="191"/>
      <c r="J102" s="191"/>
      <c r="K102" s="191"/>
      <c r="L102" s="191"/>
      <c r="M102" s="191"/>
      <c r="N102" s="191"/>
      <c r="O102" s="191"/>
      <c r="P102" s="191"/>
      <c r="Q102" s="191"/>
      <c r="R102" s="191"/>
      <c r="S102" s="191"/>
      <c r="T102" s="191"/>
      <c r="U102" s="152"/>
      <c r="V102" s="18"/>
    </row>
    <row r="103" spans="2:23" hidden="1" x14ac:dyDescent="0.2">
      <c r="B103" s="7"/>
      <c r="C103" s="152"/>
      <c r="D103" s="191"/>
      <c r="E103" s="191"/>
      <c r="F103" s="191"/>
      <c r="G103" s="191"/>
      <c r="H103" s="191"/>
      <c r="I103" s="191"/>
      <c r="J103" s="191"/>
      <c r="K103" s="191"/>
      <c r="L103" s="191"/>
      <c r="M103" s="191"/>
      <c r="N103" s="191"/>
      <c r="O103" s="191"/>
      <c r="P103" s="191"/>
      <c r="Q103" s="191"/>
      <c r="R103" s="191"/>
      <c r="S103" s="191"/>
      <c r="T103" s="191"/>
      <c r="U103" s="152"/>
      <c r="V103" s="18"/>
    </row>
    <row r="104" spans="2:23" hidden="1" x14ac:dyDescent="0.2">
      <c r="B104" s="7"/>
      <c r="C104" s="152"/>
      <c r="D104" s="191"/>
      <c r="E104" s="191"/>
      <c r="F104" s="191"/>
      <c r="G104" s="191"/>
      <c r="H104" s="191"/>
      <c r="I104" s="191"/>
      <c r="J104" s="191"/>
      <c r="K104" s="191"/>
      <c r="L104" s="191"/>
      <c r="M104" s="191"/>
      <c r="N104" s="191"/>
      <c r="O104" s="191"/>
      <c r="P104" s="191"/>
      <c r="Q104" s="191"/>
      <c r="R104" s="191"/>
      <c r="S104" s="191"/>
      <c r="T104" s="191"/>
      <c r="U104" s="152"/>
      <c r="V104" s="18"/>
    </row>
    <row r="105" spans="2:23" hidden="1" x14ac:dyDescent="0.2">
      <c r="B105" s="7"/>
      <c r="C105" s="152"/>
      <c r="D105" s="191"/>
      <c r="E105" s="191"/>
      <c r="F105" s="191"/>
      <c r="G105" s="191"/>
      <c r="H105" s="191"/>
      <c r="I105" s="191"/>
      <c r="J105" s="191"/>
      <c r="K105" s="191"/>
      <c r="L105" s="191"/>
      <c r="M105" s="191"/>
      <c r="N105" s="191"/>
      <c r="O105" s="191"/>
      <c r="P105" s="191"/>
      <c r="Q105" s="191"/>
      <c r="R105" s="191"/>
      <c r="S105" s="191"/>
      <c r="T105" s="191"/>
      <c r="U105" s="152"/>
      <c r="V105" s="18"/>
    </row>
    <row r="106" spans="2:23" hidden="1" x14ac:dyDescent="0.2">
      <c r="B106" s="7"/>
      <c r="C106" s="152"/>
      <c r="D106" s="191"/>
      <c r="E106" s="191"/>
      <c r="F106" s="191"/>
      <c r="G106" s="191"/>
      <c r="H106" s="191"/>
      <c r="I106" s="191"/>
      <c r="J106" s="191"/>
      <c r="K106" s="191"/>
      <c r="L106" s="191"/>
      <c r="M106" s="191"/>
      <c r="N106" s="191"/>
      <c r="O106" s="191"/>
      <c r="P106" s="191"/>
      <c r="Q106" s="191"/>
      <c r="R106" s="191"/>
      <c r="S106" s="191"/>
      <c r="T106" s="191"/>
      <c r="U106" s="152"/>
      <c r="V106" s="18"/>
    </row>
    <row r="107" spans="2:23" hidden="1" x14ac:dyDescent="0.2">
      <c r="B107" s="7"/>
      <c r="C107" s="152"/>
      <c r="D107" s="191"/>
      <c r="E107" s="191"/>
      <c r="F107" s="191"/>
      <c r="G107" s="191"/>
      <c r="H107" s="191"/>
      <c r="I107" s="191"/>
      <c r="J107" s="191"/>
      <c r="K107" s="191"/>
      <c r="L107" s="191"/>
      <c r="M107" s="191"/>
      <c r="N107" s="191"/>
      <c r="O107" s="191"/>
      <c r="P107" s="191"/>
      <c r="Q107" s="191"/>
      <c r="R107" s="191"/>
      <c r="S107" s="191"/>
      <c r="T107" s="191"/>
      <c r="U107" s="152"/>
      <c r="V107" s="18"/>
    </row>
    <row r="108" spans="2:23" hidden="1" x14ac:dyDescent="0.2">
      <c r="B108" s="7"/>
      <c r="C108" s="152"/>
      <c r="D108" s="191"/>
      <c r="E108" s="191"/>
      <c r="F108" s="191"/>
      <c r="G108" s="191"/>
      <c r="H108" s="191"/>
      <c r="I108" s="191"/>
      <c r="J108" s="191"/>
      <c r="K108" s="191"/>
      <c r="L108" s="191"/>
      <c r="M108" s="191"/>
      <c r="N108" s="191"/>
      <c r="O108" s="191"/>
      <c r="P108" s="191"/>
      <c r="Q108" s="191"/>
      <c r="R108" s="191"/>
      <c r="S108" s="191"/>
      <c r="T108" s="191"/>
      <c r="U108" s="152"/>
      <c r="V108" s="19"/>
    </row>
    <row r="109" spans="2:23" hidden="1" x14ac:dyDescent="0.2">
      <c r="B109" s="7"/>
      <c r="C109" s="152"/>
      <c r="D109" s="191"/>
      <c r="E109" s="191"/>
      <c r="F109" s="191"/>
      <c r="G109" s="191"/>
      <c r="H109" s="191"/>
      <c r="I109" s="191"/>
      <c r="J109" s="191"/>
      <c r="K109" s="191"/>
      <c r="L109" s="191"/>
      <c r="M109" s="191"/>
      <c r="N109" s="191"/>
      <c r="O109" s="191"/>
      <c r="P109" s="191"/>
      <c r="Q109" s="191"/>
      <c r="R109" s="191"/>
      <c r="S109" s="191"/>
      <c r="T109" s="191"/>
      <c r="U109" s="152"/>
      <c r="V109" s="11"/>
    </row>
    <row r="110" spans="2:23" hidden="1" x14ac:dyDescent="0.2">
      <c r="B110" s="7"/>
      <c r="C110" s="152"/>
      <c r="D110" s="191"/>
      <c r="E110" s="191"/>
      <c r="F110" s="191"/>
      <c r="G110" s="191"/>
      <c r="H110" s="191"/>
      <c r="I110" s="191"/>
      <c r="J110" s="191"/>
      <c r="K110" s="191"/>
      <c r="L110" s="191"/>
      <c r="M110" s="191"/>
      <c r="N110" s="191"/>
      <c r="O110" s="191"/>
      <c r="P110" s="191"/>
      <c r="Q110" s="191"/>
      <c r="R110" s="191"/>
      <c r="S110" s="191"/>
      <c r="T110" s="191"/>
      <c r="U110" s="152"/>
      <c r="V110" s="14"/>
    </row>
    <row r="111" spans="2:23" hidden="1" x14ac:dyDescent="0.2">
      <c r="B111" s="7"/>
      <c r="C111" s="152"/>
      <c r="D111" s="191"/>
      <c r="E111" s="191"/>
      <c r="F111" s="191"/>
      <c r="G111" s="191"/>
      <c r="H111" s="191"/>
      <c r="I111" s="191"/>
      <c r="J111" s="191"/>
      <c r="K111" s="191"/>
      <c r="L111" s="191"/>
      <c r="M111" s="191"/>
      <c r="N111" s="191"/>
      <c r="O111" s="191"/>
      <c r="P111" s="191"/>
      <c r="Q111" s="191"/>
      <c r="R111" s="191"/>
      <c r="S111" s="191"/>
      <c r="T111" s="191"/>
      <c r="U111" s="152"/>
      <c r="V111" s="14"/>
    </row>
    <row r="112" spans="2:23" hidden="1" x14ac:dyDescent="0.2">
      <c r="B112" s="7"/>
      <c r="C112" s="152"/>
      <c r="D112" s="191"/>
      <c r="E112" s="191"/>
      <c r="F112" s="191"/>
      <c r="G112" s="191"/>
      <c r="H112" s="191"/>
      <c r="I112" s="191"/>
      <c r="J112" s="191"/>
      <c r="K112" s="191"/>
      <c r="L112" s="191"/>
      <c r="M112" s="191"/>
      <c r="N112" s="191"/>
      <c r="O112" s="191"/>
      <c r="P112" s="191"/>
      <c r="Q112" s="191"/>
      <c r="R112" s="191"/>
      <c r="S112" s="191"/>
      <c r="T112" s="191"/>
      <c r="U112" s="152"/>
      <c r="V112" s="14"/>
    </row>
    <row r="113" spans="2:22" hidden="1" x14ac:dyDescent="0.2">
      <c r="B113" s="7"/>
      <c r="C113" s="152"/>
      <c r="D113" s="191"/>
      <c r="E113" s="191"/>
      <c r="F113" s="191"/>
      <c r="G113" s="191"/>
      <c r="H113" s="191"/>
      <c r="I113" s="191"/>
      <c r="J113" s="191"/>
      <c r="K113" s="191"/>
      <c r="L113" s="191"/>
      <c r="M113" s="191"/>
      <c r="N113" s="191"/>
      <c r="O113" s="191"/>
      <c r="P113" s="191"/>
      <c r="Q113" s="191"/>
      <c r="R113" s="191"/>
      <c r="S113" s="191"/>
      <c r="T113" s="191"/>
      <c r="U113" s="152"/>
      <c r="V113" s="14"/>
    </row>
    <row r="114" spans="2:22" hidden="1" x14ac:dyDescent="0.2">
      <c r="B114" s="7"/>
      <c r="C114" s="152"/>
      <c r="D114" s="191"/>
      <c r="E114" s="191"/>
      <c r="F114" s="191"/>
      <c r="G114" s="191"/>
      <c r="H114" s="191"/>
      <c r="I114" s="191"/>
      <c r="J114" s="191"/>
      <c r="K114" s="191"/>
      <c r="L114" s="191"/>
      <c r="M114" s="191"/>
      <c r="N114" s="191"/>
      <c r="O114" s="191"/>
      <c r="P114" s="191"/>
      <c r="Q114" s="191"/>
      <c r="R114" s="191"/>
      <c r="S114" s="191"/>
      <c r="T114" s="191"/>
      <c r="U114" s="152"/>
      <c r="V114" s="14"/>
    </row>
    <row r="115" spans="2:22" hidden="1" x14ac:dyDescent="0.2">
      <c r="B115" s="7"/>
      <c r="C115" s="152"/>
      <c r="D115" s="191"/>
      <c r="E115" s="191"/>
      <c r="F115" s="191"/>
      <c r="G115" s="191"/>
      <c r="H115" s="191"/>
      <c r="I115" s="191"/>
      <c r="J115" s="191"/>
      <c r="K115" s="191"/>
      <c r="L115" s="191"/>
      <c r="M115" s="191"/>
      <c r="N115" s="191"/>
      <c r="O115" s="191"/>
      <c r="P115" s="191"/>
      <c r="Q115" s="191"/>
      <c r="R115" s="191"/>
      <c r="S115" s="191"/>
      <c r="T115" s="191"/>
      <c r="U115" s="152"/>
      <c r="V115" s="14"/>
    </row>
    <row r="116" spans="2:22" hidden="1" x14ac:dyDescent="0.2">
      <c r="B116" s="7"/>
      <c r="C116" s="152"/>
      <c r="D116" s="191"/>
      <c r="E116" s="191"/>
      <c r="F116" s="191"/>
      <c r="G116" s="191"/>
      <c r="H116" s="191"/>
      <c r="I116" s="191"/>
      <c r="J116" s="191"/>
      <c r="K116" s="191"/>
      <c r="L116" s="191"/>
      <c r="M116" s="191"/>
      <c r="N116" s="191"/>
      <c r="O116" s="191"/>
      <c r="P116" s="191"/>
      <c r="Q116" s="191"/>
      <c r="R116" s="191"/>
      <c r="S116" s="191"/>
      <c r="T116" s="191"/>
      <c r="U116" s="152"/>
      <c r="V116" s="14"/>
    </row>
    <row r="117" spans="2:22" hidden="1" x14ac:dyDescent="0.2">
      <c r="B117" s="7"/>
      <c r="C117" s="152"/>
      <c r="D117" s="191"/>
      <c r="E117" s="191"/>
      <c r="F117" s="191"/>
      <c r="G117" s="191"/>
      <c r="H117" s="191"/>
      <c r="I117" s="191"/>
      <c r="J117" s="191"/>
      <c r="K117" s="191"/>
      <c r="L117" s="191"/>
      <c r="M117" s="191"/>
      <c r="N117" s="191"/>
      <c r="O117" s="191"/>
      <c r="P117" s="191"/>
      <c r="Q117" s="191"/>
      <c r="R117" s="191"/>
      <c r="S117" s="191"/>
      <c r="T117" s="191"/>
      <c r="U117" s="152"/>
      <c r="V117" s="14"/>
    </row>
    <row r="118" spans="2:22" hidden="1" x14ac:dyDescent="0.2">
      <c r="B118" s="7"/>
      <c r="C118" s="152"/>
      <c r="D118" s="191"/>
      <c r="E118" s="191"/>
      <c r="F118" s="191"/>
      <c r="G118" s="191"/>
      <c r="H118" s="191"/>
      <c r="I118" s="191"/>
      <c r="J118" s="191"/>
      <c r="K118" s="191"/>
      <c r="L118" s="191"/>
      <c r="M118" s="191"/>
      <c r="N118" s="191"/>
      <c r="O118" s="191"/>
      <c r="P118" s="191"/>
      <c r="Q118" s="191"/>
      <c r="R118" s="191"/>
      <c r="S118" s="191"/>
      <c r="T118" s="191"/>
      <c r="U118" s="152"/>
      <c r="V118" s="14"/>
    </row>
    <row r="119" spans="2:22" hidden="1" x14ac:dyDescent="0.2">
      <c r="B119" s="7"/>
      <c r="C119" s="152"/>
      <c r="D119" s="191"/>
      <c r="E119" s="191"/>
      <c r="F119" s="191"/>
      <c r="G119" s="191"/>
      <c r="H119" s="191"/>
      <c r="I119" s="191"/>
      <c r="J119" s="191"/>
      <c r="K119" s="191"/>
      <c r="L119" s="191"/>
      <c r="M119" s="191"/>
      <c r="N119" s="191"/>
      <c r="O119" s="191"/>
      <c r="P119" s="191"/>
      <c r="Q119" s="191"/>
      <c r="R119" s="191"/>
      <c r="S119" s="191"/>
      <c r="T119" s="191"/>
      <c r="U119" s="152"/>
      <c r="V119" s="14"/>
    </row>
    <row r="120" spans="2:22" hidden="1" x14ac:dyDescent="0.2">
      <c r="B120" s="7"/>
      <c r="C120" s="152"/>
      <c r="D120" s="191"/>
      <c r="E120" s="191"/>
      <c r="F120" s="191"/>
      <c r="G120" s="191"/>
      <c r="H120" s="191"/>
      <c r="I120" s="191"/>
      <c r="J120" s="191"/>
      <c r="K120" s="191"/>
      <c r="L120" s="191"/>
      <c r="M120" s="191"/>
      <c r="N120" s="191"/>
      <c r="O120" s="191"/>
      <c r="P120" s="191"/>
      <c r="Q120" s="191"/>
      <c r="R120" s="191"/>
      <c r="S120" s="191"/>
      <c r="T120" s="191"/>
      <c r="U120" s="152"/>
      <c r="V120" s="14"/>
    </row>
    <row r="121" spans="2:22" hidden="1" x14ac:dyDescent="0.2">
      <c r="B121" s="7"/>
      <c r="C121" s="152"/>
      <c r="D121" s="191"/>
      <c r="E121" s="191"/>
      <c r="F121" s="191"/>
      <c r="G121" s="191"/>
      <c r="H121" s="191"/>
      <c r="I121" s="191"/>
      <c r="J121" s="191"/>
      <c r="K121" s="191"/>
      <c r="L121" s="191"/>
      <c r="M121" s="191"/>
      <c r="N121" s="191"/>
      <c r="O121" s="191"/>
      <c r="P121" s="191"/>
      <c r="Q121" s="191"/>
      <c r="R121" s="191"/>
      <c r="S121" s="191"/>
      <c r="T121" s="191"/>
      <c r="U121" s="152"/>
      <c r="V121" s="14"/>
    </row>
    <row r="122" spans="2:22" hidden="1" x14ac:dyDescent="0.2">
      <c r="B122" s="7"/>
      <c r="C122" s="152"/>
      <c r="D122" s="191"/>
      <c r="E122" s="191"/>
      <c r="F122" s="191"/>
      <c r="G122" s="191"/>
      <c r="H122" s="191"/>
      <c r="I122" s="191"/>
      <c r="J122" s="191"/>
      <c r="K122" s="191"/>
      <c r="L122" s="191"/>
      <c r="M122" s="191"/>
      <c r="N122" s="191"/>
      <c r="O122" s="191"/>
      <c r="P122" s="191"/>
      <c r="Q122" s="191"/>
      <c r="R122" s="191"/>
      <c r="S122" s="191"/>
      <c r="T122" s="191"/>
      <c r="U122" s="152"/>
      <c r="V122" s="14"/>
    </row>
    <row r="123" spans="2:22" hidden="1" x14ac:dyDescent="0.2">
      <c r="B123" s="7"/>
      <c r="C123" s="152"/>
      <c r="D123" s="191"/>
      <c r="E123" s="191"/>
      <c r="F123" s="191"/>
      <c r="G123" s="191"/>
      <c r="H123" s="191"/>
      <c r="I123" s="191"/>
      <c r="J123" s="191"/>
      <c r="K123" s="191"/>
      <c r="L123" s="191"/>
      <c r="M123" s="191"/>
      <c r="N123" s="191"/>
      <c r="O123" s="191"/>
      <c r="P123" s="191"/>
      <c r="Q123" s="191"/>
      <c r="R123" s="191"/>
      <c r="S123" s="191"/>
      <c r="T123" s="191"/>
      <c r="U123" s="152"/>
      <c r="V123" s="11"/>
    </row>
    <row r="124" spans="2:22" hidden="1" x14ac:dyDescent="0.2">
      <c r="B124" s="7"/>
      <c r="C124" s="152"/>
      <c r="D124" s="191"/>
      <c r="E124" s="191"/>
      <c r="F124" s="191"/>
      <c r="G124" s="191"/>
      <c r="H124" s="191"/>
      <c r="I124" s="191"/>
      <c r="J124" s="191"/>
      <c r="K124" s="191"/>
      <c r="L124" s="191"/>
      <c r="M124" s="191"/>
      <c r="N124" s="191"/>
      <c r="O124" s="191"/>
      <c r="P124" s="191"/>
      <c r="Q124" s="191"/>
      <c r="R124" s="191"/>
      <c r="S124" s="191"/>
      <c r="T124" s="191"/>
      <c r="U124" s="152"/>
      <c r="V124" s="11"/>
    </row>
    <row r="125" spans="2:22" hidden="1" x14ac:dyDescent="0.2">
      <c r="B125" s="7"/>
      <c r="C125" s="152"/>
      <c r="D125" s="191"/>
      <c r="E125" s="191"/>
      <c r="F125" s="191"/>
      <c r="G125" s="191"/>
      <c r="H125" s="191"/>
      <c r="I125" s="191"/>
      <c r="J125" s="191"/>
      <c r="K125" s="191"/>
      <c r="L125" s="191"/>
      <c r="M125" s="191"/>
      <c r="N125" s="191"/>
      <c r="O125" s="191"/>
      <c r="P125" s="191"/>
      <c r="Q125" s="191"/>
      <c r="R125" s="191"/>
      <c r="S125" s="191"/>
      <c r="T125" s="191"/>
      <c r="U125" s="152"/>
      <c r="V125" s="11"/>
    </row>
    <row r="126" spans="2:22" hidden="1" x14ac:dyDescent="0.2">
      <c r="B126" s="7">
        <v>2011</v>
      </c>
      <c r="C126" s="152"/>
      <c r="D126" s="191"/>
      <c r="E126" s="191"/>
      <c r="F126" s="191"/>
      <c r="G126" s="191"/>
      <c r="H126" s="191"/>
      <c r="I126" s="191"/>
      <c r="J126" s="191"/>
      <c r="K126" s="191"/>
      <c r="L126" s="191"/>
      <c r="M126" s="191"/>
      <c r="N126" s="191"/>
      <c r="O126" s="191"/>
      <c r="P126" s="191"/>
      <c r="Q126" s="191"/>
      <c r="R126" s="191"/>
      <c r="S126" s="191"/>
      <c r="T126" s="191"/>
      <c r="U126" s="152"/>
      <c r="V126" s="8"/>
    </row>
    <row r="127" spans="2:22" hidden="1" x14ac:dyDescent="0.2">
      <c r="B127" s="7"/>
      <c r="C127" s="152"/>
      <c r="D127" s="191"/>
      <c r="E127" s="191"/>
      <c r="F127" s="191"/>
      <c r="G127" s="191"/>
      <c r="H127" s="191"/>
      <c r="I127" s="191"/>
      <c r="J127" s="191"/>
      <c r="K127" s="191"/>
      <c r="L127" s="191"/>
      <c r="M127" s="191"/>
      <c r="N127" s="191"/>
      <c r="O127" s="191"/>
      <c r="P127" s="191"/>
      <c r="Q127" s="191"/>
      <c r="R127" s="191"/>
      <c r="S127" s="191"/>
      <c r="T127" s="191"/>
      <c r="U127" s="152"/>
      <c r="V127" s="18"/>
    </row>
    <row r="128" spans="2:22" hidden="1" x14ac:dyDescent="0.2">
      <c r="B128" s="7"/>
      <c r="C128" s="152"/>
      <c r="D128" s="191"/>
      <c r="E128" s="191"/>
      <c r="F128" s="191"/>
      <c r="G128" s="191"/>
      <c r="H128" s="191"/>
      <c r="I128" s="191"/>
      <c r="J128" s="191"/>
      <c r="K128" s="191"/>
      <c r="L128" s="191"/>
      <c r="M128" s="191"/>
      <c r="N128" s="191"/>
      <c r="O128" s="191"/>
      <c r="P128" s="191"/>
      <c r="Q128" s="191"/>
      <c r="R128" s="191"/>
      <c r="S128" s="191"/>
      <c r="T128" s="191"/>
      <c r="U128" s="152"/>
      <c r="V128" s="18"/>
    </row>
    <row r="129" spans="2:22" hidden="1" x14ac:dyDescent="0.2">
      <c r="B129" s="7"/>
      <c r="C129" s="152"/>
      <c r="D129" s="191"/>
      <c r="E129" s="191"/>
      <c r="F129" s="191"/>
      <c r="G129" s="191"/>
      <c r="H129" s="191"/>
      <c r="I129" s="191"/>
      <c r="J129" s="191"/>
      <c r="K129" s="191"/>
      <c r="L129" s="191"/>
      <c r="M129" s="191"/>
      <c r="N129" s="191"/>
      <c r="O129" s="191"/>
      <c r="P129" s="191"/>
      <c r="Q129" s="191"/>
      <c r="R129" s="191"/>
      <c r="S129" s="191"/>
      <c r="T129" s="191"/>
      <c r="U129" s="152"/>
      <c r="V129" s="18"/>
    </row>
    <row r="130" spans="2:22" hidden="1" x14ac:dyDescent="0.2">
      <c r="B130" s="7"/>
      <c r="C130" s="152"/>
      <c r="D130" s="191"/>
      <c r="E130" s="191"/>
      <c r="F130" s="191"/>
      <c r="G130" s="191"/>
      <c r="H130" s="191"/>
      <c r="I130" s="191"/>
      <c r="J130" s="191"/>
      <c r="K130" s="191"/>
      <c r="L130" s="191"/>
      <c r="M130" s="191"/>
      <c r="N130" s="191"/>
      <c r="O130" s="191"/>
      <c r="P130" s="191"/>
      <c r="Q130" s="191"/>
      <c r="R130" s="191"/>
      <c r="S130" s="191"/>
      <c r="T130" s="191"/>
      <c r="U130" s="152"/>
      <c r="V130" s="18"/>
    </row>
    <row r="131" spans="2:22" hidden="1" x14ac:dyDescent="0.2">
      <c r="B131" s="7"/>
      <c r="C131" s="152"/>
      <c r="D131" s="191"/>
      <c r="E131" s="191"/>
      <c r="F131" s="191"/>
      <c r="G131" s="191"/>
      <c r="H131" s="191"/>
      <c r="I131" s="191"/>
      <c r="J131" s="191"/>
      <c r="K131" s="191"/>
      <c r="L131" s="191"/>
      <c r="M131" s="191"/>
      <c r="N131" s="191"/>
      <c r="O131" s="191"/>
      <c r="P131" s="191"/>
      <c r="Q131" s="191"/>
      <c r="R131" s="191"/>
      <c r="S131" s="191"/>
      <c r="T131" s="191"/>
      <c r="U131" s="152"/>
      <c r="V131" s="18"/>
    </row>
    <row r="132" spans="2:22" hidden="1" x14ac:dyDescent="0.2">
      <c r="B132" s="7"/>
      <c r="C132" s="152"/>
      <c r="D132" s="191"/>
      <c r="E132" s="191"/>
      <c r="F132" s="191"/>
      <c r="G132" s="191"/>
      <c r="H132" s="191"/>
      <c r="I132" s="191"/>
      <c r="J132" s="191"/>
      <c r="K132" s="191"/>
      <c r="L132" s="191"/>
      <c r="M132" s="191"/>
      <c r="N132" s="191"/>
      <c r="O132" s="191"/>
      <c r="P132" s="191"/>
      <c r="Q132" s="191"/>
      <c r="R132" s="191"/>
      <c r="S132" s="191"/>
      <c r="T132" s="191"/>
      <c r="U132" s="152"/>
      <c r="V132" s="18"/>
    </row>
    <row r="133" spans="2:22" hidden="1" x14ac:dyDescent="0.2">
      <c r="B133" s="7"/>
      <c r="C133" s="152"/>
      <c r="D133" s="191"/>
      <c r="E133" s="191"/>
      <c r="F133" s="191"/>
      <c r="G133" s="191"/>
      <c r="H133" s="191"/>
      <c r="I133" s="191"/>
      <c r="J133" s="191"/>
      <c r="K133" s="191"/>
      <c r="L133" s="191"/>
      <c r="M133" s="191"/>
      <c r="N133" s="191"/>
      <c r="O133" s="191"/>
      <c r="P133" s="191"/>
      <c r="Q133" s="191"/>
      <c r="R133" s="191"/>
      <c r="S133" s="191"/>
      <c r="T133" s="191"/>
      <c r="U133" s="152"/>
      <c r="V133" s="18"/>
    </row>
    <row r="134" spans="2:22" hidden="1" x14ac:dyDescent="0.2">
      <c r="B134" s="7"/>
      <c r="C134" s="152"/>
      <c r="D134" s="191"/>
      <c r="E134" s="191"/>
      <c r="F134" s="191"/>
      <c r="G134" s="191"/>
      <c r="H134" s="191"/>
      <c r="I134" s="191"/>
      <c r="J134" s="191"/>
      <c r="K134" s="191"/>
      <c r="L134" s="191"/>
      <c r="M134" s="191"/>
      <c r="N134" s="191"/>
      <c r="O134" s="191"/>
      <c r="P134" s="191"/>
      <c r="Q134" s="191"/>
      <c r="R134" s="191"/>
      <c r="S134" s="191"/>
      <c r="T134" s="191"/>
      <c r="U134" s="152"/>
      <c r="V134" s="18"/>
    </row>
    <row r="135" spans="2:22" hidden="1" x14ac:dyDescent="0.2">
      <c r="B135" s="7"/>
      <c r="C135" s="152"/>
      <c r="D135" s="191"/>
      <c r="E135" s="191"/>
      <c r="F135" s="191"/>
      <c r="G135" s="191"/>
      <c r="H135" s="191"/>
      <c r="I135" s="191"/>
      <c r="J135" s="191"/>
      <c r="K135" s="191"/>
      <c r="L135" s="191"/>
      <c r="M135" s="191"/>
      <c r="N135" s="191"/>
      <c r="O135" s="191"/>
      <c r="P135" s="191"/>
      <c r="Q135" s="191"/>
      <c r="R135" s="191"/>
      <c r="S135" s="191"/>
      <c r="T135" s="191"/>
      <c r="U135" s="152"/>
      <c r="V135" s="18"/>
    </row>
    <row r="136" spans="2:22" ht="25.5" hidden="1" customHeight="1" x14ac:dyDescent="0.2">
      <c r="B136" s="7"/>
      <c r="C136" s="152"/>
      <c r="D136" s="191"/>
      <c r="E136" s="191"/>
      <c r="F136" s="191"/>
      <c r="G136" s="191"/>
      <c r="H136" s="191"/>
      <c r="I136" s="191"/>
      <c r="J136" s="191"/>
      <c r="K136" s="191"/>
      <c r="L136" s="191"/>
      <c r="M136" s="191"/>
      <c r="N136" s="191"/>
      <c r="O136" s="191"/>
      <c r="P136" s="191"/>
      <c r="Q136" s="191"/>
      <c r="R136" s="191"/>
      <c r="S136" s="191"/>
      <c r="T136" s="191"/>
      <c r="U136" s="152"/>
      <c r="V136" s="19"/>
    </row>
    <row r="137" spans="2:22" ht="22.5" hidden="1" customHeight="1" x14ac:dyDescent="0.2">
      <c r="B137" s="7"/>
      <c r="C137" s="152"/>
      <c r="D137" s="191"/>
      <c r="E137" s="191"/>
      <c r="F137" s="191"/>
      <c r="G137" s="191"/>
      <c r="H137" s="191"/>
      <c r="I137" s="191"/>
      <c r="J137" s="191"/>
      <c r="K137" s="191"/>
      <c r="L137" s="191"/>
      <c r="M137" s="191"/>
      <c r="N137" s="191"/>
      <c r="O137" s="191"/>
      <c r="P137" s="191"/>
      <c r="Q137" s="191"/>
      <c r="R137" s="191"/>
      <c r="S137" s="191"/>
      <c r="T137" s="191"/>
      <c r="U137" s="152"/>
      <c r="V137" s="11"/>
    </row>
    <row r="138" spans="2:22" ht="21.75" hidden="1" customHeight="1" x14ac:dyDescent="0.2">
      <c r="B138" s="7"/>
      <c r="C138" s="152"/>
      <c r="D138" s="191"/>
      <c r="E138" s="191"/>
      <c r="F138" s="191"/>
      <c r="G138" s="191"/>
      <c r="H138" s="191"/>
      <c r="I138" s="191"/>
      <c r="J138" s="191"/>
      <c r="K138" s="191"/>
      <c r="L138" s="191"/>
      <c r="M138" s="191"/>
      <c r="N138" s="191"/>
      <c r="O138" s="191"/>
      <c r="P138" s="191"/>
      <c r="Q138" s="191"/>
      <c r="R138" s="191"/>
      <c r="S138" s="191"/>
      <c r="T138" s="191"/>
      <c r="U138" s="152"/>
      <c r="V138" s="14"/>
    </row>
    <row r="139" spans="2:22" ht="21.75" hidden="1" customHeight="1" x14ac:dyDescent="0.2">
      <c r="B139" s="7"/>
      <c r="C139" s="152"/>
      <c r="D139" s="191"/>
      <c r="E139" s="191"/>
      <c r="F139" s="191"/>
      <c r="G139" s="191"/>
      <c r="H139" s="191"/>
      <c r="I139" s="191"/>
      <c r="J139" s="191"/>
      <c r="K139" s="191"/>
      <c r="L139" s="191"/>
      <c r="M139" s="191"/>
      <c r="N139" s="191"/>
      <c r="O139" s="191"/>
      <c r="P139" s="191"/>
      <c r="Q139" s="191"/>
      <c r="R139" s="191"/>
      <c r="S139" s="191"/>
      <c r="T139" s="191"/>
      <c r="U139" s="152"/>
      <c r="V139" s="14"/>
    </row>
    <row r="140" spans="2:22" ht="21.75" hidden="1" customHeight="1" x14ac:dyDescent="0.2">
      <c r="B140" s="7"/>
      <c r="C140" s="152"/>
      <c r="D140" s="191"/>
      <c r="E140" s="191"/>
      <c r="F140" s="191"/>
      <c r="G140" s="191"/>
      <c r="H140" s="191"/>
      <c r="I140" s="191"/>
      <c r="J140" s="191"/>
      <c r="K140" s="191"/>
      <c r="L140" s="191"/>
      <c r="M140" s="191"/>
      <c r="N140" s="191"/>
      <c r="O140" s="191"/>
      <c r="P140" s="191"/>
      <c r="Q140" s="191"/>
      <c r="R140" s="191"/>
      <c r="S140" s="191"/>
      <c r="T140" s="191"/>
      <c r="U140" s="152"/>
      <c r="V140" s="14"/>
    </row>
    <row r="141" spans="2:22" ht="20.25" hidden="1" customHeight="1" x14ac:dyDescent="0.2">
      <c r="B141" s="7"/>
      <c r="C141" s="152"/>
      <c r="D141" s="191"/>
      <c r="E141" s="191"/>
      <c r="F141" s="191"/>
      <c r="G141" s="191"/>
      <c r="H141" s="191"/>
      <c r="I141" s="191"/>
      <c r="J141" s="191"/>
      <c r="K141" s="191"/>
      <c r="L141" s="191"/>
      <c r="M141" s="191"/>
      <c r="N141" s="191"/>
      <c r="O141" s="191"/>
      <c r="P141" s="191"/>
      <c r="Q141" s="191"/>
      <c r="R141" s="191"/>
      <c r="S141" s="191"/>
      <c r="T141" s="191"/>
      <c r="U141" s="152"/>
      <c r="V141" s="14"/>
    </row>
    <row r="142" spans="2:22" ht="18.75" hidden="1" customHeight="1" x14ac:dyDescent="0.2">
      <c r="B142" s="7"/>
      <c r="C142" s="152"/>
      <c r="D142" s="191"/>
      <c r="E142" s="191"/>
      <c r="F142" s="191"/>
      <c r="G142" s="191"/>
      <c r="H142" s="191"/>
      <c r="I142" s="191"/>
      <c r="J142" s="191"/>
      <c r="K142" s="191"/>
      <c r="L142" s="191"/>
      <c r="M142" s="191"/>
      <c r="N142" s="191"/>
      <c r="O142" s="191"/>
      <c r="P142" s="191"/>
      <c r="Q142" s="191"/>
      <c r="R142" s="191"/>
      <c r="S142" s="191"/>
      <c r="T142" s="191"/>
      <c r="U142" s="152"/>
      <c r="V142" s="14"/>
    </row>
    <row r="143" spans="2:22" ht="18.75" hidden="1" customHeight="1" x14ac:dyDescent="0.2">
      <c r="B143" s="7"/>
      <c r="C143" s="152"/>
      <c r="D143" s="191"/>
      <c r="E143" s="191"/>
      <c r="F143" s="191"/>
      <c r="G143" s="191"/>
      <c r="H143" s="191"/>
      <c r="I143" s="191"/>
      <c r="J143" s="191"/>
      <c r="K143" s="191"/>
      <c r="L143" s="191"/>
      <c r="M143" s="191"/>
      <c r="N143" s="191"/>
      <c r="O143" s="191"/>
      <c r="P143" s="191"/>
      <c r="Q143" s="191"/>
      <c r="R143" s="191"/>
      <c r="S143" s="191"/>
      <c r="T143" s="191"/>
      <c r="U143" s="152"/>
      <c r="V143" s="14"/>
    </row>
    <row r="144" spans="2:22" ht="19.5" hidden="1" customHeight="1" x14ac:dyDescent="0.2">
      <c r="B144" s="7"/>
      <c r="C144" s="152"/>
      <c r="D144" s="191"/>
      <c r="E144" s="191"/>
      <c r="F144" s="191"/>
      <c r="G144" s="191"/>
      <c r="H144" s="191"/>
      <c r="I144" s="191"/>
      <c r="J144" s="191"/>
      <c r="K144" s="191"/>
      <c r="L144" s="191"/>
      <c r="M144" s="191"/>
      <c r="N144" s="191"/>
      <c r="O144" s="191"/>
      <c r="P144" s="191"/>
      <c r="Q144" s="191"/>
      <c r="R144" s="191"/>
      <c r="S144" s="191"/>
      <c r="T144" s="191"/>
      <c r="U144" s="152"/>
      <c r="V144" s="14"/>
    </row>
    <row r="145" spans="2:22" ht="21" hidden="1" customHeight="1" x14ac:dyDescent="0.2">
      <c r="B145" s="7"/>
      <c r="C145" s="152"/>
      <c r="D145" s="191"/>
      <c r="E145" s="191"/>
      <c r="F145" s="191"/>
      <c r="G145" s="191"/>
      <c r="H145" s="191"/>
      <c r="I145" s="191"/>
      <c r="J145" s="191"/>
      <c r="K145" s="191"/>
      <c r="L145" s="191"/>
      <c r="M145" s="191"/>
      <c r="N145" s="191"/>
      <c r="O145" s="191"/>
      <c r="P145" s="191"/>
      <c r="Q145" s="191"/>
      <c r="R145" s="191"/>
      <c r="S145" s="191"/>
      <c r="T145" s="191"/>
      <c r="U145" s="152"/>
      <c r="V145" s="14"/>
    </row>
    <row r="146" spans="2:22" ht="19.5" hidden="1" customHeight="1" x14ac:dyDescent="0.2">
      <c r="B146" s="7"/>
      <c r="C146" s="152"/>
      <c r="D146" s="191"/>
      <c r="E146" s="191"/>
      <c r="F146" s="191"/>
      <c r="G146" s="191"/>
      <c r="H146" s="191"/>
      <c r="I146" s="191"/>
      <c r="J146" s="191"/>
      <c r="K146" s="191"/>
      <c r="L146" s="191"/>
      <c r="M146" s="191"/>
      <c r="N146" s="191"/>
      <c r="O146" s="191"/>
      <c r="P146" s="191"/>
      <c r="Q146" s="191"/>
      <c r="R146" s="191"/>
      <c r="S146" s="191"/>
      <c r="T146" s="191"/>
      <c r="U146" s="152"/>
      <c r="V146" s="14"/>
    </row>
    <row r="147" spans="2:22" ht="21" hidden="1" customHeight="1" x14ac:dyDescent="0.2">
      <c r="B147" s="7"/>
      <c r="C147" s="152"/>
      <c r="D147" s="191"/>
      <c r="E147" s="191"/>
      <c r="F147" s="191"/>
      <c r="G147" s="191"/>
      <c r="H147" s="191"/>
      <c r="I147" s="191"/>
      <c r="J147" s="191"/>
      <c r="K147" s="191"/>
      <c r="L147" s="191"/>
      <c r="M147" s="191"/>
      <c r="N147" s="191"/>
      <c r="O147" s="191"/>
      <c r="P147" s="191"/>
      <c r="Q147" s="191"/>
      <c r="R147" s="191"/>
      <c r="S147" s="191"/>
      <c r="T147" s="191"/>
      <c r="U147" s="152"/>
      <c r="V147" s="14"/>
    </row>
    <row r="148" spans="2:22" hidden="1" x14ac:dyDescent="0.2">
      <c r="B148" s="7"/>
      <c r="C148" s="152"/>
      <c r="D148" s="191"/>
      <c r="E148" s="191"/>
      <c r="F148" s="191"/>
      <c r="G148" s="191"/>
      <c r="H148" s="191"/>
      <c r="I148" s="191"/>
      <c r="J148" s="191"/>
      <c r="K148" s="191"/>
      <c r="L148" s="191"/>
      <c r="M148" s="191"/>
      <c r="N148" s="191"/>
      <c r="O148" s="191"/>
      <c r="P148" s="191"/>
      <c r="Q148" s="191"/>
      <c r="R148" s="191"/>
      <c r="S148" s="191"/>
      <c r="T148" s="191"/>
      <c r="U148" s="152"/>
      <c r="V148" s="14"/>
    </row>
    <row r="149" spans="2:22" hidden="1" x14ac:dyDescent="0.2">
      <c r="B149" s="7"/>
      <c r="C149" s="152"/>
      <c r="D149" s="191"/>
      <c r="E149" s="191"/>
      <c r="F149" s="191"/>
      <c r="G149" s="191"/>
      <c r="H149" s="191"/>
      <c r="I149" s="191"/>
      <c r="J149" s="191"/>
      <c r="K149" s="191"/>
      <c r="L149" s="191"/>
      <c r="M149" s="191"/>
      <c r="N149" s="191"/>
      <c r="O149" s="191"/>
      <c r="P149" s="191"/>
      <c r="Q149" s="191"/>
      <c r="R149" s="191"/>
      <c r="S149" s="191"/>
      <c r="T149" s="191"/>
      <c r="U149" s="152"/>
      <c r="V149" s="11"/>
    </row>
    <row r="150" spans="2:22" hidden="1" x14ac:dyDescent="0.2">
      <c r="B150" s="7"/>
      <c r="C150" s="152"/>
      <c r="D150" s="191"/>
      <c r="E150" s="191"/>
      <c r="F150" s="191"/>
      <c r="G150" s="191"/>
      <c r="H150" s="191"/>
      <c r="I150" s="191"/>
      <c r="J150" s="191"/>
      <c r="K150" s="191"/>
      <c r="L150" s="191"/>
      <c r="M150" s="191"/>
      <c r="N150" s="191"/>
      <c r="O150" s="191"/>
      <c r="P150" s="191"/>
      <c r="Q150" s="191"/>
      <c r="R150" s="191"/>
      <c r="S150" s="191"/>
      <c r="T150" s="191"/>
      <c r="U150" s="152"/>
      <c r="V150" s="11"/>
    </row>
    <row r="151" spans="2:22" hidden="1" x14ac:dyDescent="0.2">
      <c r="B151" s="7"/>
      <c r="C151" s="152"/>
      <c r="D151" s="191"/>
      <c r="E151" s="191"/>
      <c r="F151" s="191"/>
      <c r="G151" s="191"/>
      <c r="H151" s="191"/>
      <c r="I151" s="191"/>
      <c r="J151" s="191"/>
      <c r="K151" s="191"/>
      <c r="L151" s="191"/>
      <c r="M151" s="191"/>
      <c r="N151" s="191"/>
      <c r="O151" s="191"/>
      <c r="P151" s="191"/>
      <c r="Q151" s="191"/>
      <c r="R151" s="191"/>
      <c r="S151" s="191"/>
      <c r="T151" s="191"/>
      <c r="U151" s="152"/>
      <c r="V151" s="11"/>
    </row>
    <row r="152" spans="2:22" hidden="1" x14ac:dyDescent="0.2">
      <c r="B152" s="7"/>
      <c r="C152" s="152"/>
      <c r="D152" s="191"/>
      <c r="E152" s="191"/>
      <c r="F152" s="191"/>
      <c r="G152" s="191"/>
      <c r="H152" s="191"/>
      <c r="I152" s="191"/>
      <c r="J152" s="191"/>
      <c r="K152" s="191"/>
      <c r="L152" s="191"/>
      <c r="M152" s="191"/>
      <c r="N152" s="191"/>
      <c r="O152" s="191"/>
      <c r="P152" s="191"/>
      <c r="Q152" s="191"/>
      <c r="R152" s="191"/>
      <c r="S152" s="191"/>
      <c r="T152" s="191"/>
      <c r="U152" s="152"/>
      <c r="V152" s="11"/>
    </row>
    <row r="153" spans="2:22" hidden="1" x14ac:dyDescent="0.2">
      <c r="B153" s="7">
        <v>2010</v>
      </c>
      <c r="C153" s="152"/>
      <c r="D153" s="191"/>
      <c r="E153" s="191"/>
      <c r="F153" s="191"/>
      <c r="G153" s="191"/>
      <c r="H153" s="191"/>
      <c r="I153" s="191"/>
      <c r="J153" s="191"/>
      <c r="K153" s="191"/>
      <c r="L153" s="191"/>
      <c r="M153" s="191"/>
      <c r="N153" s="191"/>
      <c r="O153" s="191"/>
      <c r="P153" s="191"/>
      <c r="Q153" s="191"/>
      <c r="R153" s="191"/>
      <c r="S153" s="191"/>
      <c r="T153" s="191"/>
      <c r="U153" s="152"/>
      <c r="V153" s="8"/>
    </row>
    <row r="154" spans="2:22" hidden="1" x14ac:dyDescent="0.2">
      <c r="B154" s="7"/>
      <c r="C154" s="152"/>
      <c r="D154" s="191"/>
      <c r="E154" s="191"/>
      <c r="F154" s="191"/>
      <c r="G154" s="191"/>
      <c r="H154" s="191"/>
      <c r="I154" s="191"/>
      <c r="J154" s="191"/>
      <c r="K154" s="191"/>
      <c r="L154" s="191"/>
      <c r="M154" s="191"/>
      <c r="N154" s="191"/>
      <c r="O154" s="191"/>
      <c r="P154" s="191"/>
      <c r="Q154" s="191"/>
      <c r="R154" s="191"/>
      <c r="S154" s="191"/>
      <c r="T154" s="191"/>
      <c r="U154" s="152"/>
      <c r="V154" s="18"/>
    </row>
    <row r="155" spans="2:22" hidden="1" x14ac:dyDescent="0.2">
      <c r="B155" s="7"/>
      <c r="C155" s="152"/>
      <c r="D155" s="191"/>
      <c r="E155" s="191"/>
      <c r="F155" s="191"/>
      <c r="G155" s="191"/>
      <c r="H155" s="191"/>
      <c r="I155" s="191"/>
      <c r="J155" s="191"/>
      <c r="K155" s="191"/>
      <c r="L155" s="191"/>
      <c r="M155" s="191"/>
      <c r="N155" s="191"/>
      <c r="O155" s="191"/>
      <c r="P155" s="191"/>
      <c r="Q155" s="191"/>
      <c r="R155" s="191"/>
      <c r="S155" s="191"/>
      <c r="T155" s="191"/>
      <c r="U155" s="152"/>
      <c r="V155" s="18"/>
    </row>
    <row r="156" spans="2:22" hidden="1" x14ac:dyDescent="0.2">
      <c r="B156" s="7"/>
      <c r="C156" s="152"/>
      <c r="D156" s="191"/>
      <c r="E156" s="191"/>
      <c r="F156" s="191"/>
      <c r="G156" s="191"/>
      <c r="H156" s="191"/>
      <c r="I156" s="191"/>
      <c r="J156" s="191"/>
      <c r="K156" s="191"/>
      <c r="L156" s="191"/>
      <c r="M156" s="191"/>
      <c r="N156" s="191"/>
      <c r="O156" s="191"/>
      <c r="P156" s="191"/>
      <c r="Q156" s="191"/>
      <c r="R156" s="191"/>
      <c r="S156" s="191"/>
      <c r="T156" s="191"/>
      <c r="U156" s="152"/>
      <c r="V156" s="18"/>
    </row>
    <row r="157" spans="2:22" hidden="1" x14ac:dyDescent="0.2">
      <c r="B157" s="7"/>
      <c r="C157" s="152"/>
      <c r="D157" s="191"/>
      <c r="E157" s="191"/>
      <c r="F157" s="191"/>
      <c r="G157" s="191"/>
      <c r="H157" s="191"/>
      <c r="I157" s="191"/>
      <c r="J157" s="191"/>
      <c r="K157" s="191"/>
      <c r="L157" s="191"/>
      <c r="M157" s="191"/>
      <c r="N157" s="191"/>
      <c r="O157" s="191"/>
      <c r="P157" s="191"/>
      <c r="Q157" s="191"/>
      <c r="R157" s="191"/>
      <c r="S157" s="191"/>
      <c r="T157" s="191"/>
      <c r="U157" s="152"/>
      <c r="V157" s="18"/>
    </row>
    <row r="158" spans="2:22" hidden="1" x14ac:dyDescent="0.2">
      <c r="C158" s="152"/>
      <c r="D158" s="191"/>
      <c r="E158" s="191"/>
      <c r="F158" s="191"/>
      <c r="G158" s="191"/>
      <c r="H158" s="191"/>
      <c r="I158" s="191"/>
      <c r="J158" s="191"/>
      <c r="K158" s="191"/>
      <c r="L158" s="191"/>
      <c r="M158" s="191"/>
      <c r="N158" s="191"/>
      <c r="O158" s="191"/>
      <c r="P158" s="191"/>
      <c r="Q158" s="191"/>
      <c r="R158" s="191"/>
      <c r="S158" s="191"/>
      <c r="T158" s="191"/>
      <c r="U158" s="152"/>
      <c r="V158" s="18"/>
    </row>
    <row r="159" spans="2:22" hidden="1" x14ac:dyDescent="0.2">
      <c r="C159" s="152"/>
      <c r="D159" s="191"/>
      <c r="E159" s="191"/>
      <c r="F159" s="191"/>
      <c r="G159" s="191"/>
      <c r="H159" s="191"/>
      <c r="I159" s="191"/>
      <c r="J159" s="191"/>
      <c r="K159" s="191"/>
      <c r="L159" s="191"/>
      <c r="M159" s="191"/>
      <c r="N159" s="191"/>
      <c r="O159" s="191"/>
      <c r="P159" s="191"/>
      <c r="Q159" s="191"/>
      <c r="R159" s="191"/>
      <c r="S159" s="191"/>
      <c r="T159" s="191"/>
      <c r="U159" s="152"/>
      <c r="V159" s="18"/>
    </row>
    <row r="160" spans="2:22" hidden="1" x14ac:dyDescent="0.2">
      <c r="C160" s="152"/>
      <c r="D160" s="191"/>
      <c r="E160" s="191"/>
      <c r="F160" s="191"/>
      <c r="G160" s="191"/>
      <c r="H160" s="191"/>
      <c r="I160" s="191"/>
      <c r="J160" s="191"/>
      <c r="K160" s="191"/>
      <c r="L160" s="191"/>
      <c r="M160" s="191"/>
      <c r="N160" s="191"/>
      <c r="O160" s="191"/>
      <c r="P160" s="191"/>
      <c r="Q160" s="191"/>
      <c r="R160" s="191"/>
      <c r="S160" s="191"/>
      <c r="T160" s="191"/>
      <c r="U160" s="152"/>
      <c r="V160" s="18"/>
    </row>
    <row r="161" spans="3:22" hidden="1" x14ac:dyDescent="0.2">
      <c r="C161" s="152"/>
      <c r="D161" s="191"/>
      <c r="E161" s="191"/>
      <c r="F161" s="191"/>
      <c r="G161" s="191"/>
      <c r="H161" s="191"/>
      <c r="I161" s="191"/>
      <c r="J161" s="191"/>
      <c r="K161" s="191"/>
      <c r="L161" s="191"/>
      <c r="M161" s="191"/>
      <c r="N161" s="191"/>
      <c r="O161" s="191"/>
      <c r="P161" s="191"/>
      <c r="Q161" s="191"/>
      <c r="R161" s="191"/>
      <c r="S161" s="191"/>
      <c r="T161" s="191"/>
      <c r="U161" s="152"/>
      <c r="V161" s="18"/>
    </row>
    <row r="162" spans="3:22" hidden="1" x14ac:dyDescent="0.2">
      <c r="C162" s="152"/>
      <c r="D162" s="191"/>
      <c r="E162" s="191"/>
      <c r="F162" s="191"/>
      <c r="G162" s="191"/>
      <c r="H162" s="191"/>
      <c r="I162" s="191"/>
      <c r="J162" s="191"/>
      <c r="K162" s="191"/>
      <c r="L162" s="191"/>
      <c r="M162" s="191"/>
      <c r="N162" s="191"/>
      <c r="O162" s="191"/>
      <c r="P162" s="191"/>
      <c r="Q162" s="191"/>
      <c r="R162" s="191"/>
      <c r="S162" s="191"/>
      <c r="T162" s="191"/>
      <c r="U162" s="152"/>
      <c r="V162" s="18"/>
    </row>
    <row r="163" spans="3:22" hidden="1" x14ac:dyDescent="0.2">
      <c r="C163" s="152"/>
      <c r="D163" s="191"/>
      <c r="E163" s="191"/>
      <c r="F163" s="191"/>
      <c r="G163" s="191"/>
      <c r="H163" s="191"/>
      <c r="I163" s="191"/>
      <c r="J163" s="191"/>
      <c r="K163" s="191"/>
      <c r="L163" s="191"/>
      <c r="M163" s="191"/>
      <c r="N163" s="191"/>
      <c r="O163" s="191"/>
      <c r="P163" s="191"/>
      <c r="Q163" s="191"/>
      <c r="R163" s="191"/>
      <c r="S163" s="191"/>
      <c r="T163" s="191"/>
      <c r="U163" s="152"/>
      <c r="V163" s="19"/>
    </row>
    <row r="164" spans="3:22" hidden="1" x14ac:dyDescent="0.2">
      <c r="C164" s="152"/>
      <c r="D164" s="191"/>
      <c r="E164" s="191"/>
      <c r="F164" s="191"/>
      <c r="G164" s="191"/>
      <c r="H164" s="191"/>
      <c r="I164" s="191"/>
      <c r="J164" s="191"/>
      <c r="K164" s="191"/>
      <c r="L164" s="191"/>
      <c r="M164" s="191"/>
      <c r="N164" s="191"/>
      <c r="O164" s="191"/>
      <c r="P164" s="191"/>
      <c r="Q164" s="191"/>
      <c r="R164" s="191"/>
      <c r="S164" s="191"/>
      <c r="T164" s="191"/>
      <c r="U164" s="152"/>
      <c r="V164" s="11"/>
    </row>
    <row r="165" spans="3:22" hidden="1" x14ac:dyDescent="0.2">
      <c r="C165" s="152"/>
      <c r="D165" s="191"/>
      <c r="E165" s="191"/>
      <c r="F165" s="191"/>
      <c r="G165" s="191"/>
      <c r="H165" s="191"/>
      <c r="I165" s="191"/>
      <c r="J165" s="191"/>
      <c r="K165" s="191"/>
      <c r="L165" s="191"/>
      <c r="M165" s="191"/>
      <c r="N165" s="191"/>
      <c r="O165" s="191"/>
      <c r="P165" s="191"/>
      <c r="Q165" s="191"/>
      <c r="R165" s="191"/>
      <c r="S165" s="191"/>
      <c r="T165" s="191"/>
      <c r="U165" s="152"/>
      <c r="V165" s="11"/>
    </row>
    <row r="166" spans="3:22" hidden="1" x14ac:dyDescent="0.2">
      <c r="C166" s="152"/>
      <c r="D166" s="191"/>
      <c r="E166" s="191"/>
      <c r="F166" s="191"/>
      <c r="G166" s="191"/>
      <c r="H166" s="191"/>
      <c r="I166" s="191"/>
      <c r="J166" s="191"/>
      <c r="K166" s="191"/>
      <c r="L166" s="191"/>
      <c r="M166" s="191"/>
      <c r="N166" s="191"/>
      <c r="O166" s="191"/>
      <c r="P166" s="191"/>
      <c r="Q166" s="191"/>
      <c r="R166" s="191"/>
      <c r="S166" s="191"/>
      <c r="T166" s="191"/>
      <c r="U166" s="152"/>
      <c r="V166" s="11"/>
    </row>
    <row r="167" spans="3:22" hidden="1" x14ac:dyDescent="0.2">
      <c r="C167" s="152"/>
      <c r="D167" s="191"/>
      <c r="E167" s="191"/>
      <c r="F167" s="191"/>
      <c r="G167" s="191"/>
      <c r="H167" s="191"/>
      <c r="I167" s="191"/>
      <c r="J167" s="191"/>
      <c r="K167" s="191"/>
      <c r="L167" s="191"/>
      <c r="M167" s="191"/>
      <c r="N167" s="191"/>
      <c r="O167" s="191"/>
      <c r="P167" s="191"/>
      <c r="Q167" s="191"/>
      <c r="R167" s="191"/>
      <c r="S167" s="191"/>
      <c r="T167" s="191"/>
      <c r="U167" s="152"/>
      <c r="V167" s="11"/>
    </row>
    <row r="168" spans="3:22" hidden="1" x14ac:dyDescent="0.2">
      <c r="C168" s="152"/>
      <c r="D168" s="191"/>
      <c r="E168" s="191"/>
      <c r="F168" s="191"/>
      <c r="G168" s="191"/>
      <c r="H168" s="191"/>
      <c r="I168" s="191"/>
      <c r="J168" s="191"/>
      <c r="K168" s="191"/>
      <c r="L168" s="191"/>
      <c r="M168" s="191"/>
      <c r="N168" s="191"/>
      <c r="O168" s="191"/>
      <c r="P168" s="191"/>
      <c r="Q168" s="191"/>
      <c r="R168" s="191"/>
      <c r="S168" s="191"/>
      <c r="T168" s="191"/>
      <c r="U168" s="152"/>
      <c r="V168" s="14"/>
    </row>
    <row r="169" spans="3:22" hidden="1" x14ac:dyDescent="0.2">
      <c r="C169" s="152"/>
      <c r="D169" s="191"/>
      <c r="E169" s="191"/>
      <c r="F169" s="191"/>
      <c r="G169" s="191"/>
      <c r="H169" s="191"/>
      <c r="I169" s="191"/>
      <c r="J169" s="191"/>
      <c r="K169" s="191"/>
      <c r="L169" s="191"/>
      <c r="M169" s="191"/>
      <c r="N169" s="191"/>
      <c r="O169" s="191"/>
      <c r="P169" s="191"/>
      <c r="Q169" s="191"/>
      <c r="R169" s="191"/>
      <c r="S169" s="191"/>
      <c r="T169" s="191"/>
      <c r="U169" s="152"/>
      <c r="V169" s="14"/>
    </row>
    <row r="170" spans="3:22" hidden="1" x14ac:dyDescent="0.2">
      <c r="C170" s="152"/>
      <c r="D170" s="191"/>
      <c r="E170" s="191"/>
      <c r="F170" s="191"/>
      <c r="G170" s="191"/>
      <c r="H170" s="191"/>
      <c r="I170" s="191"/>
      <c r="J170" s="191"/>
      <c r="K170" s="191"/>
      <c r="L170" s="191"/>
      <c r="M170" s="191"/>
      <c r="N170" s="191"/>
      <c r="O170" s="191"/>
      <c r="P170" s="191"/>
      <c r="Q170" s="191"/>
      <c r="R170" s="191"/>
      <c r="S170" s="191"/>
      <c r="T170" s="191"/>
      <c r="U170" s="152"/>
      <c r="V170" s="14"/>
    </row>
    <row r="171" spans="3:22" hidden="1" x14ac:dyDescent="0.2">
      <c r="C171" s="152"/>
      <c r="D171" s="191"/>
      <c r="E171" s="191"/>
      <c r="F171" s="191"/>
      <c r="G171" s="191"/>
      <c r="H171" s="191"/>
      <c r="I171" s="191"/>
      <c r="J171" s="191"/>
      <c r="K171" s="191"/>
      <c r="L171" s="191"/>
      <c r="M171" s="191"/>
      <c r="N171" s="191"/>
      <c r="O171" s="191"/>
      <c r="P171" s="191"/>
      <c r="Q171" s="191"/>
      <c r="R171" s="191"/>
      <c r="S171" s="191"/>
      <c r="T171" s="191"/>
      <c r="U171" s="152"/>
      <c r="V171" s="14"/>
    </row>
    <row r="172" spans="3:22" hidden="1" x14ac:dyDescent="0.2">
      <c r="C172" s="152"/>
      <c r="D172" s="191"/>
      <c r="E172" s="191"/>
      <c r="F172" s="191"/>
      <c r="G172" s="191"/>
      <c r="H172" s="191"/>
      <c r="I172" s="191"/>
      <c r="J172" s="191"/>
      <c r="K172" s="191"/>
      <c r="L172" s="191"/>
      <c r="M172" s="191"/>
      <c r="N172" s="191"/>
      <c r="O172" s="191"/>
      <c r="P172" s="191"/>
      <c r="Q172" s="191"/>
      <c r="R172" s="191"/>
      <c r="S172" s="191"/>
      <c r="T172" s="191"/>
      <c r="U172" s="152"/>
      <c r="V172" s="14"/>
    </row>
    <row r="173" spans="3:22" hidden="1" x14ac:dyDescent="0.2">
      <c r="C173" s="152"/>
      <c r="D173" s="191"/>
      <c r="E173" s="191"/>
      <c r="F173" s="191"/>
      <c r="G173" s="191"/>
      <c r="H173" s="191"/>
      <c r="I173" s="191"/>
      <c r="J173" s="191"/>
      <c r="K173" s="191"/>
      <c r="L173" s="191"/>
      <c r="M173" s="191"/>
      <c r="N173" s="191"/>
      <c r="O173" s="191"/>
      <c r="P173" s="191"/>
      <c r="Q173" s="191"/>
      <c r="R173" s="191"/>
      <c r="S173" s="191"/>
      <c r="T173" s="191"/>
      <c r="U173" s="152"/>
      <c r="V173" s="14"/>
    </row>
    <row r="174" spans="3:22" hidden="1" x14ac:dyDescent="0.2">
      <c r="C174" s="152"/>
      <c r="D174" s="191"/>
      <c r="E174" s="191"/>
      <c r="F174" s="191"/>
      <c r="G174" s="191"/>
      <c r="H174" s="191"/>
      <c r="I174" s="191"/>
      <c r="J174" s="191"/>
      <c r="K174" s="191"/>
      <c r="L174" s="191"/>
      <c r="M174" s="191"/>
      <c r="N174" s="191"/>
      <c r="O174" s="191"/>
      <c r="P174" s="191"/>
      <c r="Q174" s="191"/>
      <c r="R174" s="191"/>
      <c r="S174" s="191"/>
      <c r="T174" s="191"/>
      <c r="U174" s="152"/>
      <c r="V174" s="14"/>
    </row>
    <row r="175" spans="3:22" hidden="1" x14ac:dyDescent="0.2">
      <c r="C175" s="152"/>
      <c r="D175" s="191"/>
      <c r="E175" s="191"/>
      <c r="F175" s="191"/>
      <c r="G175" s="191"/>
      <c r="H175" s="191"/>
      <c r="I175" s="191"/>
      <c r="J175" s="191"/>
      <c r="K175" s="191"/>
      <c r="L175" s="191"/>
      <c r="M175" s="191"/>
      <c r="N175" s="191"/>
      <c r="O175" s="191"/>
      <c r="P175" s="191"/>
      <c r="Q175" s="191"/>
      <c r="R175" s="191"/>
      <c r="S175" s="191"/>
      <c r="T175" s="191"/>
      <c r="U175" s="152"/>
      <c r="V175" s="14"/>
    </row>
    <row r="176" spans="3:22" hidden="1" x14ac:dyDescent="0.2">
      <c r="C176" s="152"/>
      <c r="D176" s="191"/>
      <c r="E176" s="191"/>
      <c r="F176" s="191"/>
      <c r="G176" s="191"/>
      <c r="H176" s="191"/>
      <c r="I176" s="191"/>
      <c r="J176" s="191"/>
      <c r="K176" s="191"/>
      <c r="L176" s="191"/>
      <c r="M176" s="191"/>
      <c r="N176" s="191"/>
      <c r="O176" s="191"/>
      <c r="P176" s="191"/>
      <c r="Q176" s="191"/>
      <c r="R176" s="191"/>
      <c r="S176" s="191"/>
      <c r="T176" s="191"/>
      <c r="U176" s="152"/>
      <c r="V176" s="14"/>
    </row>
    <row r="177" spans="2:22" hidden="1" x14ac:dyDescent="0.2">
      <c r="C177" s="152"/>
      <c r="D177" s="191"/>
      <c r="E177" s="191"/>
      <c r="F177" s="191"/>
      <c r="G177" s="191"/>
      <c r="H177" s="191"/>
      <c r="I177" s="191"/>
      <c r="J177" s="191"/>
      <c r="K177" s="191"/>
      <c r="L177" s="191"/>
      <c r="M177" s="191"/>
      <c r="N177" s="191"/>
      <c r="O177" s="191"/>
      <c r="P177" s="191"/>
      <c r="Q177" s="191"/>
      <c r="R177" s="191"/>
      <c r="S177" s="191"/>
      <c r="T177" s="191"/>
      <c r="U177" s="152"/>
      <c r="V177" s="14"/>
    </row>
    <row r="178" spans="2:22" hidden="1" x14ac:dyDescent="0.2">
      <c r="C178" s="152"/>
      <c r="D178" s="191"/>
      <c r="E178" s="191"/>
      <c r="F178" s="191"/>
      <c r="G178" s="191"/>
      <c r="H178" s="191"/>
      <c r="I178" s="191"/>
      <c r="J178" s="191"/>
      <c r="K178" s="191"/>
      <c r="L178" s="191"/>
      <c r="M178" s="191"/>
      <c r="N178" s="191"/>
      <c r="O178" s="191"/>
      <c r="P178" s="191"/>
      <c r="Q178" s="191"/>
      <c r="R178" s="191"/>
      <c r="S178" s="191"/>
      <c r="T178" s="191"/>
      <c r="U178" s="152"/>
      <c r="V178" s="14"/>
    </row>
    <row r="179" spans="2:22" hidden="1" x14ac:dyDescent="0.2">
      <c r="C179" s="152"/>
      <c r="D179" s="191"/>
      <c r="E179" s="191"/>
      <c r="F179" s="191"/>
      <c r="G179" s="191"/>
      <c r="H179" s="191"/>
      <c r="I179" s="191"/>
      <c r="J179" s="191"/>
      <c r="K179" s="191"/>
      <c r="L179" s="191"/>
      <c r="M179" s="191"/>
      <c r="N179" s="191"/>
      <c r="O179" s="191"/>
      <c r="P179" s="191"/>
      <c r="Q179" s="191"/>
      <c r="R179" s="191"/>
      <c r="S179" s="191"/>
      <c r="T179" s="191"/>
      <c r="U179" s="152"/>
      <c r="V179" s="20"/>
    </row>
    <row r="180" spans="2:22" ht="15.75" thickBot="1" x14ac:dyDescent="0.25">
      <c r="C180" s="152"/>
      <c r="D180" s="191"/>
      <c r="E180" s="191"/>
      <c r="F180" s="191"/>
      <c r="G180" s="191"/>
      <c r="H180" s="191"/>
      <c r="I180" s="191"/>
      <c r="J180" s="191"/>
      <c r="K180" s="191"/>
      <c r="L180" s="191"/>
      <c r="M180" s="191"/>
      <c r="N180" s="191"/>
      <c r="O180" s="191"/>
      <c r="P180" s="191"/>
      <c r="Q180" s="191"/>
      <c r="R180" s="191"/>
      <c r="S180" s="191"/>
      <c r="T180" s="191"/>
      <c r="U180" s="152"/>
      <c r="V180" s="9"/>
    </row>
    <row r="181" spans="2:22" ht="16.5" thickBot="1" x14ac:dyDescent="0.3">
      <c r="C181" s="154" t="s">
        <v>80</v>
      </c>
      <c r="D181" s="155" t="s">
        <v>8</v>
      </c>
      <c r="E181" s="155" t="s">
        <v>9</v>
      </c>
      <c r="F181" s="155" t="s">
        <v>10</v>
      </c>
      <c r="G181" s="155" t="s">
        <v>11</v>
      </c>
      <c r="H181" s="155" t="s">
        <v>12</v>
      </c>
      <c r="I181" s="155" t="s">
        <v>13</v>
      </c>
      <c r="J181" s="155" t="s">
        <v>14</v>
      </c>
      <c r="K181" s="155" t="s">
        <v>15</v>
      </c>
      <c r="L181" s="155" t="s">
        <v>16</v>
      </c>
      <c r="M181" s="155" t="s">
        <v>17</v>
      </c>
      <c r="N181" s="155" t="s">
        <v>18</v>
      </c>
      <c r="O181" s="155" t="s">
        <v>19</v>
      </c>
      <c r="P181" s="155" t="s">
        <v>20</v>
      </c>
      <c r="Q181" s="155" t="s">
        <v>21</v>
      </c>
      <c r="R181" s="155" t="s">
        <v>22</v>
      </c>
      <c r="S181" s="155" t="s">
        <v>23</v>
      </c>
      <c r="T181" s="156" t="s">
        <v>24</v>
      </c>
      <c r="U181" s="157"/>
    </row>
    <row r="182" spans="2:22" ht="15.75" x14ac:dyDescent="0.25">
      <c r="C182" s="158" t="s">
        <v>81</v>
      </c>
      <c r="D182" s="159">
        <f>(D56)*$D$92</f>
        <v>273588.94605522213</v>
      </c>
      <c r="E182" s="159">
        <f t="shared" ref="E182:S182" si="9">(E56)*$D$92</f>
        <v>575391.75217238907</v>
      </c>
      <c r="F182" s="159">
        <f t="shared" si="9"/>
        <v>1568861.6125354145</v>
      </c>
      <c r="G182" s="159">
        <f t="shared" si="9"/>
        <v>332581.56254837936</v>
      </c>
      <c r="H182" s="159">
        <f t="shared" si="9"/>
        <v>303512.73703001207</v>
      </c>
      <c r="I182" s="159">
        <f t="shared" si="9"/>
        <v>942171.93297767115</v>
      </c>
      <c r="J182" s="159">
        <f t="shared" si="9"/>
        <v>2859859.4517334937</v>
      </c>
      <c r="K182" s="159">
        <f t="shared" si="9"/>
        <v>188947.36586938778</v>
      </c>
      <c r="L182" s="159">
        <f t="shared" si="9"/>
        <v>135084.54211476594</v>
      </c>
      <c r="M182" s="159">
        <f t="shared" si="9"/>
        <v>1237989.9808998802</v>
      </c>
      <c r="N182" s="159">
        <f t="shared" si="9"/>
        <v>235115.50051620652</v>
      </c>
      <c r="O182" s="159">
        <f t="shared" si="9"/>
        <v>1099485.576959424</v>
      </c>
      <c r="P182" s="159">
        <f t="shared" si="9"/>
        <v>55572.754667466994</v>
      </c>
      <c r="Q182" s="159">
        <f t="shared" si="9"/>
        <v>624124.78318847553</v>
      </c>
      <c r="R182" s="159">
        <f t="shared" si="9"/>
        <v>241100.2587111645</v>
      </c>
      <c r="S182" s="159">
        <f t="shared" si="9"/>
        <v>7131266.8720206497</v>
      </c>
      <c r="T182" s="160">
        <f>SUM(D182:S182)</f>
        <v>17804655.630000003</v>
      </c>
      <c r="U182" s="161"/>
      <c r="V182" s="22">
        <f>T182-W87</f>
        <v>0</v>
      </c>
    </row>
    <row r="183" spans="2:22" ht="15.75" x14ac:dyDescent="0.25">
      <c r="C183" s="162"/>
      <c r="D183" s="163"/>
      <c r="E183" s="163"/>
      <c r="F183" s="163"/>
      <c r="G183" s="163"/>
      <c r="H183" s="163"/>
      <c r="I183" s="163"/>
      <c r="J183" s="163"/>
      <c r="K183" s="163"/>
      <c r="L183" s="163"/>
      <c r="M183" s="163"/>
      <c r="N183" s="163"/>
      <c r="O183" s="163"/>
      <c r="P183" s="163"/>
      <c r="Q183" s="163"/>
      <c r="R183" s="163"/>
      <c r="S183" s="163"/>
      <c r="T183" s="164"/>
      <c r="U183" s="165"/>
    </row>
    <row r="184" spans="2:22" ht="15.75" x14ac:dyDescent="0.25">
      <c r="C184" s="166" t="s">
        <v>83</v>
      </c>
      <c r="D184" s="163">
        <f>(-D182+D87)*Kontrollpanel!$D$39+(D47*Kontrollpanel!$G$40*Kontrollpanel!$D$41)</f>
        <v>-14201.371735894376</v>
      </c>
      <c r="E184" s="163">
        <f>(-E182+E87)*Kontrollpanel!$D$39+(E47*Kontrollpanel!$G$40*Kontrollpanel!$D$41)</f>
        <v>272919.44506794709</v>
      </c>
      <c r="F184" s="163">
        <f>(-F182+F87)*Kontrollpanel!$D$39+(F47*Kontrollpanel!$G$40*Kontrollpanel!$D$41)</f>
        <v>174972.5964519805</v>
      </c>
      <c r="G184" s="163">
        <f>(-G182+G87)*Kontrollpanel!$D$39+(G47*Kontrollpanel!$G$40*Kontrollpanel!$D$41)</f>
        <v>-103449.48001644657</v>
      </c>
      <c r="H184" s="163">
        <f>(-H182+H87)*Kontrollpanel!$D$39+(H47*Kontrollpanel!$G$40*Kontrollpanel!$D$41)</f>
        <v>311192.85073049221</v>
      </c>
      <c r="I184" s="163">
        <f>(-I182+I87)*Kontrollpanel!$D$39+(I47*Kontrollpanel!$G$40*Kontrollpanel!$D$41)</f>
        <v>172201.99108451381</v>
      </c>
      <c r="J184" s="163">
        <f>(-J182+J87)*Kontrollpanel!$D$39+(J47*Kontrollpanel!$G$40*Kontrollpanel!$D$41)</f>
        <v>-259337.47892677097</v>
      </c>
      <c r="K184" s="163">
        <f>(-K182+K87)*Kontrollpanel!$D$39+(K47*Kontrollpanel!$G$40*Kontrollpanel!$D$41)</f>
        <v>-44806.259855102064</v>
      </c>
      <c r="L184" s="163">
        <f>(-L182+L87)*Kontrollpanel!$D$39+(L47*Kontrollpanel!$G$40*Kontrollpanel!$D$41)</f>
        <v>-61327.552294597845</v>
      </c>
      <c r="M184" s="163">
        <f>(-M182+M87)*Kontrollpanel!$D$39+(M47*Kontrollpanel!$G$40*Kontrollpanel!$D$41)</f>
        <v>25650.822895077843</v>
      </c>
      <c r="N184" s="163">
        <f>(-N182+N87)*Kontrollpanel!$D$39+(N47*Kontrollpanel!$G$40*Kontrollpanel!$D$41)</f>
        <v>-41880.866335534243</v>
      </c>
      <c r="O184" s="163">
        <f>(-O182+O87)*Kontrollpanel!$D$39+(O47*Kontrollpanel!$G$40*Kontrollpanel!$D$41)</f>
        <v>-175870.9951636256</v>
      </c>
      <c r="P184" s="163">
        <f>(-P182+P87)*Kontrollpanel!$D$39+(P47*Kontrollpanel!$G$40*Kontrollpanel!$D$41)</f>
        <v>-31951.841133853544</v>
      </c>
      <c r="Q184" s="163">
        <f>(-Q182+Q87)*Kontrollpanel!$D$39+(Q47*Kontrollpanel!$G$40*Kontrollpanel!$D$41)</f>
        <v>322056.24572749092</v>
      </c>
      <c r="R184" s="163">
        <f>(-R182+R87)*Kontrollpanel!$D$39+(R47*Kontrollpanel!$G$40*Kontrollpanel!$D$41)</f>
        <v>-73066.19634225691</v>
      </c>
      <c r="S184" s="163">
        <f>(-S182+S87)*Kontrollpanel!$D$39+(S47*Kontrollpanel!$G$40*Kontrollpanel!$D$41)</f>
        <v>2154463.3098465772</v>
      </c>
      <c r="T184" s="198">
        <f>SUM(D184:S184)</f>
        <v>2627565.2199999974</v>
      </c>
      <c r="U184" s="165"/>
    </row>
    <row r="185" spans="2:22" ht="15.75" x14ac:dyDescent="0.25">
      <c r="C185" s="166"/>
      <c r="D185" s="163"/>
      <c r="E185" s="163"/>
      <c r="F185" s="163"/>
      <c r="G185" s="163"/>
      <c r="H185" s="163"/>
      <c r="I185" s="163"/>
      <c r="J185" s="163"/>
      <c r="K185" s="163"/>
      <c r="L185" s="163"/>
      <c r="M185" s="163"/>
      <c r="N185" s="163"/>
      <c r="O185" s="163"/>
      <c r="P185" s="163"/>
      <c r="Q185" s="163"/>
      <c r="R185" s="163"/>
      <c r="S185" s="163"/>
      <c r="T185" s="164"/>
      <c r="U185" s="165"/>
    </row>
    <row r="186" spans="2:22" ht="15.75" x14ac:dyDescent="0.25">
      <c r="C186" s="166"/>
      <c r="D186" s="163">
        <f>D184/0.6</f>
        <v>-23668.952893157293</v>
      </c>
      <c r="E186" s="163">
        <f t="shared" ref="E186:S186" si="10">E184/0.6</f>
        <v>454865.74177991186</v>
      </c>
      <c r="F186" s="163">
        <f t="shared" si="10"/>
        <v>291620.99408663419</v>
      </c>
      <c r="G186" s="163">
        <f t="shared" si="10"/>
        <v>-172415.80002741097</v>
      </c>
      <c r="H186" s="163">
        <f t="shared" si="10"/>
        <v>518654.75121748704</v>
      </c>
      <c r="I186" s="163">
        <f t="shared" si="10"/>
        <v>287003.31847418967</v>
      </c>
      <c r="J186" s="163">
        <f t="shared" si="10"/>
        <v>-432229.13154461829</v>
      </c>
      <c r="K186" s="163">
        <f t="shared" si="10"/>
        <v>-74677.099758503449</v>
      </c>
      <c r="L186" s="163">
        <f t="shared" si="10"/>
        <v>-102212.58715766307</v>
      </c>
      <c r="M186" s="163">
        <f t="shared" si="10"/>
        <v>42751.37149179641</v>
      </c>
      <c r="N186" s="163">
        <f t="shared" si="10"/>
        <v>-69801.443892557072</v>
      </c>
      <c r="O186" s="163">
        <f t="shared" si="10"/>
        <v>-293118.32527270936</v>
      </c>
      <c r="P186" s="163">
        <f t="shared" si="10"/>
        <v>-53253.068556422579</v>
      </c>
      <c r="Q186" s="163">
        <f t="shared" si="10"/>
        <v>536760.40954581823</v>
      </c>
      <c r="R186" s="163">
        <f t="shared" si="10"/>
        <v>-121776.99390376153</v>
      </c>
      <c r="S186" s="163">
        <f t="shared" si="10"/>
        <v>3590772.1830776287</v>
      </c>
      <c r="T186" s="167"/>
      <c r="U186" s="165"/>
    </row>
    <row r="187" spans="2:22" ht="16.5" thickBot="1" x14ac:dyDescent="0.3">
      <c r="B187" s="9"/>
      <c r="C187" s="168"/>
      <c r="D187" s="169">
        <f>-D182+D87</f>
        <v>-83964.498055222124</v>
      </c>
      <c r="E187" s="169">
        <f t="shared" ref="E187:S187" si="11">-E182+E87</f>
        <v>289237.86502761091</v>
      </c>
      <c r="F187" s="169">
        <f t="shared" si="11"/>
        <v>-87009.168535414618</v>
      </c>
      <c r="G187" s="169">
        <f t="shared" si="11"/>
        <v>-234663.09294837934</v>
      </c>
      <c r="H187" s="169">
        <f t="shared" si="11"/>
        <v>409848.03496998793</v>
      </c>
      <c r="I187" s="169">
        <f t="shared" si="11"/>
        <v>51013.359822328901</v>
      </c>
      <c r="J187" s="169">
        <f t="shared" si="11"/>
        <v>-1048289.4937334938</v>
      </c>
      <c r="K187" s="169">
        <f t="shared" si="11"/>
        <v>-111831.73146938779</v>
      </c>
      <c r="L187" s="169">
        <f t="shared" si="11"/>
        <v>-125019.97091476593</v>
      </c>
      <c r="M187" s="169">
        <f t="shared" si="11"/>
        <v>-241613.15369988023</v>
      </c>
      <c r="N187" s="169">
        <f t="shared" si="11"/>
        <v>-117813.24051620653</v>
      </c>
      <c r="O187" s="169">
        <f t="shared" si="11"/>
        <v>-520200.37655942398</v>
      </c>
      <c r="P187" s="169">
        <f t="shared" si="11"/>
        <v>-61774.038667466994</v>
      </c>
      <c r="Q187" s="169">
        <f t="shared" si="11"/>
        <v>353768.48881152447</v>
      </c>
      <c r="R187" s="169">
        <f t="shared" si="11"/>
        <v>-167149.46391116449</v>
      </c>
      <c r="S187" s="169">
        <f t="shared" si="11"/>
        <v>1695460.4803793496</v>
      </c>
      <c r="T187" s="192"/>
      <c r="U187" s="170"/>
    </row>
    <row r="188" spans="2:22" ht="15.75" x14ac:dyDescent="0.25">
      <c r="B188" s="9"/>
      <c r="C188" s="6"/>
      <c r="D188" s="151"/>
      <c r="E188" s="193"/>
      <c r="F188" s="150"/>
      <c r="G188" s="193"/>
      <c r="H188" s="194"/>
      <c r="I188" s="114"/>
      <c r="J188" s="9"/>
      <c r="K188" s="9"/>
      <c r="L188" s="9"/>
      <c r="M188" s="9"/>
      <c r="N188" s="9"/>
      <c r="O188" s="9"/>
      <c r="P188" s="9"/>
      <c r="Q188" s="9"/>
      <c r="R188" s="9"/>
    </row>
    <row r="189" spans="2:22" ht="15.75" x14ac:dyDescent="0.25">
      <c r="B189" s="9"/>
      <c r="C189" s="9"/>
      <c r="D189" s="151"/>
      <c r="E189" s="193"/>
      <c r="F189" s="194"/>
      <c r="G189" s="193"/>
      <c r="H189" s="194"/>
      <c r="I189" s="114"/>
      <c r="J189" s="9"/>
      <c r="K189" s="9"/>
      <c r="L189" s="9"/>
      <c r="M189" s="9"/>
      <c r="N189" s="9"/>
      <c r="O189" s="9"/>
      <c r="P189" s="9"/>
      <c r="Q189" s="9"/>
      <c r="R189" s="9"/>
    </row>
    <row r="190" spans="2:22" x14ac:dyDescent="0.2">
      <c r="B190" s="9"/>
      <c r="C190" s="9"/>
      <c r="D190" s="9"/>
      <c r="E190" s="9"/>
      <c r="F190" s="9"/>
      <c r="G190" s="9"/>
      <c r="H190" s="9"/>
      <c r="I190" s="9"/>
      <c r="J190" s="9"/>
      <c r="K190" s="9"/>
      <c r="L190" s="36"/>
      <c r="N190" s="9"/>
      <c r="O190" s="36"/>
      <c r="P190" s="9"/>
      <c r="Q190" s="9"/>
      <c r="R190" s="9"/>
    </row>
    <row r="191" spans="2:22" x14ac:dyDescent="0.2">
      <c r="B191" s="9"/>
      <c r="C191" s="9"/>
      <c r="D191" s="9"/>
      <c r="E191" s="9"/>
      <c r="F191" s="9"/>
      <c r="G191" s="9"/>
      <c r="H191" s="9"/>
      <c r="I191" s="9"/>
      <c r="J191" s="9"/>
      <c r="K191" s="9"/>
      <c r="L191" s="36"/>
      <c r="N191" s="9"/>
      <c r="O191" s="36"/>
      <c r="P191" s="9"/>
      <c r="Q191" s="9"/>
      <c r="R191" s="9"/>
    </row>
    <row r="192" spans="2:22" x14ac:dyDescent="0.2">
      <c r="B192" s="9"/>
      <c r="C192" s="9"/>
      <c r="D192" s="9"/>
      <c r="E192" s="9"/>
      <c r="F192" s="9"/>
      <c r="G192" s="9"/>
      <c r="H192" s="9"/>
      <c r="I192" s="9"/>
      <c r="J192" s="9"/>
      <c r="K192" s="9"/>
      <c r="L192" s="36"/>
      <c r="O192" s="36"/>
    </row>
    <row r="193" spans="2:19" ht="16.5" thickBot="1" x14ac:dyDescent="0.3">
      <c r="B193" s="9"/>
      <c r="C193" s="9"/>
      <c r="D193" s="9"/>
      <c r="E193" s="5" t="s">
        <v>85</v>
      </c>
      <c r="F193" s="9"/>
      <c r="G193" s="9"/>
      <c r="H193" s="6"/>
      <c r="I193" s="9"/>
      <c r="J193" s="9"/>
      <c r="K193" s="9"/>
      <c r="L193" s="36"/>
      <c r="O193" s="36"/>
      <c r="S193" s="9"/>
    </row>
    <row r="194" spans="2:19" ht="16.5" thickBot="1" x14ac:dyDescent="0.3">
      <c r="B194" s="9"/>
      <c r="C194" s="9"/>
      <c r="D194" s="9"/>
      <c r="E194" s="89" t="s">
        <v>84</v>
      </c>
      <c r="F194" s="150"/>
      <c r="G194" s="150"/>
      <c r="H194" s="150"/>
      <c r="I194" s="150"/>
      <c r="J194" s="492"/>
      <c r="K194" s="9"/>
      <c r="L194" s="36"/>
      <c r="O194" s="36"/>
      <c r="S194" s="9"/>
    </row>
    <row r="195" spans="2:19" ht="15.75" x14ac:dyDescent="0.25">
      <c r="B195" s="9"/>
      <c r="C195" s="214" t="s">
        <v>8</v>
      </c>
      <c r="E195" s="220">
        <f>D184</f>
        <v>-14201.371735894376</v>
      </c>
      <c r="F195" s="193"/>
      <c r="G195" s="220">
        <f>D87</f>
        <v>189624.448</v>
      </c>
      <c r="H195" s="193">
        <f>(G195/$C$87)-G195</f>
        <v>30869.096186046518</v>
      </c>
      <c r="I195" s="193"/>
      <c r="J195" s="114"/>
      <c r="K195" s="9"/>
      <c r="L195" s="36"/>
      <c r="O195" s="36"/>
      <c r="P195" s="96"/>
      <c r="Q195" s="96"/>
      <c r="R195" s="96"/>
      <c r="S195" s="9"/>
    </row>
    <row r="196" spans="2:19" ht="15.75" x14ac:dyDescent="0.25">
      <c r="B196" s="9"/>
      <c r="C196" s="215" t="s">
        <v>9</v>
      </c>
      <c r="D196" s="36"/>
      <c r="E196" s="220">
        <f>E184</f>
        <v>272919.44506794709</v>
      </c>
      <c r="F196" s="193"/>
      <c r="G196" s="220">
        <f>E87</f>
        <v>864629.61719999998</v>
      </c>
      <c r="H196" s="193">
        <f t="shared" ref="H196:H210" si="12">(G196/$C$87)-G196</f>
        <v>140753.65861395351</v>
      </c>
      <c r="I196" s="193"/>
      <c r="J196" s="114"/>
      <c r="K196" s="9"/>
      <c r="L196" s="36"/>
      <c r="O196" s="36"/>
      <c r="S196" s="9"/>
    </row>
    <row r="197" spans="2:19" ht="15.75" x14ac:dyDescent="0.25">
      <c r="B197" s="9"/>
      <c r="C197" s="215" t="s">
        <v>10</v>
      </c>
      <c r="E197" s="220">
        <f>F184</f>
        <v>174972.5964519805</v>
      </c>
      <c r="F197" s="193"/>
      <c r="G197" s="220">
        <f>F87</f>
        <v>1481852.4439999999</v>
      </c>
      <c r="H197" s="193">
        <f t="shared" si="12"/>
        <v>241231.79320930224</v>
      </c>
      <c r="I197" s="193"/>
      <c r="J197" s="114"/>
      <c r="K197" s="9"/>
      <c r="L197" s="36"/>
      <c r="O197" s="36"/>
      <c r="S197" s="9"/>
    </row>
    <row r="198" spans="2:19" ht="15.75" x14ac:dyDescent="0.25">
      <c r="B198" s="9"/>
      <c r="C198" s="215" t="s">
        <v>11</v>
      </c>
      <c r="E198" s="220">
        <f>G184</f>
        <v>-103449.48001644657</v>
      </c>
      <c r="F198" s="193"/>
      <c r="G198" s="220">
        <f>G87</f>
        <v>97918.469599999997</v>
      </c>
      <c r="H198" s="193">
        <f t="shared" si="12"/>
        <v>15940.215981395348</v>
      </c>
      <c r="I198" s="193"/>
      <c r="J198" s="114"/>
      <c r="K198" s="9"/>
      <c r="L198" s="36"/>
      <c r="O198" s="36"/>
      <c r="S198" s="9"/>
    </row>
    <row r="199" spans="2:19" ht="15.75" x14ac:dyDescent="0.25">
      <c r="B199" s="9"/>
      <c r="C199" s="215" t="s">
        <v>12</v>
      </c>
      <c r="D199" s="36"/>
      <c r="E199" s="220">
        <f>H184</f>
        <v>311192.85073049221</v>
      </c>
      <c r="F199" s="193"/>
      <c r="G199" s="220">
        <f>H87</f>
        <v>713360.772</v>
      </c>
      <c r="H199" s="193">
        <f t="shared" si="12"/>
        <v>116128.49776744191</v>
      </c>
      <c r="I199" s="193"/>
      <c r="J199" s="114"/>
      <c r="K199" s="9"/>
      <c r="L199" s="36"/>
      <c r="O199" s="36"/>
      <c r="S199" s="9"/>
    </row>
    <row r="200" spans="2:19" ht="15.75" x14ac:dyDescent="0.25">
      <c r="B200" s="9"/>
      <c r="C200" s="215" t="s">
        <v>13</v>
      </c>
      <c r="E200" s="220">
        <f>I184</f>
        <v>172201.99108451381</v>
      </c>
      <c r="F200" s="193"/>
      <c r="G200" s="220">
        <f>I87</f>
        <v>993185.29280000005</v>
      </c>
      <c r="H200" s="193">
        <f t="shared" si="12"/>
        <v>161681.32673488383</v>
      </c>
      <c r="I200" s="193"/>
      <c r="J200" s="114"/>
      <c r="K200" s="9"/>
      <c r="S200" s="9"/>
    </row>
    <row r="201" spans="2:19" ht="15.75" x14ac:dyDescent="0.25">
      <c r="B201" s="9"/>
      <c r="C201" s="215" t="s">
        <v>14</v>
      </c>
      <c r="E201" s="220">
        <f>J184</f>
        <v>-259337.47892677097</v>
      </c>
      <c r="F201" s="193"/>
      <c r="G201" s="220">
        <f>J87</f>
        <v>1811569.9579999999</v>
      </c>
      <c r="H201" s="193">
        <f t="shared" si="12"/>
        <v>294906.73734883708</v>
      </c>
      <c r="I201" s="193"/>
      <c r="J201" s="114"/>
      <c r="K201" s="9"/>
      <c r="S201" s="9"/>
    </row>
    <row r="202" spans="2:19" ht="15.75" x14ac:dyDescent="0.25">
      <c r="C202" s="215" t="s">
        <v>15</v>
      </c>
      <c r="E202" s="220">
        <f>K184</f>
        <v>-44806.259855102064</v>
      </c>
      <c r="F202" s="193"/>
      <c r="G202" s="220">
        <f>K87</f>
        <v>77115.634399999995</v>
      </c>
      <c r="H202" s="193">
        <f t="shared" si="12"/>
        <v>12553.707925581402</v>
      </c>
      <c r="I202" s="193"/>
      <c r="J202" s="114"/>
      <c r="K202" s="9"/>
      <c r="S202" s="9"/>
    </row>
    <row r="203" spans="2:19" ht="15.75" x14ac:dyDescent="0.25">
      <c r="C203" s="215" t="s">
        <v>16</v>
      </c>
      <c r="D203" s="9"/>
      <c r="E203" s="220">
        <f>L184</f>
        <v>-61327.552294597845</v>
      </c>
      <c r="F203" s="193"/>
      <c r="G203" s="220">
        <f>L87</f>
        <v>10064.571199999998</v>
      </c>
      <c r="H203" s="193">
        <f t="shared" si="12"/>
        <v>1638.4185674418604</v>
      </c>
      <c r="I203" s="193"/>
      <c r="J203" s="114"/>
      <c r="K203" s="9"/>
      <c r="S203" s="9"/>
    </row>
    <row r="204" spans="2:19" ht="15.75" x14ac:dyDescent="0.25">
      <c r="C204" s="215" t="s">
        <v>17</v>
      </c>
      <c r="E204" s="220">
        <f>M184</f>
        <v>25650.822895077843</v>
      </c>
      <c r="F204" s="193"/>
      <c r="G204" s="220">
        <f>M87</f>
        <v>996376.82719999994</v>
      </c>
      <c r="H204" s="193">
        <f t="shared" si="12"/>
        <v>162200.87884651171</v>
      </c>
      <c r="I204" s="193"/>
      <c r="J204" s="114"/>
      <c r="K204" s="9"/>
      <c r="S204" s="9"/>
    </row>
    <row r="205" spans="2:19" ht="15.75" x14ac:dyDescent="0.25">
      <c r="C205" s="215" t="s">
        <v>18</v>
      </c>
      <c r="E205" s="220">
        <f>N184</f>
        <v>-41880.866335534243</v>
      </c>
      <c r="F205" s="193"/>
      <c r="G205" s="220">
        <f>N87</f>
        <v>117302.26</v>
      </c>
      <c r="H205" s="193">
        <f t="shared" si="12"/>
        <v>19095.716744186051</v>
      </c>
      <c r="I205" s="193"/>
      <c r="J205" s="114"/>
      <c r="K205" s="9"/>
      <c r="S205" s="9"/>
    </row>
    <row r="206" spans="2:19" ht="15.75" x14ac:dyDescent="0.25">
      <c r="C206" s="215" t="s">
        <v>19</v>
      </c>
      <c r="E206" s="220">
        <f>O184</f>
        <v>-175870.9951636256</v>
      </c>
      <c r="F206" s="193"/>
      <c r="G206" s="220">
        <f>O87</f>
        <v>579285.20039999997</v>
      </c>
      <c r="H206" s="193">
        <f t="shared" si="12"/>
        <v>94302.241925581358</v>
      </c>
      <c r="I206" s="193"/>
      <c r="J206" s="114"/>
      <c r="K206" s="9"/>
      <c r="S206" s="9"/>
    </row>
    <row r="207" spans="2:19" ht="15.75" x14ac:dyDescent="0.25">
      <c r="C207" s="215" t="s">
        <v>20</v>
      </c>
      <c r="E207" s="220">
        <f>P184</f>
        <v>-31951.841133853544</v>
      </c>
      <c r="F207" s="193"/>
      <c r="G207" s="220">
        <f>P87</f>
        <v>-6201.2839999999997</v>
      </c>
      <c r="H207" s="193">
        <f t="shared" si="12"/>
        <v>-1009.511348837209</v>
      </c>
      <c r="I207" s="193"/>
      <c r="J207" s="114"/>
      <c r="K207" s="9"/>
      <c r="S207" s="9"/>
    </row>
    <row r="208" spans="2:19" ht="15.75" x14ac:dyDescent="0.25">
      <c r="C208" s="215" t="s">
        <v>21</v>
      </c>
      <c r="E208" s="220">
        <f>Q184</f>
        <v>322056.24572749092</v>
      </c>
      <c r="F208" s="193"/>
      <c r="G208" s="220">
        <f>Q87</f>
        <v>977893.272</v>
      </c>
      <c r="H208" s="193">
        <f t="shared" si="12"/>
        <v>159191.92799999996</v>
      </c>
      <c r="I208" s="193"/>
      <c r="J208" s="114"/>
      <c r="K208" s="9"/>
      <c r="S208" s="9"/>
    </row>
    <row r="209" spans="3:19" ht="15.75" x14ac:dyDescent="0.25">
      <c r="C209" s="215" t="s">
        <v>22</v>
      </c>
      <c r="E209" s="220">
        <f>R184</f>
        <v>-73066.19634225691</v>
      </c>
      <c r="F209" s="193"/>
      <c r="G209" s="220">
        <f>R87</f>
        <v>73950.794800000003</v>
      </c>
      <c r="H209" s="193">
        <f t="shared" si="12"/>
        <v>12038.501479069775</v>
      </c>
      <c r="I209" s="193"/>
      <c r="J209" s="114"/>
      <c r="K209" s="9"/>
      <c r="S209" s="9"/>
    </row>
    <row r="210" spans="3:19" ht="16.5" thickBot="1" x14ac:dyDescent="0.3">
      <c r="C210" s="216" t="s">
        <v>23</v>
      </c>
      <c r="E210" s="221">
        <f>S184</f>
        <v>2154463.3098465772</v>
      </c>
      <c r="F210" s="193"/>
      <c r="G210" s="221">
        <f>S87</f>
        <v>8826727.3523999993</v>
      </c>
      <c r="H210" s="193">
        <f t="shared" si="12"/>
        <v>1436909.1038790699</v>
      </c>
      <c r="I210" s="193"/>
      <c r="J210" s="114"/>
      <c r="K210" s="9"/>
      <c r="S210" s="9"/>
    </row>
    <row r="211" spans="3:19" ht="15.75" x14ac:dyDescent="0.25">
      <c r="D211" s="9"/>
      <c r="E211" s="222">
        <f>SUM(E195:E210)</f>
        <v>2627565.2199999974</v>
      </c>
      <c r="F211" s="222"/>
      <c r="G211" s="222">
        <f>SUM(G195:G210)</f>
        <v>17804655.629999999</v>
      </c>
      <c r="H211" s="222">
        <f>SUM(H195:H210)</f>
        <v>2898432.311860465</v>
      </c>
      <c r="I211" s="222"/>
      <c r="J211" s="6"/>
      <c r="K211" s="9"/>
      <c r="S211" s="9"/>
    </row>
    <row r="212" spans="3:19" x14ac:dyDescent="0.2">
      <c r="D212" s="9"/>
      <c r="E212" s="21"/>
      <c r="F212" s="9"/>
      <c r="G212" s="9"/>
      <c r="H212" s="9"/>
      <c r="I212" s="9"/>
      <c r="J212" s="9"/>
      <c r="K212" s="9"/>
      <c r="S212" s="9"/>
    </row>
    <row r="213" spans="3:19" x14ac:dyDescent="0.2">
      <c r="D213" s="9"/>
      <c r="E213" s="21"/>
      <c r="F213" s="9"/>
      <c r="G213" s="9"/>
      <c r="H213" s="9"/>
      <c r="I213" s="9"/>
      <c r="J213" s="9"/>
      <c r="K213" s="9"/>
      <c r="S213" s="9"/>
    </row>
    <row r="214" spans="3:19" x14ac:dyDescent="0.2">
      <c r="D214" s="9"/>
      <c r="E214" s="21"/>
      <c r="F214" s="9"/>
      <c r="G214" s="9"/>
      <c r="H214" s="9"/>
      <c r="I214" s="9"/>
      <c r="J214" s="9"/>
      <c r="K214" s="9"/>
      <c r="S214" s="9"/>
    </row>
    <row r="215" spans="3:19" x14ac:dyDescent="0.2">
      <c r="D215" s="9"/>
      <c r="E215" s="21"/>
      <c r="F215" s="9"/>
      <c r="G215" s="9"/>
      <c r="H215" s="9"/>
      <c r="I215" s="9"/>
      <c r="J215" s="9"/>
      <c r="K215" s="9"/>
      <c r="S215" s="9"/>
    </row>
    <row r="216" spans="3:19" x14ac:dyDescent="0.2">
      <c r="D216" s="9"/>
      <c r="E216" s="21"/>
      <c r="F216" s="9"/>
      <c r="G216" s="9"/>
      <c r="H216" s="9"/>
      <c r="I216" s="9"/>
      <c r="J216" s="9"/>
      <c r="S216" s="9"/>
    </row>
    <row r="217" spans="3:19" x14ac:dyDescent="0.2">
      <c r="D217" s="9"/>
      <c r="E217" s="21"/>
      <c r="F217" s="9"/>
      <c r="G217" s="9"/>
      <c r="H217" s="9"/>
      <c r="I217" s="9"/>
      <c r="J217" s="9"/>
      <c r="S217" s="9"/>
    </row>
    <row r="218" spans="3:19" x14ac:dyDescent="0.2">
      <c r="D218" s="9"/>
      <c r="E218" s="9"/>
      <c r="F218" s="9"/>
      <c r="G218" s="9"/>
      <c r="H218" s="9"/>
      <c r="I218" s="9"/>
      <c r="J218" s="9"/>
      <c r="S218" s="9"/>
    </row>
    <row r="219" spans="3:19" x14ac:dyDescent="0.2">
      <c r="D219" s="9"/>
      <c r="E219" s="36"/>
      <c r="F219" s="9"/>
      <c r="G219" s="9"/>
      <c r="H219" s="9"/>
      <c r="I219" s="9"/>
      <c r="J219" s="9"/>
      <c r="K219" s="9"/>
      <c r="L219" s="9"/>
      <c r="M219" s="9"/>
      <c r="N219" s="9"/>
      <c r="O219" s="9"/>
      <c r="S219" s="9"/>
    </row>
    <row r="220" spans="3:19" ht="15.75" x14ac:dyDescent="0.25">
      <c r="D220" s="9"/>
      <c r="E220" s="9"/>
      <c r="F220" s="9"/>
      <c r="G220" s="9"/>
      <c r="H220" s="9"/>
      <c r="I220" s="9"/>
      <c r="J220" s="9"/>
      <c r="K220" s="9"/>
      <c r="L220" s="9"/>
      <c r="M220" s="6"/>
      <c r="N220" s="9"/>
      <c r="O220" s="9"/>
      <c r="R220" s="9"/>
    </row>
    <row r="221" spans="3:19" x14ac:dyDescent="0.2">
      <c r="D221" s="9"/>
      <c r="E221" s="9"/>
      <c r="F221" s="9"/>
      <c r="G221" s="9"/>
      <c r="H221" s="194"/>
      <c r="I221" s="194"/>
      <c r="J221" s="194"/>
      <c r="K221" s="195"/>
      <c r="L221" s="194"/>
      <c r="M221" s="194"/>
      <c r="N221" s="194"/>
      <c r="O221" s="9"/>
      <c r="R221" s="9"/>
    </row>
    <row r="222" spans="3:19" ht="15.75" x14ac:dyDescent="0.25">
      <c r="D222" s="9"/>
      <c r="E222" s="9"/>
      <c r="F222" s="9"/>
      <c r="G222" s="114"/>
      <c r="H222" s="193"/>
      <c r="I222" s="96"/>
      <c r="J222" s="193"/>
      <c r="K222" s="193"/>
      <c r="L222" s="194"/>
      <c r="M222" s="196"/>
      <c r="N222" s="194"/>
      <c r="O222" s="9"/>
      <c r="R222" s="9"/>
    </row>
    <row r="223" spans="3:19" ht="15.75" x14ac:dyDescent="0.25">
      <c r="F223" s="9"/>
      <c r="G223" s="37"/>
      <c r="H223" s="193"/>
      <c r="I223" s="194"/>
      <c r="J223" s="193"/>
      <c r="K223" s="193"/>
      <c r="L223" s="194"/>
      <c r="M223" s="196"/>
      <c r="N223" s="194"/>
      <c r="O223" s="9"/>
    </row>
    <row r="224" spans="3:19" ht="15.75" x14ac:dyDescent="0.25">
      <c r="F224" s="9"/>
      <c r="G224" s="37"/>
      <c r="H224" s="193"/>
      <c r="I224" s="194"/>
      <c r="J224" s="193"/>
      <c r="K224" s="193"/>
      <c r="L224" s="194"/>
      <c r="M224" s="196"/>
      <c r="N224" s="194"/>
      <c r="O224" s="9"/>
    </row>
    <row r="225" spans="5:15" ht="15.75" x14ac:dyDescent="0.25">
      <c r="F225" s="9"/>
      <c r="G225" s="197"/>
      <c r="H225" s="193"/>
      <c r="I225" s="194"/>
      <c r="J225" s="193"/>
      <c r="K225" s="193"/>
      <c r="L225" s="194"/>
      <c r="M225" s="196"/>
      <c r="N225" s="194"/>
      <c r="O225" s="9"/>
    </row>
    <row r="226" spans="5:15" ht="15.75" x14ac:dyDescent="0.25">
      <c r="F226" s="9"/>
      <c r="G226" s="197"/>
      <c r="H226" s="193"/>
      <c r="I226" s="194"/>
      <c r="J226" s="193"/>
      <c r="K226" s="193"/>
      <c r="L226" s="194"/>
      <c r="M226" s="196"/>
      <c r="N226" s="194"/>
      <c r="O226" s="9"/>
    </row>
    <row r="227" spans="5:15" ht="15.75" x14ac:dyDescent="0.25">
      <c r="F227" s="9"/>
      <c r="G227" s="37"/>
      <c r="H227" s="193"/>
      <c r="I227" s="194"/>
      <c r="J227" s="193"/>
      <c r="K227" s="193"/>
      <c r="L227" s="194"/>
      <c r="M227" s="196"/>
      <c r="N227" s="194"/>
      <c r="O227" s="9"/>
    </row>
    <row r="228" spans="5:15" ht="15.75" x14ac:dyDescent="0.25">
      <c r="F228" s="9"/>
      <c r="G228" s="37"/>
      <c r="H228" s="193"/>
      <c r="I228" s="194"/>
      <c r="J228" s="193"/>
      <c r="K228" s="193"/>
      <c r="L228" s="194"/>
      <c r="M228" s="196"/>
      <c r="N228" s="194"/>
      <c r="O228" s="9"/>
    </row>
    <row r="229" spans="5:15" ht="15.75" x14ac:dyDescent="0.25">
      <c r="F229" s="9"/>
      <c r="G229" s="197"/>
      <c r="H229" s="193"/>
      <c r="I229" s="194"/>
      <c r="J229" s="193"/>
      <c r="K229" s="193"/>
      <c r="L229" s="194"/>
      <c r="M229" s="196"/>
      <c r="N229" s="194"/>
      <c r="O229" s="9"/>
    </row>
    <row r="230" spans="5:15" ht="15.75" x14ac:dyDescent="0.25">
      <c r="F230" s="9"/>
      <c r="G230" s="197"/>
      <c r="H230" s="193"/>
      <c r="I230" s="194"/>
      <c r="J230" s="193"/>
      <c r="K230" s="193"/>
      <c r="L230" s="194"/>
      <c r="M230" s="196"/>
      <c r="N230" s="194"/>
      <c r="O230" s="9"/>
    </row>
    <row r="231" spans="5:15" ht="15.75" x14ac:dyDescent="0.25">
      <c r="F231" s="9"/>
      <c r="G231" s="37"/>
      <c r="H231" s="193"/>
      <c r="I231" s="194"/>
      <c r="J231" s="193"/>
      <c r="K231" s="193"/>
      <c r="L231" s="194"/>
      <c r="M231" s="196"/>
      <c r="N231" s="194"/>
      <c r="O231" s="9"/>
    </row>
    <row r="232" spans="5:15" ht="15.75" x14ac:dyDescent="0.25">
      <c r="F232" s="9"/>
      <c r="G232" s="37"/>
      <c r="H232" s="193"/>
      <c r="I232" s="194"/>
      <c r="J232" s="193"/>
      <c r="K232" s="193"/>
      <c r="L232" s="194"/>
      <c r="M232" s="196"/>
      <c r="N232" s="194"/>
      <c r="O232" s="9"/>
    </row>
    <row r="233" spans="5:15" ht="15.75" x14ac:dyDescent="0.25">
      <c r="F233" s="9"/>
      <c r="G233" s="37"/>
      <c r="H233" s="193"/>
      <c r="I233" s="194"/>
      <c r="J233" s="193"/>
      <c r="K233" s="193"/>
      <c r="L233" s="194"/>
      <c r="M233" s="196"/>
      <c r="N233" s="194"/>
      <c r="O233" s="9"/>
    </row>
    <row r="234" spans="5:15" ht="15.75" x14ac:dyDescent="0.25">
      <c r="F234" s="9"/>
      <c r="G234" s="197"/>
      <c r="H234" s="193"/>
      <c r="I234" s="194"/>
      <c r="J234" s="193"/>
      <c r="K234" s="193"/>
      <c r="L234" s="194"/>
      <c r="M234" s="196"/>
      <c r="N234" s="194"/>
      <c r="O234" s="9"/>
    </row>
    <row r="235" spans="5:15" ht="15.75" x14ac:dyDescent="0.25">
      <c r="F235" s="9"/>
      <c r="G235" s="37"/>
      <c r="H235" s="193"/>
      <c r="I235" s="194"/>
      <c r="J235" s="193"/>
      <c r="K235" s="193"/>
      <c r="L235" s="194"/>
      <c r="M235" s="196"/>
      <c r="N235" s="194"/>
      <c r="O235" s="9"/>
    </row>
    <row r="236" spans="5:15" ht="15.75" x14ac:dyDescent="0.25">
      <c r="F236" s="9"/>
      <c r="G236" s="197"/>
      <c r="H236" s="193"/>
      <c r="I236" s="194"/>
      <c r="J236" s="193"/>
      <c r="K236" s="193"/>
      <c r="L236" s="194"/>
      <c r="M236" s="196"/>
      <c r="N236" s="194"/>
      <c r="O236" s="9"/>
    </row>
    <row r="237" spans="5:15" ht="15.75" x14ac:dyDescent="0.25">
      <c r="F237" s="9"/>
      <c r="G237" s="37"/>
      <c r="H237" s="193"/>
      <c r="I237" s="194"/>
      <c r="J237" s="193"/>
      <c r="K237" s="193"/>
      <c r="L237" s="194"/>
      <c r="M237" s="196"/>
      <c r="N237" s="194"/>
      <c r="O237" s="9"/>
    </row>
    <row r="238" spans="5:15" ht="15.75" x14ac:dyDescent="0.25">
      <c r="F238" s="9"/>
      <c r="G238" s="9"/>
      <c r="H238" s="222"/>
      <c r="I238" s="6"/>
      <c r="J238" s="222"/>
      <c r="K238" s="222"/>
      <c r="L238" s="6"/>
      <c r="M238" s="6"/>
      <c r="N238" s="6"/>
      <c r="O238" s="9"/>
    </row>
    <row r="239" spans="5:15" x14ac:dyDescent="0.2">
      <c r="F239" s="9"/>
      <c r="G239" s="9"/>
      <c r="H239" s="9"/>
      <c r="I239" s="9"/>
      <c r="J239" s="9"/>
      <c r="K239" s="9"/>
      <c r="L239" s="9"/>
      <c r="M239" s="9"/>
      <c r="N239" s="9"/>
      <c r="O239" s="9"/>
    </row>
    <row r="240" spans="5:15" x14ac:dyDescent="0.2">
      <c r="E240" s="119"/>
      <c r="F240" s="117"/>
      <c r="G240" s="117"/>
      <c r="H240" s="9"/>
      <c r="I240" s="9"/>
      <c r="J240" s="9"/>
      <c r="K240" s="9"/>
      <c r="L240" s="9"/>
      <c r="M240" s="9"/>
      <c r="N240" s="9"/>
      <c r="O240" s="9"/>
    </row>
    <row r="241" spans="4:15" x14ac:dyDescent="0.2">
      <c r="D241" s="116"/>
      <c r="E241" s="116"/>
      <c r="F241" s="116"/>
      <c r="G241" s="116"/>
      <c r="H241" s="116"/>
      <c r="I241" s="116"/>
      <c r="J241" s="116"/>
      <c r="K241" s="116"/>
      <c r="L241" s="9"/>
      <c r="M241" s="9"/>
      <c r="N241" s="9"/>
      <c r="O241" s="9"/>
    </row>
    <row r="242" spans="4:15" ht="15.75" x14ac:dyDescent="0.25">
      <c r="F242" s="9"/>
      <c r="G242" s="9"/>
      <c r="H242" s="9"/>
      <c r="I242" s="150"/>
      <c r="J242" s="184"/>
      <c r="K242" s="9"/>
      <c r="L242" s="9"/>
      <c r="M242" s="9"/>
      <c r="N242" s="9"/>
      <c r="O242" s="9"/>
    </row>
    <row r="243" spans="4:15" ht="15.75" x14ac:dyDescent="0.25">
      <c r="F243" s="9"/>
      <c r="G243" s="9"/>
      <c r="H243" s="9"/>
      <c r="I243" s="150"/>
      <c r="J243" s="184"/>
      <c r="K243" s="9"/>
      <c r="L243" s="9"/>
      <c r="M243" s="9"/>
      <c r="N243" s="9"/>
      <c r="O243" s="9"/>
    </row>
    <row r="244" spans="4:15" x14ac:dyDescent="0.2">
      <c r="F244" s="9"/>
      <c r="G244" s="9"/>
      <c r="H244" s="9"/>
      <c r="I244" s="9"/>
      <c r="J244" s="9"/>
      <c r="K244" s="9"/>
      <c r="L244" s="9"/>
      <c r="M244" s="9"/>
      <c r="N244" s="9"/>
      <c r="O244" s="9"/>
    </row>
    <row r="245" spans="4:15" x14ac:dyDescent="0.2">
      <c r="I245" s="1" t="s">
        <v>86</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F168"/>
  <sheetViews>
    <sheetView topLeftCell="A118" zoomScale="85" zoomScaleNormal="85" workbookViewId="0">
      <selection activeCell="G136" sqref="G136"/>
    </sheetView>
  </sheetViews>
  <sheetFormatPr defaultColWidth="8.88671875" defaultRowHeight="15" x14ac:dyDescent="0.2"/>
  <cols>
    <col min="1" max="1" width="4.44140625" style="1" customWidth="1"/>
    <col min="2" max="2" width="15.88671875" style="1" customWidth="1"/>
    <col min="3" max="3" width="15.21875" style="1" customWidth="1"/>
    <col min="4" max="4" width="11.5546875" style="1" customWidth="1"/>
    <col min="5" max="5" width="7.6640625" style="1" customWidth="1"/>
    <col min="6" max="7" width="10.44140625" style="1" bestFit="1" customWidth="1"/>
    <col min="8" max="16384" width="8.88671875" style="1"/>
  </cols>
  <sheetData>
    <row r="3" spans="2:2" ht="20.25" thickBot="1" x14ac:dyDescent="0.35">
      <c r="B3" s="120" t="s">
        <v>223</v>
      </c>
    </row>
    <row r="4" spans="2:2" ht="15.75" thickTop="1" x14ac:dyDescent="0.2"/>
    <row r="6" spans="2:2" ht="17.25" thickBot="1" x14ac:dyDescent="0.3">
      <c r="B6" s="223" t="s">
        <v>333</v>
      </c>
    </row>
    <row r="7" spans="2:2" ht="15.75" thickTop="1" x14ac:dyDescent="0.2"/>
    <row r="20" spans="2:20" ht="15.75" thickBot="1" x14ac:dyDescent="0.25">
      <c r="C20" s="1" t="s">
        <v>338</v>
      </c>
      <c r="G20" s="1" t="s">
        <v>337</v>
      </c>
    </row>
    <row r="21" spans="2:20" ht="19.5" thickBot="1" x14ac:dyDescent="0.35">
      <c r="B21" s="603" t="s">
        <v>336</v>
      </c>
      <c r="C21" s="604">
        <v>2011</v>
      </c>
      <c r="D21" s="604">
        <v>2012</v>
      </c>
      <c r="E21" s="604">
        <v>2013</v>
      </c>
      <c r="F21" s="604">
        <v>2014</v>
      </c>
      <c r="G21" s="606">
        <v>2015</v>
      </c>
      <c r="H21" s="606">
        <v>2016</v>
      </c>
      <c r="I21" s="606">
        <v>2017</v>
      </c>
      <c r="J21" s="606">
        <v>2018</v>
      </c>
      <c r="K21" s="606">
        <v>2019</v>
      </c>
      <c r="L21" s="606">
        <v>2020</v>
      </c>
      <c r="M21" s="606">
        <v>2021</v>
      </c>
      <c r="N21" s="607">
        <v>2022</v>
      </c>
    </row>
    <row r="22" spans="2:20" ht="15.75" x14ac:dyDescent="0.25">
      <c r="B22" s="592" t="s">
        <v>8</v>
      </c>
      <c r="C22" s="620">
        <v>480</v>
      </c>
      <c r="D22" s="620">
        <v>476</v>
      </c>
      <c r="E22" s="620">
        <v>475</v>
      </c>
      <c r="F22" s="625">
        <v>474</v>
      </c>
      <c r="G22" s="608">
        <v>467</v>
      </c>
      <c r="H22" s="608">
        <v>466</v>
      </c>
      <c r="I22" s="608">
        <v>466</v>
      </c>
      <c r="J22" s="608">
        <v>472</v>
      </c>
      <c r="K22" s="608">
        <v>468</v>
      </c>
      <c r="L22" s="608">
        <v>473</v>
      </c>
      <c r="M22" s="608">
        <v>469</v>
      </c>
      <c r="N22" s="609">
        <v>466</v>
      </c>
      <c r="P22" s="5"/>
      <c r="T22" s="219"/>
    </row>
    <row r="23" spans="2:20" ht="15.75" x14ac:dyDescent="0.25">
      <c r="B23" s="562" t="s">
        <v>9</v>
      </c>
      <c r="C23" s="621">
        <v>978</v>
      </c>
      <c r="D23" s="621">
        <v>960</v>
      </c>
      <c r="E23" s="621">
        <v>947</v>
      </c>
      <c r="F23" s="626">
        <v>932</v>
      </c>
      <c r="G23" s="610">
        <v>928</v>
      </c>
      <c r="H23" s="610">
        <v>933</v>
      </c>
      <c r="I23" s="610">
        <v>936</v>
      </c>
      <c r="J23" s="610">
        <v>941</v>
      </c>
      <c r="K23" s="610">
        <v>945</v>
      </c>
      <c r="L23" s="610">
        <v>947</v>
      </c>
      <c r="M23" s="610">
        <v>959</v>
      </c>
      <c r="N23" s="611">
        <v>962</v>
      </c>
      <c r="T23" s="219"/>
    </row>
    <row r="24" spans="2:20" ht="15.75" x14ac:dyDescent="0.25">
      <c r="B24" s="562" t="s">
        <v>10</v>
      </c>
      <c r="C24" s="621">
        <v>2527</v>
      </c>
      <c r="D24" s="621">
        <v>2531</v>
      </c>
      <c r="E24" s="621">
        <v>2520</v>
      </c>
      <c r="F24" s="626">
        <v>2534</v>
      </c>
      <c r="G24" s="610">
        <v>2540</v>
      </c>
      <c r="H24" s="610">
        <v>2543</v>
      </c>
      <c r="I24" s="610">
        <v>2561</v>
      </c>
      <c r="J24" s="610">
        <v>2571</v>
      </c>
      <c r="K24" s="610">
        <v>2595</v>
      </c>
      <c r="L24" s="610">
        <v>2612</v>
      </c>
      <c r="M24" s="610">
        <v>2636</v>
      </c>
      <c r="N24" s="611">
        <v>2659</v>
      </c>
      <c r="P24" s="22"/>
      <c r="T24" s="219"/>
    </row>
    <row r="25" spans="2:20" ht="15.75" x14ac:dyDescent="0.25">
      <c r="B25" s="562" t="s">
        <v>11</v>
      </c>
      <c r="C25" s="621">
        <v>577</v>
      </c>
      <c r="D25" s="621">
        <v>578</v>
      </c>
      <c r="E25" s="621">
        <v>572</v>
      </c>
      <c r="F25" s="626">
        <v>568</v>
      </c>
      <c r="G25" s="610">
        <v>562</v>
      </c>
      <c r="H25" s="610">
        <v>567</v>
      </c>
      <c r="I25" s="610">
        <v>582</v>
      </c>
      <c r="J25" s="610">
        <v>570</v>
      </c>
      <c r="K25" s="610">
        <v>577</v>
      </c>
      <c r="L25" s="610">
        <v>581</v>
      </c>
      <c r="M25" s="610">
        <v>582</v>
      </c>
      <c r="N25" s="611">
        <v>593</v>
      </c>
      <c r="T25" s="219"/>
    </row>
    <row r="26" spans="2:20" ht="15.75" x14ac:dyDescent="0.25">
      <c r="B26" s="562" t="s">
        <v>12</v>
      </c>
      <c r="C26" s="621">
        <v>492</v>
      </c>
      <c r="D26" s="621">
        <v>495</v>
      </c>
      <c r="E26" s="621">
        <v>500</v>
      </c>
      <c r="F26" s="626">
        <v>494</v>
      </c>
      <c r="G26" s="610">
        <v>497</v>
      </c>
      <c r="H26" s="610">
        <v>500</v>
      </c>
      <c r="I26" s="610">
        <v>511</v>
      </c>
      <c r="J26" s="610">
        <v>510</v>
      </c>
      <c r="K26" s="610">
        <v>520</v>
      </c>
      <c r="L26" s="610">
        <v>525</v>
      </c>
      <c r="M26" s="610">
        <v>532</v>
      </c>
      <c r="N26" s="611">
        <v>534</v>
      </c>
      <c r="T26" s="219"/>
    </row>
    <row r="27" spans="2:20" ht="15.75" x14ac:dyDescent="0.25">
      <c r="B27" s="562" t="s">
        <v>13</v>
      </c>
      <c r="C27" s="621">
        <v>1526</v>
      </c>
      <c r="D27" s="621">
        <v>1522</v>
      </c>
      <c r="E27" s="621">
        <v>1540</v>
      </c>
      <c r="F27" s="626">
        <v>1532</v>
      </c>
      <c r="G27" s="610">
        <v>1533</v>
      </c>
      <c r="H27" s="610">
        <v>1533</v>
      </c>
      <c r="I27" s="610">
        <v>1542</v>
      </c>
      <c r="J27" s="610">
        <v>1561</v>
      </c>
      <c r="K27" s="610">
        <v>1581</v>
      </c>
      <c r="L27" s="610">
        <v>1598</v>
      </c>
      <c r="M27" s="610">
        <v>1602</v>
      </c>
      <c r="N27" s="611">
        <v>1627</v>
      </c>
      <c r="P27" s="22"/>
      <c r="T27" s="219"/>
    </row>
    <row r="28" spans="2:20" ht="15.75" x14ac:dyDescent="0.25">
      <c r="B28" s="562" t="s">
        <v>14</v>
      </c>
      <c r="C28" s="621">
        <v>4249</v>
      </c>
      <c r="D28" s="621">
        <v>4355</v>
      </c>
      <c r="E28" s="621">
        <v>4424</v>
      </c>
      <c r="F28" s="626">
        <v>4560</v>
      </c>
      <c r="G28" s="610">
        <v>4626</v>
      </c>
      <c r="H28" s="610">
        <v>4720</v>
      </c>
      <c r="I28" s="610">
        <v>4803</v>
      </c>
      <c r="J28" s="610">
        <v>4895</v>
      </c>
      <c r="K28" s="610">
        <v>4984</v>
      </c>
      <c r="L28" s="610">
        <v>5079</v>
      </c>
      <c r="M28" s="610">
        <v>5157</v>
      </c>
      <c r="N28" s="611">
        <v>5239</v>
      </c>
      <c r="P28" s="22"/>
      <c r="T28" s="219"/>
    </row>
    <row r="29" spans="2:20" ht="15.75" x14ac:dyDescent="0.25">
      <c r="B29" s="562" t="s">
        <v>15</v>
      </c>
      <c r="C29" s="621">
        <v>361</v>
      </c>
      <c r="D29" s="621">
        <v>338</v>
      </c>
      <c r="E29" s="621">
        <v>330</v>
      </c>
      <c r="F29" s="626">
        <v>328</v>
      </c>
      <c r="G29" s="610">
        <v>320</v>
      </c>
      <c r="H29" s="610">
        <v>318</v>
      </c>
      <c r="I29" s="610">
        <v>321</v>
      </c>
      <c r="J29" s="610">
        <v>325</v>
      </c>
      <c r="K29" s="610">
        <v>325</v>
      </c>
      <c r="L29" s="610">
        <v>321</v>
      </c>
      <c r="M29" s="610">
        <v>321</v>
      </c>
      <c r="N29" s="611">
        <v>317</v>
      </c>
      <c r="T29" s="219"/>
    </row>
    <row r="30" spans="2:20" ht="15.75" x14ac:dyDescent="0.25">
      <c r="B30" s="562" t="s">
        <v>16</v>
      </c>
      <c r="C30" s="621">
        <v>249</v>
      </c>
      <c r="D30" s="621">
        <v>245</v>
      </c>
      <c r="E30" s="621">
        <v>251</v>
      </c>
      <c r="F30" s="626">
        <v>253</v>
      </c>
      <c r="G30" s="610">
        <v>246</v>
      </c>
      <c r="H30" s="610">
        <v>242</v>
      </c>
      <c r="I30" s="610">
        <v>238</v>
      </c>
      <c r="J30" s="610">
        <v>242</v>
      </c>
      <c r="K30" s="610">
        <v>243</v>
      </c>
      <c r="L30" s="610">
        <v>244</v>
      </c>
      <c r="M30" s="610">
        <v>241</v>
      </c>
      <c r="N30" s="611">
        <v>246</v>
      </c>
      <c r="T30" s="219"/>
    </row>
    <row r="31" spans="2:20" ht="15.75" x14ac:dyDescent="0.25">
      <c r="B31" s="562" t="s">
        <v>17</v>
      </c>
      <c r="C31" s="621">
        <v>1860</v>
      </c>
      <c r="D31" s="621">
        <v>1883</v>
      </c>
      <c r="E31" s="621">
        <v>1926</v>
      </c>
      <c r="F31" s="626">
        <v>1943</v>
      </c>
      <c r="G31" s="610">
        <v>1949</v>
      </c>
      <c r="H31" s="610">
        <v>1962</v>
      </c>
      <c r="I31" s="610">
        <v>1969</v>
      </c>
      <c r="J31" s="610">
        <v>1985</v>
      </c>
      <c r="K31" s="610">
        <v>2012</v>
      </c>
      <c r="L31" s="610">
        <v>2018</v>
      </c>
      <c r="M31" s="610">
        <v>2044</v>
      </c>
      <c r="N31" s="611">
        <v>2057</v>
      </c>
      <c r="P31" s="22"/>
      <c r="T31" s="219"/>
    </row>
    <row r="32" spans="2:20" ht="15.75" x14ac:dyDescent="0.25">
      <c r="B32" s="562" t="s">
        <v>18</v>
      </c>
      <c r="C32" s="621">
        <v>399</v>
      </c>
      <c r="D32" s="621">
        <v>392</v>
      </c>
      <c r="E32" s="621">
        <v>413</v>
      </c>
      <c r="F32" s="626">
        <v>418</v>
      </c>
      <c r="G32" s="610">
        <v>417</v>
      </c>
      <c r="H32" s="610">
        <v>420</v>
      </c>
      <c r="I32" s="610">
        <v>420</v>
      </c>
      <c r="J32" s="610">
        <v>427</v>
      </c>
      <c r="K32" s="610">
        <v>438</v>
      </c>
      <c r="L32" s="610">
        <v>436</v>
      </c>
      <c r="M32" s="610">
        <v>441</v>
      </c>
      <c r="N32" s="611">
        <v>445</v>
      </c>
      <c r="T32" s="219"/>
    </row>
    <row r="33" spans="2:32" ht="15.75" x14ac:dyDescent="0.25">
      <c r="B33" s="562" t="s">
        <v>19</v>
      </c>
      <c r="C33" s="621">
        <v>1810</v>
      </c>
      <c r="D33" s="621">
        <v>1823</v>
      </c>
      <c r="E33" s="621">
        <v>1813</v>
      </c>
      <c r="F33" s="626">
        <v>1825</v>
      </c>
      <c r="G33" s="610">
        <v>1829</v>
      </c>
      <c r="H33" s="610">
        <v>1829</v>
      </c>
      <c r="I33" s="610">
        <v>1838</v>
      </c>
      <c r="J33" s="610">
        <v>1852</v>
      </c>
      <c r="K33" s="610">
        <v>1869</v>
      </c>
      <c r="L33" s="610">
        <v>1876</v>
      </c>
      <c r="M33" s="610">
        <v>1900</v>
      </c>
      <c r="N33" s="611">
        <v>1899</v>
      </c>
      <c r="P33" s="22"/>
      <c r="T33" s="219"/>
    </row>
    <row r="34" spans="2:32" ht="15.75" x14ac:dyDescent="0.25">
      <c r="B34" s="562" t="s">
        <v>20</v>
      </c>
      <c r="C34" s="621">
        <v>103</v>
      </c>
      <c r="D34" s="621">
        <v>101</v>
      </c>
      <c r="E34" s="621">
        <v>100</v>
      </c>
      <c r="F34" s="626">
        <v>101</v>
      </c>
      <c r="G34" s="610">
        <v>93</v>
      </c>
      <c r="H34" s="610">
        <v>83</v>
      </c>
      <c r="I34" s="610">
        <v>79</v>
      </c>
      <c r="J34" s="610">
        <v>70</v>
      </c>
      <c r="K34" s="610">
        <v>65</v>
      </c>
      <c r="L34" s="610">
        <v>62</v>
      </c>
      <c r="M34" s="610">
        <v>62</v>
      </c>
      <c r="N34" s="611">
        <v>62</v>
      </c>
      <c r="T34" s="219"/>
    </row>
    <row r="35" spans="2:32" ht="15.75" x14ac:dyDescent="0.25">
      <c r="B35" s="562" t="s">
        <v>21</v>
      </c>
      <c r="C35" s="621">
        <v>1032</v>
      </c>
      <c r="D35" s="621">
        <v>1035</v>
      </c>
      <c r="E35" s="621">
        <v>1029</v>
      </c>
      <c r="F35" s="626">
        <v>1035</v>
      </c>
      <c r="G35" s="610">
        <v>1028</v>
      </c>
      <c r="H35" s="610">
        <v>1024</v>
      </c>
      <c r="I35" s="610">
        <v>1033</v>
      </c>
      <c r="J35" s="610">
        <v>1041</v>
      </c>
      <c r="K35" s="610">
        <v>1039</v>
      </c>
      <c r="L35" s="610">
        <v>1044</v>
      </c>
      <c r="M35" s="610">
        <v>1051</v>
      </c>
      <c r="N35" s="611">
        <v>1056</v>
      </c>
      <c r="P35" s="22"/>
      <c r="T35" s="219"/>
    </row>
    <row r="36" spans="2:32" ht="15.75" x14ac:dyDescent="0.25">
      <c r="B36" s="562" t="s">
        <v>22</v>
      </c>
      <c r="C36" s="621">
        <v>449</v>
      </c>
      <c r="D36" s="621">
        <v>422</v>
      </c>
      <c r="E36" s="621">
        <v>433</v>
      </c>
      <c r="F36" s="626">
        <v>439</v>
      </c>
      <c r="G36" s="610">
        <v>436</v>
      </c>
      <c r="H36" s="610">
        <v>442</v>
      </c>
      <c r="I36" s="610">
        <v>440</v>
      </c>
      <c r="J36" s="610">
        <v>443</v>
      </c>
      <c r="K36" s="610">
        <v>443</v>
      </c>
      <c r="L36" s="610">
        <v>446</v>
      </c>
      <c r="M36" s="610">
        <v>456</v>
      </c>
      <c r="N36" s="611">
        <v>456</v>
      </c>
      <c r="T36" s="219"/>
    </row>
    <row r="37" spans="2:32" ht="16.5" thickBot="1" x14ac:dyDescent="0.3">
      <c r="B37" s="593" t="s">
        <v>23</v>
      </c>
      <c r="C37" s="622">
        <v>11263</v>
      </c>
      <c r="D37" s="622">
        <v>11346</v>
      </c>
      <c r="E37" s="622">
        <v>11393</v>
      </c>
      <c r="F37" s="627">
        <v>11480</v>
      </c>
      <c r="G37" s="612">
        <v>11506</v>
      </c>
      <c r="H37" s="612">
        <v>11546</v>
      </c>
      <c r="I37" s="612">
        <v>11615</v>
      </c>
      <c r="J37" s="612">
        <v>11680</v>
      </c>
      <c r="K37" s="612">
        <v>11756</v>
      </c>
      <c r="L37" s="612">
        <v>11823</v>
      </c>
      <c r="M37" s="612">
        <v>11899</v>
      </c>
      <c r="N37" s="613">
        <v>11974</v>
      </c>
      <c r="P37" s="22"/>
      <c r="T37" s="219"/>
    </row>
    <row r="38" spans="2:32" ht="19.5" thickBot="1" x14ac:dyDescent="0.35">
      <c r="B38" s="594" t="s">
        <v>24</v>
      </c>
      <c r="C38" s="623">
        <v>28355</v>
      </c>
      <c r="D38" s="623">
        <v>28502</v>
      </c>
      <c r="E38" s="623">
        <v>28666</v>
      </c>
      <c r="F38" s="624">
        <v>28916</v>
      </c>
      <c r="G38" s="614">
        <v>28977</v>
      </c>
      <c r="H38" s="614">
        <v>29128</v>
      </c>
      <c r="I38" s="614">
        <v>29354</v>
      </c>
      <c r="J38" s="614">
        <v>29585</v>
      </c>
      <c r="K38" s="614">
        <v>29860</v>
      </c>
      <c r="L38" s="614">
        <v>30085</v>
      </c>
      <c r="M38" s="614">
        <v>30352</v>
      </c>
      <c r="N38" s="615">
        <v>30592</v>
      </c>
      <c r="P38" s="22"/>
    </row>
    <row r="39" spans="2:32" ht="19.5" thickBot="1" x14ac:dyDescent="0.35">
      <c r="B39" s="595"/>
      <c r="F39" s="595"/>
      <c r="G39" s="595"/>
      <c r="H39" s="595"/>
      <c r="I39" s="595"/>
      <c r="J39" s="595"/>
      <c r="K39" s="595"/>
      <c r="L39" s="595"/>
      <c r="M39" s="595"/>
      <c r="N39" s="595"/>
      <c r="P39" s="5"/>
    </row>
    <row r="40" spans="2:32" ht="19.5" thickBot="1" x14ac:dyDescent="0.35">
      <c r="B40" s="603" t="s">
        <v>335</v>
      </c>
      <c r="C40" s="605">
        <v>2011</v>
      </c>
      <c r="D40" s="604">
        <v>2012</v>
      </c>
      <c r="E40" s="605">
        <v>2013</v>
      </c>
      <c r="F40" s="604">
        <v>2014</v>
      </c>
      <c r="G40" s="605">
        <v>2015</v>
      </c>
      <c r="H40" s="603">
        <v>2016</v>
      </c>
      <c r="I40" s="604">
        <v>2017</v>
      </c>
      <c r="J40" s="604">
        <v>2018</v>
      </c>
      <c r="K40" s="604">
        <v>2019</v>
      </c>
      <c r="L40" s="604">
        <v>2020</v>
      </c>
      <c r="M40" s="604">
        <v>2021</v>
      </c>
      <c r="N40" s="605">
        <v>2022</v>
      </c>
      <c r="P40" s="5"/>
    </row>
    <row r="41" spans="2:32" ht="15.75" x14ac:dyDescent="0.25">
      <c r="B41" s="592" t="s">
        <v>8</v>
      </c>
      <c r="C41" s="597"/>
      <c r="D41" s="597"/>
      <c r="E41" s="597">
        <f>AVERAGE(C22:E22)-C22</f>
        <v>-3</v>
      </c>
      <c r="F41" s="597">
        <f t="shared" ref="E41:H56" si="0">AVERAGE(D22:F22)-D22</f>
        <v>-1</v>
      </c>
      <c r="G41" s="628">
        <f t="shared" si="0"/>
        <v>-3</v>
      </c>
      <c r="H41" s="629">
        <f>AVERAGE(F22:H22)-F22</f>
        <v>-5</v>
      </c>
      <c r="I41" s="629">
        <f t="shared" ref="I41:N56" si="1">AVERAGE(G22:I22)-G22</f>
        <v>-0.66666666666668561</v>
      </c>
      <c r="J41" s="629">
        <f t="shared" si="1"/>
        <v>2</v>
      </c>
      <c r="K41" s="629">
        <f t="shared" si="1"/>
        <v>2.6666666666666856</v>
      </c>
      <c r="L41" s="629">
        <f t="shared" si="1"/>
        <v>-1</v>
      </c>
      <c r="M41" s="629">
        <f t="shared" si="1"/>
        <v>2</v>
      </c>
      <c r="N41" s="630">
        <f t="shared" si="1"/>
        <v>-3.6666666666666856</v>
      </c>
      <c r="P41" s="5"/>
    </row>
    <row r="42" spans="2:32" ht="15.75" x14ac:dyDescent="0.25">
      <c r="B42" s="562" t="s">
        <v>9</v>
      </c>
      <c r="C42" s="598"/>
      <c r="D42" s="598"/>
      <c r="E42" s="598">
        <f t="shared" si="0"/>
        <v>-16.333333333333371</v>
      </c>
      <c r="F42" s="598">
        <f t="shared" si="0"/>
        <v>-13.666666666666629</v>
      </c>
      <c r="G42" s="631">
        <f t="shared" si="0"/>
        <v>-11.333333333333371</v>
      </c>
      <c r="H42" s="632">
        <f t="shared" si="0"/>
        <v>-1</v>
      </c>
      <c r="I42" s="632">
        <f t="shared" si="1"/>
        <v>4.3333333333333712</v>
      </c>
      <c r="J42" s="632">
        <f t="shared" si="1"/>
        <v>3.6666666666666288</v>
      </c>
      <c r="K42" s="632">
        <f t="shared" si="1"/>
        <v>4.6666666666666288</v>
      </c>
      <c r="L42" s="632">
        <f t="shared" si="1"/>
        <v>3.3333333333333712</v>
      </c>
      <c r="M42" s="632">
        <f t="shared" si="1"/>
        <v>5.3333333333333712</v>
      </c>
      <c r="N42" s="633">
        <f t="shared" si="1"/>
        <v>9</v>
      </c>
      <c r="P42" s="5"/>
    </row>
    <row r="43" spans="2:32" ht="15.75" x14ac:dyDescent="0.25">
      <c r="B43" s="562" t="s">
        <v>10</v>
      </c>
      <c r="C43" s="598"/>
      <c r="D43" s="598"/>
      <c r="E43" s="598">
        <f t="shared" si="0"/>
        <v>-1</v>
      </c>
      <c r="F43" s="598">
        <f t="shared" si="0"/>
        <v>-2.6666666666665151</v>
      </c>
      <c r="G43" s="631">
        <f t="shared" si="0"/>
        <v>11.333333333333485</v>
      </c>
      <c r="H43" s="632">
        <f t="shared" si="0"/>
        <v>5</v>
      </c>
      <c r="I43" s="632">
        <f t="shared" si="1"/>
        <v>8</v>
      </c>
      <c r="J43" s="632">
        <f t="shared" si="1"/>
        <v>15.333333333333485</v>
      </c>
      <c r="K43" s="632">
        <f t="shared" si="1"/>
        <v>14.666666666666515</v>
      </c>
      <c r="L43" s="632">
        <f t="shared" si="1"/>
        <v>21.666666666666515</v>
      </c>
      <c r="M43" s="632">
        <f t="shared" si="1"/>
        <v>19.333333333333485</v>
      </c>
      <c r="N43" s="633">
        <f t="shared" si="1"/>
        <v>23.666666666666515</v>
      </c>
      <c r="P43" s="5"/>
      <c r="R43" s="22"/>
      <c r="U43" s="22"/>
      <c r="V43" s="22"/>
      <c r="Y43" s="22"/>
      <c r="AA43" s="22"/>
      <c r="AC43" s="22"/>
      <c r="AE43" s="22"/>
      <c r="AF43" s="22"/>
    </row>
    <row r="44" spans="2:32" ht="15.75" x14ac:dyDescent="0.25">
      <c r="B44" s="562" t="s">
        <v>11</v>
      </c>
      <c r="C44" s="598"/>
      <c r="D44" s="598"/>
      <c r="E44" s="598">
        <f t="shared" si="0"/>
        <v>-1.3333333333333712</v>
      </c>
      <c r="F44" s="598">
        <f t="shared" si="0"/>
        <v>-5.3333333333333712</v>
      </c>
      <c r="G44" s="631">
        <f t="shared" si="0"/>
        <v>-4.6666666666666288</v>
      </c>
      <c r="H44" s="632">
        <f t="shared" si="0"/>
        <v>-2.3333333333333712</v>
      </c>
      <c r="I44" s="632">
        <f t="shared" si="1"/>
        <v>8.3333333333333712</v>
      </c>
      <c r="J44" s="632">
        <f t="shared" si="1"/>
        <v>6</v>
      </c>
      <c r="K44" s="632">
        <f t="shared" si="1"/>
        <v>-5.6666666666666288</v>
      </c>
      <c r="L44" s="632">
        <f t="shared" si="1"/>
        <v>6</v>
      </c>
      <c r="M44" s="632">
        <f t="shared" si="1"/>
        <v>3</v>
      </c>
      <c r="N44" s="633">
        <f t="shared" si="1"/>
        <v>4.3333333333333712</v>
      </c>
      <c r="P44" s="5"/>
    </row>
    <row r="45" spans="2:32" ht="15.75" x14ac:dyDescent="0.25">
      <c r="B45" s="562" t="s">
        <v>12</v>
      </c>
      <c r="C45" s="598"/>
      <c r="D45" s="598"/>
      <c r="E45" s="598">
        <f t="shared" si="0"/>
        <v>3.6666666666666856</v>
      </c>
      <c r="F45" s="598">
        <f t="shared" si="0"/>
        <v>1.3333333333333144</v>
      </c>
      <c r="G45" s="631">
        <f t="shared" si="0"/>
        <v>-3</v>
      </c>
      <c r="H45" s="632">
        <f t="shared" si="0"/>
        <v>3</v>
      </c>
      <c r="I45" s="632">
        <f t="shared" si="1"/>
        <v>5.6666666666666856</v>
      </c>
      <c r="J45" s="632">
        <f t="shared" si="1"/>
        <v>7</v>
      </c>
      <c r="K45" s="632">
        <f t="shared" si="1"/>
        <v>2.6666666666666288</v>
      </c>
      <c r="L45" s="632">
        <f t="shared" si="1"/>
        <v>8.3333333333333712</v>
      </c>
      <c r="M45" s="632">
        <f t="shared" si="1"/>
        <v>5.6666666666666288</v>
      </c>
      <c r="N45" s="633">
        <f t="shared" si="1"/>
        <v>5.3333333333333712</v>
      </c>
      <c r="P45" s="5"/>
    </row>
    <row r="46" spans="2:32" ht="15.75" x14ac:dyDescent="0.25">
      <c r="B46" s="562" t="s">
        <v>13</v>
      </c>
      <c r="C46" s="598"/>
      <c r="D46" s="598"/>
      <c r="E46" s="598">
        <f t="shared" si="0"/>
        <v>3.3333333333332575</v>
      </c>
      <c r="F46" s="598">
        <f t="shared" si="0"/>
        <v>9.3333333333332575</v>
      </c>
      <c r="G46" s="631">
        <f t="shared" si="0"/>
        <v>-5</v>
      </c>
      <c r="H46" s="632">
        <f t="shared" si="0"/>
        <v>0.66666666666674246</v>
      </c>
      <c r="I46" s="632">
        <f t="shared" si="1"/>
        <v>3</v>
      </c>
      <c r="J46" s="632">
        <f t="shared" si="1"/>
        <v>12.333333333333258</v>
      </c>
      <c r="K46" s="632">
        <f t="shared" si="1"/>
        <v>19.333333333333258</v>
      </c>
      <c r="L46" s="632">
        <f t="shared" si="1"/>
        <v>19</v>
      </c>
      <c r="M46" s="632">
        <f t="shared" si="1"/>
        <v>12.666666666666742</v>
      </c>
      <c r="N46" s="633">
        <f t="shared" si="1"/>
        <v>11</v>
      </c>
      <c r="P46" s="5"/>
    </row>
    <row r="47" spans="2:32" ht="15.75" x14ac:dyDescent="0.25">
      <c r="B47" s="562" t="s">
        <v>14</v>
      </c>
      <c r="C47" s="598"/>
      <c r="D47" s="598"/>
      <c r="E47" s="598">
        <f t="shared" si="0"/>
        <v>93.66666666666697</v>
      </c>
      <c r="F47" s="598">
        <f t="shared" si="0"/>
        <v>91.33333333333303</v>
      </c>
      <c r="G47" s="631">
        <f t="shared" si="0"/>
        <v>112.66666666666697</v>
      </c>
      <c r="H47" s="632">
        <f t="shared" si="0"/>
        <v>75.33333333333303</v>
      </c>
      <c r="I47" s="632">
        <f t="shared" si="1"/>
        <v>90.33333333333303</v>
      </c>
      <c r="J47" s="632">
        <f t="shared" si="1"/>
        <v>86</v>
      </c>
      <c r="K47" s="632">
        <f t="shared" si="1"/>
        <v>91</v>
      </c>
      <c r="L47" s="632">
        <f t="shared" si="1"/>
        <v>91</v>
      </c>
      <c r="M47" s="632">
        <f t="shared" si="1"/>
        <v>89.33333333333303</v>
      </c>
      <c r="N47" s="633">
        <f t="shared" si="1"/>
        <v>79.33333333333303</v>
      </c>
    </row>
    <row r="48" spans="2:32" ht="15.75" x14ac:dyDescent="0.25">
      <c r="B48" s="562" t="s">
        <v>15</v>
      </c>
      <c r="C48" s="598"/>
      <c r="D48" s="598"/>
      <c r="E48" s="598">
        <f t="shared" si="0"/>
        <v>-18</v>
      </c>
      <c r="F48" s="598">
        <f t="shared" si="0"/>
        <v>-6</v>
      </c>
      <c r="G48" s="631">
        <f t="shared" si="0"/>
        <v>-4</v>
      </c>
      <c r="H48" s="632">
        <f t="shared" si="0"/>
        <v>-6</v>
      </c>
      <c r="I48" s="632">
        <f t="shared" si="1"/>
        <v>-0.33333333333331439</v>
      </c>
      <c r="J48" s="632">
        <f t="shared" si="1"/>
        <v>3.3333333333333144</v>
      </c>
      <c r="K48" s="632">
        <f t="shared" si="1"/>
        <v>2.6666666666666856</v>
      </c>
      <c r="L48" s="632">
        <f t="shared" si="1"/>
        <v>-1.3333333333333144</v>
      </c>
      <c r="M48" s="632">
        <f t="shared" si="1"/>
        <v>-2.6666666666666856</v>
      </c>
      <c r="N48" s="633">
        <f t="shared" si="1"/>
        <v>-1.3333333333333144</v>
      </c>
    </row>
    <row r="49" spans="2:14" ht="15.75" x14ac:dyDescent="0.25">
      <c r="B49" s="562" t="s">
        <v>16</v>
      </c>
      <c r="C49" s="598"/>
      <c r="D49" s="598"/>
      <c r="E49" s="598">
        <f t="shared" si="0"/>
        <v>-0.66666666666665719</v>
      </c>
      <c r="F49" s="598">
        <f t="shared" si="0"/>
        <v>4.6666666666666572</v>
      </c>
      <c r="G49" s="631">
        <f t="shared" si="0"/>
        <v>-1</v>
      </c>
      <c r="H49" s="632">
        <f t="shared" si="0"/>
        <v>-6</v>
      </c>
      <c r="I49" s="632">
        <f t="shared" si="1"/>
        <v>-4</v>
      </c>
      <c r="J49" s="632">
        <f t="shared" si="1"/>
        <v>-1.3333333333333428</v>
      </c>
      <c r="K49" s="632">
        <f t="shared" si="1"/>
        <v>3</v>
      </c>
      <c r="L49" s="632">
        <f t="shared" si="1"/>
        <v>1</v>
      </c>
      <c r="M49" s="632">
        <f t="shared" si="1"/>
        <v>-0.33333333333334281</v>
      </c>
      <c r="N49" s="633">
        <f t="shared" si="1"/>
        <v>-0.33333333333334281</v>
      </c>
    </row>
    <row r="50" spans="2:14" ht="15.75" x14ac:dyDescent="0.25">
      <c r="B50" s="562" t="s">
        <v>17</v>
      </c>
      <c r="C50" s="598"/>
      <c r="D50" s="598"/>
      <c r="E50" s="598">
        <f t="shared" si="0"/>
        <v>29.666666666666742</v>
      </c>
      <c r="F50" s="598">
        <f t="shared" si="0"/>
        <v>34.333333333333258</v>
      </c>
      <c r="G50" s="631">
        <f t="shared" si="0"/>
        <v>13.333333333333258</v>
      </c>
      <c r="H50" s="632">
        <f t="shared" si="0"/>
        <v>8.3333333333332575</v>
      </c>
      <c r="I50" s="632">
        <f t="shared" si="1"/>
        <v>11</v>
      </c>
      <c r="J50" s="632">
        <f t="shared" si="1"/>
        <v>10</v>
      </c>
      <c r="K50" s="632">
        <f t="shared" si="1"/>
        <v>19.666666666666742</v>
      </c>
      <c r="L50" s="632">
        <f t="shared" si="1"/>
        <v>20</v>
      </c>
      <c r="M50" s="632">
        <f t="shared" si="1"/>
        <v>12.666666666666742</v>
      </c>
      <c r="N50" s="633">
        <f t="shared" si="1"/>
        <v>21.666666666666742</v>
      </c>
    </row>
    <row r="51" spans="2:14" ht="15.75" x14ac:dyDescent="0.25">
      <c r="B51" s="562" t="s">
        <v>18</v>
      </c>
      <c r="C51" s="598"/>
      <c r="D51" s="598"/>
      <c r="E51" s="598">
        <f t="shared" si="0"/>
        <v>2.3333333333333144</v>
      </c>
      <c r="F51" s="598">
        <f t="shared" si="0"/>
        <v>15.666666666666686</v>
      </c>
      <c r="G51" s="631">
        <f t="shared" si="0"/>
        <v>3</v>
      </c>
      <c r="H51" s="632">
        <f t="shared" si="0"/>
        <v>0.33333333333331439</v>
      </c>
      <c r="I51" s="632">
        <f t="shared" si="1"/>
        <v>2</v>
      </c>
      <c r="J51" s="632">
        <f t="shared" si="1"/>
        <v>2.3333333333333144</v>
      </c>
      <c r="K51" s="632">
        <f t="shared" si="1"/>
        <v>8.3333333333333144</v>
      </c>
      <c r="L51" s="632">
        <f t="shared" si="1"/>
        <v>6.6666666666666856</v>
      </c>
      <c r="M51" s="632">
        <f t="shared" si="1"/>
        <v>0.33333333333331439</v>
      </c>
      <c r="N51" s="633">
        <f t="shared" si="1"/>
        <v>4.6666666666666856</v>
      </c>
    </row>
    <row r="52" spans="2:14" ht="15.75" x14ac:dyDescent="0.25">
      <c r="B52" s="562" t="s">
        <v>19</v>
      </c>
      <c r="C52" s="598"/>
      <c r="D52" s="598"/>
      <c r="E52" s="598">
        <f t="shared" si="0"/>
        <v>5.3333333333332575</v>
      </c>
      <c r="F52" s="598">
        <f t="shared" si="0"/>
        <v>-2.6666666666667425</v>
      </c>
      <c r="G52" s="631">
        <f t="shared" si="0"/>
        <v>9.3333333333332575</v>
      </c>
      <c r="H52" s="632">
        <f t="shared" si="0"/>
        <v>2.6666666666667425</v>
      </c>
      <c r="I52" s="632">
        <f t="shared" si="1"/>
        <v>3</v>
      </c>
      <c r="J52" s="632">
        <f t="shared" si="1"/>
        <v>10.666666666666742</v>
      </c>
      <c r="K52" s="632">
        <f t="shared" si="1"/>
        <v>15</v>
      </c>
      <c r="L52" s="632">
        <f t="shared" si="1"/>
        <v>13.666666666666742</v>
      </c>
      <c r="M52" s="632">
        <f t="shared" si="1"/>
        <v>12.666666666666742</v>
      </c>
      <c r="N52" s="633">
        <f t="shared" si="1"/>
        <v>15.666666666666742</v>
      </c>
    </row>
    <row r="53" spans="2:14" ht="15.75" x14ac:dyDescent="0.25">
      <c r="B53" s="562" t="s">
        <v>20</v>
      </c>
      <c r="C53" s="598"/>
      <c r="D53" s="598"/>
      <c r="E53" s="598">
        <f t="shared" si="0"/>
        <v>-1.6666666666666714</v>
      </c>
      <c r="F53" s="598">
        <f t="shared" si="0"/>
        <v>-0.3333333333333286</v>
      </c>
      <c r="G53" s="631">
        <f t="shared" si="0"/>
        <v>-2</v>
      </c>
      <c r="H53" s="632">
        <f t="shared" si="0"/>
        <v>-8.6666666666666714</v>
      </c>
      <c r="I53" s="632">
        <f t="shared" si="1"/>
        <v>-8</v>
      </c>
      <c r="J53" s="632">
        <f t="shared" si="1"/>
        <v>-5.6666666666666714</v>
      </c>
      <c r="K53" s="632">
        <f t="shared" si="1"/>
        <v>-7.6666666666666714</v>
      </c>
      <c r="L53" s="632">
        <f t="shared" si="1"/>
        <v>-4.3333333333333286</v>
      </c>
      <c r="M53" s="632">
        <f t="shared" si="1"/>
        <v>-2</v>
      </c>
      <c r="N53" s="633">
        <f t="shared" si="1"/>
        <v>0</v>
      </c>
    </row>
    <row r="54" spans="2:14" ht="15.75" x14ac:dyDescent="0.25">
      <c r="B54" s="562" t="s">
        <v>21</v>
      </c>
      <c r="C54" s="598"/>
      <c r="D54" s="598"/>
      <c r="E54" s="598">
        <f t="shared" si="0"/>
        <v>0</v>
      </c>
      <c r="F54" s="598">
        <f t="shared" si="0"/>
        <v>-2</v>
      </c>
      <c r="G54" s="631">
        <f t="shared" si="0"/>
        <v>1.6666666666667425</v>
      </c>
      <c r="H54" s="632">
        <f t="shared" si="0"/>
        <v>-6</v>
      </c>
      <c r="I54" s="632">
        <f t="shared" si="1"/>
        <v>0.33333333333325754</v>
      </c>
      <c r="J54" s="632">
        <f t="shared" si="1"/>
        <v>8.6666666666667425</v>
      </c>
      <c r="K54" s="632">
        <f t="shared" si="1"/>
        <v>4.6666666666667425</v>
      </c>
      <c r="L54" s="632">
        <f t="shared" si="1"/>
        <v>0.33333333333325754</v>
      </c>
      <c r="M54" s="632">
        <f t="shared" si="1"/>
        <v>5.6666666666667425</v>
      </c>
      <c r="N54" s="633">
        <f t="shared" si="1"/>
        <v>6.3333333333332575</v>
      </c>
    </row>
    <row r="55" spans="2:14" ht="15.75" x14ac:dyDescent="0.25">
      <c r="B55" s="562" t="s">
        <v>22</v>
      </c>
      <c r="C55" s="598"/>
      <c r="D55" s="598"/>
      <c r="E55" s="598">
        <f t="shared" si="0"/>
        <v>-14.333333333333314</v>
      </c>
      <c r="F55" s="598">
        <f t="shared" si="0"/>
        <v>9.3333333333333144</v>
      </c>
      <c r="G55" s="631">
        <f t="shared" si="0"/>
        <v>3</v>
      </c>
      <c r="H55" s="632">
        <f t="shared" si="0"/>
        <v>0</v>
      </c>
      <c r="I55" s="632">
        <f t="shared" si="1"/>
        <v>3.3333333333333144</v>
      </c>
      <c r="J55" s="632">
        <f t="shared" si="1"/>
        <v>-0.33333333333331439</v>
      </c>
      <c r="K55" s="632">
        <f t="shared" si="1"/>
        <v>2</v>
      </c>
      <c r="L55" s="632">
        <f t="shared" si="1"/>
        <v>1</v>
      </c>
      <c r="M55" s="632">
        <f t="shared" si="1"/>
        <v>5.3333333333333144</v>
      </c>
      <c r="N55" s="633">
        <f t="shared" si="1"/>
        <v>6.6666666666666856</v>
      </c>
    </row>
    <row r="56" spans="2:14" ht="16.5" thickBot="1" x14ac:dyDescent="0.3">
      <c r="B56" s="593" t="s">
        <v>23</v>
      </c>
      <c r="C56" s="599"/>
      <c r="D56" s="599"/>
      <c r="E56" s="599">
        <f t="shared" si="0"/>
        <v>71</v>
      </c>
      <c r="F56" s="599">
        <f t="shared" si="0"/>
        <v>60.33333333333394</v>
      </c>
      <c r="G56" s="634">
        <f t="shared" si="0"/>
        <v>66.66666666666606</v>
      </c>
      <c r="H56" s="635">
        <f t="shared" si="0"/>
        <v>30.66666666666606</v>
      </c>
      <c r="I56" s="635">
        <f t="shared" si="1"/>
        <v>49.66666666666606</v>
      </c>
      <c r="J56" s="635">
        <f t="shared" si="1"/>
        <v>67.66666666666606</v>
      </c>
      <c r="K56" s="635">
        <f t="shared" si="1"/>
        <v>68.66666666666606</v>
      </c>
      <c r="L56" s="635">
        <f t="shared" si="1"/>
        <v>73</v>
      </c>
      <c r="M56" s="635">
        <f t="shared" si="1"/>
        <v>70</v>
      </c>
      <c r="N56" s="636">
        <f t="shared" si="1"/>
        <v>75.66666666666606</v>
      </c>
    </row>
    <row r="57" spans="2:14" ht="19.5" thickBot="1" x14ac:dyDescent="0.35">
      <c r="B57" s="594" t="s">
        <v>24</v>
      </c>
      <c r="C57" s="637"/>
      <c r="D57" s="637"/>
      <c r="E57" s="637">
        <f t="shared" ref="E57:N57" si="2">AVERAGE(C38:E38)-C38</f>
        <v>152.66666666666788</v>
      </c>
      <c r="F57" s="637">
        <f t="shared" si="2"/>
        <v>192.66666666666788</v>
      </c>
      <c r="G57" s="642">
        <f t="shared" si="2"/>
        <v>187</v>
      </c>
      <c r="H57" s="638">
        <f t="shared" si="2"/>
        <v>91</v>
      </c>
      <c r="I57" s="638">
        <f t="shared" si="2"/>
        <v>176</v>
      </c>
      <c r="J57" s="638">
        <f t="shared" si="2"/>
        <v>227.66666666666788</v>
      </c>
      <c r="K57" s="638">
        <f t="shared" si="2"/>
        <v>245.66666666666788</v>
      </c>
      <c r="L57" s="638">
        <f t="shared" si="2"/>
        <v>258.33333333333212</v>
      </c>
      <c r="M57" s="638">
        <f t="shared" si="2"/>
        <v>239</v>
      </c>
      <c r="N57" s="639">
        <f t="shared" si="2"/>
        <v>258</v>
      </c>
    </row>
    <row r="58" spans="2:14" ht="15.75" thickBot="1" x14ac:dyDescent="0.25"/>
    <row r="59" spans="2:14" ht="19.5" thickBot="1" x14ac:dyDescent="0.35">
      <c r="B59" s="603" t="s">
        <v>335</v>
      </c>
      <c r="C59" s="421"/>
      <c r="D59" s="421"/>
      <c r="E59" s="604">
        <v>2013</v>
      </c>
      <c r="F59" s="604">
        <v>2014</v>
      </c>
      <c r="G59" s="604">
        <v>2015</v>
      </c>
      <c r="H59" s="604">
        <v>2016</v>
      </c>
      <c r="I59" s="604">
        <v>2017</v>
      </c>
      <c r="J59" s="604">
        <v>2018</v>
      </c>
      <c r="K59" s="604">
        <v>2019</v>
      </c>
      <c r="L59" s="604">
        <v>2020</v>
      </c>
      <c r="M59" s="604">
        <v>2021</v>
      </c>
      <c r="N59" s="605">
        <v>2022</v>
      </c>
    </row>
    <row r="60" spans="2:14" ht="15.75" x14ac:dyDescent="0.25">
      <c r="B60" s="562" t="s">
        <v>8</v>
      </c>
      <c r="E60" s="600">
        <f t="shared" ref="E60:H75" si="3">E41/C22</f>
        <v>-6.2500000000000003E-3</v>
      </c>
      <c r="F60" s="600">
        <f t="shared" si="3"/>
        <v>-2.1008403361344537E-3</v>
      </c>
      <c r="G60" s="600">
        <f t="shared" si="3"/>
        <v>-6.3157894736842104E-3</v>
      </c>
      <c r="H60" s="600">
        <f>H41/F22</f>
        <v>-1.0548523206751054E-2</v>
      </c>
      <c r="I60" s="600">
        <f t="shared" ref="I60:N75" si="4">I41/G22</f>
        <v>-1.4275517487509328E-3</v>
      </c>
      <c r="J60" s="600">
        <f t="shared" si="4"/>
        <v>4.2918454935622317E-3</v>
      </c>
      <c r="K60" s="600">
        <f t="shared" si="4"/>
        <v>5.7224606580830164E-3</v>
      </c>
      <c r="L60" s="600">
        <f t="shared" si="4"/>
        <v>-2.1186440677966102E-3</v>
      </c>
      <c r="M60" s="600">
        <f t="shared" si="4"/>
        <v>4.2735042735042739E-3</v>
      </c>
      <c r="N60" s="601">
        <f t="shared" si="4"/>
        <v>-7.7519379844961638E-3</v>
      </c>
    </row>
    <row r="61" spans="2:14" ht="15.75" x14ac:dyDescent="0.25">
      <c r="B61" s="562" t="s">
        <v>9</v>
      </c>
      <c r="E61" s="600">
        <f t="shared" si="3"/>
        <v>-1.6700749829584225E-2</v>
      </c>
      <c r="F61" s="600">
        <f t="shared" si="3"/>
        <v>-1.4236111111111071E-2</v>
      </c>
      <c r="G61" s="600">
        <f t="shared" si="3"/>
        <v>-1.1967617036254879E-2</v>
      </c>
      <c r="H61" s="600">
        <f t="shared" si="3"/>
        <v>-1.0729613733905579E-3</v>
      </c>
      <c r="I61" s="600">
        <f t="shared" si="4"/>
        <v>4.6695402298850986E-3</v>
      </c>
      <c r="J61" s="600">
        <f t="shared" si="4"/>
        <v>3.9299749910681981E-3</v>
      </c>
      <c r="K61" s="600">
        <f t="shared" si="4"/>
        <v>4.9857549857549449E-3</v>
      </c>
      <c r="L61" s="600">
        <f t="shared" si="4"/>
        <v>3.5423308537017762E-3</v>
      </c>
      <c r="M61" s="600">
        <f t="shared" si="4"/>
        <v>5.6437389770723507E-3</v>
      </c>
      <c r="N61" s="601">
        <f t="shared" si="4"/>
        <v>9.5036958817317843E-3</v>
      </c>
    </row>
    <row r="62" spans="2:14" ht="15.75" x14ac:dyDescent="0.25">
      <c r="B62" s="562" t="s">
        <v>10</v>
      </c>
      <c r="E62" s="600">
        <f t="shared" si="3"/>
        <v>-3.9572615749901069E-4</v>
      </c>
      <c r="F62" s="600">
        <f t="shared" si="3"/>
        <v>-1.0536020018437435E-3</v>
      </c>
      <c r="G62" s="600">
        <f t="shared" si="3"/>
        <v>4.4973544973545571E-3</v>
      </c>
      <c r="H62" s="600">
        <f t="shared" si="3"/>
        <v>1.9731649565903711E-3</v>
      </c>
      <c r="I62" s="600">
        <f t="shared" si="4"/>
        <v>3.1496062992125984E-3</v>
      </c>
      <c r="J62" s="600">
        <f t="shared" si="4"/>
        <v>6.0296238039062068E-3</v>
      </c>
      <c r="K62" s="600">
        <f t="shared" si="4"/>
        <v>5.7269295847975459E-3</v>
      </c>
      <c r="L62" s="600">
        <f t="shared" si="4"/>
        <v>8.4273304810060339E-3</v>
      </c>
      <c r="M62" s="600">
        <f t="shared" si="4"/>
        <v>7.450224791265312E-3</v>
      </c>
      <c r="N62" s="601">
        <f t="shared" si="4"/>
        <v>9.0607452782031066E-3</v>
      </c>
    </row>
    <row r="63" spans="2:14" ht="15.75" x14ac:dyDescent="0.25">
      <c r="B63" s="562" t="s">
        <v>11</v>
      </c>
      <c r="E63" s="600">
        <f t="shared" si="3"/>
        <v>-2.310803004043971E-3</v>
      </c>
      <c r="F63" s="600">
        <f t="shared" si="3"/>
        <v>-9.2272202998847259E-3</v>
      </c>
      <c r="G63" s="600">
        <f t="shared" si="3"/>
        <v>-8.1585081585080921E-3</v>
      </c>
      <c r="H63" s="600">
        <f t="shared" si="3"/>
        <v>-4.1079812206573441E-3</v>
      </c>
      <c r="I63" s="600">
        <f t="shared" si="4"/>
        <v>1.4827995255041585E-2</v>
      </c>
      <c r="J63" s="600">
        <f t="shared" si="4"/>
        <v>1.0582010582010581E-2</v>
      </c>
      <c r="K63" s="600">
        <f t="shared" si="4"/>
        <v>-9.7365406643756501E-3</v>
      </c>
      <c r="L63" s="600">
        <f t="shared" si="4"/>
        <v>1.0526315789473684E-2</v>
      </c>
      <c r="M63" s="600">
        <f t="shared" si="4"/>
        <v>5.1993067590987872E-3</v>
      </c>
      <c r="N63" s="601">
        <f t="shared" si="4"/>
        <v>7.4584050487665598E-3</v>
      </c>
    </row>
    <row r="64" spans="2:14" ht="15.75" x14ac:dyDescent="0.25">
      <c r="B64" s="562" t="s">
        <v>12</v>
      </c>
      <c r="E64" s="600">
        <f t="shared" si="3"/>
        <v>7.4525745257452963E-3</v>
      </c>
      <c r="F64" s="600">
        <f t="shared" si="3"/>
        <v>2.6936026936026551E-3</v>
      </c>
      <c r="G64" s="600">
        <f t="shared" si="3"/>
        <v>-6.0000000000000001E-3</v>
      </c>
      <c r="H64" s="600">
        <f t="shared" si="3"/>
        <v>6.0728744939271256E-3</v>
      </c>
      <c r="I64" s="600">
        <f t="shared" si="4"/>
        <v>1.1401743796110031E-2</v>
      </c>
      <c r="J64" s="600">
        <f t="shared" si="4"/>
        <v>1.4E-2</v>
      </c>
      <c r="K64" s="600">
        <f t="shared" si="4"/>
        <v>5.2185257664708979E-3</v>
      </c>
      <c r="L64" s="600">
        <f t="shared" si="4"/>
        <v>1.6339869281045825E-2</v>
      </c>
      <c r="M64" s="600">
        <f t="shared" si="4"/>
        <v>1.0897435897435824E-2</v>
      </c>
      <c r="N64" s="601">
        <f t="shared" si="4"/>
        <v>1.0158730158730232E-2</v>
      </c>
    </row>
    <row r="65" spans="2:14" ht="15.75" x14ac:dyDescent="0.25">
      <c r="B65" s="562" t="s">
        <v>13</v>
      </c>
      <c r="E65" s="600">
        <f t="shared" si="3"/>
        <v>2.1843599825250703E-3</v>
      </c>
      <c r="F65" s="600">
        <f t="shared" si="3"/>
        <v>6.132282084975859E-3</v>
      </c>
      <c r="G65" s="600">
        <f t="shared" si="3"/>
        <v>-3.246753246753247E-3</v>
      </c>
      <c r="H65" s="600">
        <f t="shared" si="3"/>
        <v>4.3516100957359169E-4</v>
      </c>
      <c r="I65" s="600">
        <f t="shared" si="4"/>
        <v>1.9569471624266144E-3</v>
      </c>
      <c r="J65" s="600">
        <f t="shared" si="4"/>
        <v>8.0452272233093661E-3</v>
      </c>
      <c r="K65" s="600">
        <f t="shared" si="4"/>
        <v>1.2537829658452177E-2</v>
      </c>
      <c r="L65" s="600">
        <f t="shared" si="4"/>
        <v>1.2171684817424727E-2</v>
      </c>
      <c r="M65" s="600">
        <f t="shared" si="4"/>
        <v>8.0118068732869963E-3</v>
      </c>
      <c r="N65" s="601">
        <f t="shared" si="4"/>
        <v>6.8836045056320403E-3</v>
      </c>
    </row>
    <row r="66" spans="2:14" ht="15.75" x14ac:dyDescent="0.25">
      <c r="B66" s="562" t="s">
        <v>14</v>
      </c>
      <c r="E66" s="600">
        <f t="shared" si="3"/>
        <v>2.2044402604534472E-2</v>
      </c>
      <c r="F66" s="600">
        <f t="shared" si="3"/>
        <v>2.0972062763107469E-2</v>
      </c>
      <c r="G66" s="600">
        <f t="shared" si="3"/>
        <v>2.5467148884870474E-2</v>
      </c>
      <c r="H66" s="600">
        <f t="shared" si="3"/>
        <v>1.6520467836257244E-2</v>
      </c>
      <c r="I66" s="600">
        <f t="shared" si="4"/>
        <v>1.9527309410577828E-2</v>
      </c>
      <c r="J66" s="600">
        <f t="shared" si="4"/>
        <v>1.8220338983050848E-2</v>
      </c>
      <c r="K66" s="600">
        <f t="shared" si="4"/>
        <v>1.8946491775973351E-2</v>
      </c>
      <c r="L66" s="600">
        <f t="shared" si="4"/>
        <v>1.8590398365679266E-2</v>
      </c>
      <c r="M66" s="600">
        <f t="shared" si="4"/>
        <v>1.7924023542001011E-2</v>
      </c>
      <c r="N66" s="601">
        <f t="shared" si="4"/>
        <v>1.5619872678348697E-2</v>
      </c>
    </row>
    <row r="67" spans="2:14" ht="15.75" x14ac:dyDescent="0.25">
      <c r="B67" s="562" t="s">
        <v>15</v>
      </c>
      <c r="E67" s="600">
        <f t="shared" si="3"/>
        <v>-4.9861495844875349E-2</v>
      </c>
      <c r="F67" s="600">
        <f t="shared" si="3"/>
        <v>-1.7751479289940829E-2</v>
      </c>
      <c r="G67" s="600">
        <f t="shared" si="3"/>
        <v>-1.2121212121212121E-2</v>
      </c>
      <c r="H67" s="600">
        <f t="shared" si="3"/>
        <v>-1.8292682926829267E-2</v>
      </c>
      <c r="I67" s="600">
        <f t="shared" si="4"/>
        <v>-1.0416666666666075E-3</v>
      </c>
      <c r="J67" s="600">
        <f t="shared" si="4"/>
        <v>1.0482180293500988E-2</v>
      </c>
      <c r="K67" s="600">
        <f t="shared" si="4"/>
        <v>8.3073727933541605E-3</v>
      </c>
      <c r="L67" s="600">
        <f t="shared" si="4"/>
        <v>-4.1025641025640444E-3</v>
      </c>
      <c r="M67" s="600">
        <f t="shared" si="4"/>
        <v>-8.2051282051282641E-3</v>
      </c>
      <c r="N67" s="601">
        <f t="shared" si="4"/>
        <v>-4.1536863966769918E-3</v>
      </c>
    </row>
    <row r="68" spans="2:14" ht="15.75" x14ac:dyDescent="0.25">
      <c r="B68" s="562" t="s">
        <v>16</v>
      </c>
      <c r="E68" s="600">
        <f t="shared" si="3"/>
        <v>-2.6773761713520371E-3</v>
      </c>
      <c r="F68" s="600">
        <f t="shared" si="3"/>
        <v>1.9047619047619008E-2</v>
      </c>
      <c r="G68" s="600">
        <f t="shared" si="3"/>
        <v>-3.9840637450199202E-3</v>
      </c>
      <c r="H68" s="600">
        <f t="shared" si="3"/>
        <v>-2.3715415019762844E-2</v>
      </c>
      <c r="I68" s="600">
        <f t="shared" si="4"/>
        <v>-1.6260162601626018E-2</v>
      </c>
      <c r="J68" s="600">
        <f t="shared" si="4"/>
        <v>-5.5096418732782761E-3</v>
      </c>
      <c r="K68" s="600">
        <f t="shared" si="4"/>
        <v>1.2605042016806723E-2</v>
      </c>
      <c r="L68" s="600">
        <f t="shared" si="4"/>
        <v>4.1322314049586778E-3</v>
      </c>
      <c r="M68" s="600">
        <f t="shared" si="4"/>
        <v>-1.3717421124828922E-3</v>
      </c>
      <c r="N68" s="601">
        <f t="shared" si="4"/>
        <v>-1.3661202185792738E-3</v>
      </c>
    </row>
    <row r="69" spans="2:14" ht="15.75" x14ac:dyDescent="0.25">
      <c r="B69" s="562" t="s">
        <v>17</v>
      </c>
      <c r="E69" s="600">
        <f t="shared" si="3"/>
        <v>1.5949820788530508E-2</v>
      </c>
      <c r="F69" s="600">
        <f t="shared" si="3"/>
        <v>1.8233315631085108E-2</v>
      </c>
      <c r="G69" s="600">
        <f t="shared" si="3"/>
        <v>6.9228106611283792E-3</v>
      </c>
      <c r="H69" s="600">
        <f t="shared" si="3"/>
        <v>4.288900325956386E-3</v>
      </c>
      <c r="I69" s="600">
        <f t="shared" si="4"/>
        <v>5.643919958953309E-3</v>
      </c>
      <c r="J69" s="600">
        <f t="shared" si="4"/>
        <v>5.0968399592252805E-3</v>
      </c>
      <c r="K69" s="600">
        <f t="shared" si="4"/>
        <v>9.9881496529541612E-3</v>
      </c>
      <c r="L69" s="600">
        <f t="shared" si="4"/>
        <v>1.0075566750629723E-2</v>
      </c>
      <c r="M69" s="600">
        <f t="shared" si="4"/>
        <v>6.2955599734924169E-3</v>
      </c>
      <c r="N69" s="601">
        <f t="shared" si="4"/>
        <v>1.0736703006276879E-2</v>
      </c>
    </row>
    <row r="70" spans="2:14" ht="15.75" x14ac:dyDescent="0.25">
      <c r="B70" s="562" t="s">
        <v>18</v>
      </c>
      <c r="E70" s="600">
        <f t="shared" si="3"/>
        <v>5.8479532163742218E-3</v>
      </c>
      <c r="F70" s="600">
        <f t="shared" si="3"/>
        <v>3.9965986394557874E-2</v>
      </c>
      <c r="G70" s="600">
        <f t="shared" si="3"/>
        <v>7.2639225181598066E-3</v>
      </c>
      <c r="H70" s="600">
        <f t="shared" si="3"/>
        <v>7.9744816586917319E-4</v>
      </c>
      <c r="I70" s="600">
        <f t="shared" si="4"/>
        <v>4.7961630695443642E-3</v>
      </c>
      <c r="J70" s="600">
        <f t="shared" si="4"/>
        <v>5.5555555555555107E-3</v>
      </c>
      <c r="K70" s="600">
        <f t="shared" si="4"/>
        <v>1.9841269841269795E-2</v>
      </c>
      <c r="L70" s="600">
        <f t="shared" si="4"/>
        <v>1.5612802498048445E-2</v>
      </c>
      <c r="M70" s="600">
        <f t="shared" si="4"/>
        <v>7.6103500761030677E-4</v>
      </c>
      <c r="N70" s="601">
        <f t="shared" si="4"/>
        <v>1.0703363914373131E-2</v>
      </c>
    </row>
    <row r="71" spans="2:14" ht="15.75" x14ac:dyDescent="0.25">
      <c r="B71" s="562" t="s">
        <v>19</v>
      </c>
      <c r="E71" s="600">
        <f t="shared" si="3"/>
        <v>2.9465930018415789E-3</v>
      </c>
      <c r="F71" s="600">
        <f t="shared" si="3"/>
        <v>-1.4627902724447298E-3</v>
      </c>
      <c r="G71" s="600">
        <f t="shared" si="3"/>
        <v>5.1480051480051062E-3</v>
      </c>
      <c r="H71" s="600">
        <f t="shared" si="3"/>
        <v>1.4611872146119136E-3</v>
      </c>
      <c r="I71" s="600">
        <f t="shared" si="4"/>
        <v>1.6402405686167304E-3</v>
      </c>
      <c r="J71" s="600">
        <f t="shared" si="4"/>
        <v>5.8319664661928604E-3</v>
      </c>
      <c r="K71" s="600">
        <f t="shared" si="4"/>
        <v>8.1610446137105556E-3</v>
      </c>
      <c r="L71" s="600">
        <f t="shared" si="4"/>
        <v>7.3794096472282623E-3</v>
      </c>
      <c r="M71" s="600">
        <f t="shared" si="4"/>
        <v>6.7772427322989525E-3</v>
      </c>
      <c r="N71" s="601">
        <f t="shared" si="4"/>
        <v>8.3511016346837653E-3</v>
      </c>
    </row>
    <row r="72" spans="2:14" ht="15.75" x14ac:dyDescent="0.25">
      <c r="B72" s="562" t="s">
        <v>20</v>
      </c>
      <c r="E72" s="600">
        <f t="shared" si="3"/>
        <v>-1.618122977346283E-2</v>
      </c>
      <c r="F72" s="600">
        <f t="shared" si="3"/>
        <v>-3.3003300330032535E-3</v>
      </c>
      <c r="G72" s="600">
        <f t="shared" si="3"/>
        <v>-0.02</v>
      </c>
      <c r="H72" s="600">
        <f t="shared" si="3"/>
        <v>-8.5808580858085862E-2</v>
      </c>
      <c r="I72" s="600">
        <f t="shared" si="4"/>
        <v>-8.6021505376344093E-2</v>
      </c>
      <c r="J72" s="600">
        <f t="shared" si="4"/>
        <v>-6.827309236947797E-2</v>
      </c>
      <c r="K72" s="600">
        <f t="shared" si="4"/>
        <v>-9.7046413502109768E-2</v>
      </c>
      <c r="L72" s="600">
        <f t="shared" si="4"/>
        <v>-6.1904761904761837E-2</v>
      </c>
      <c r="M72" s="600">
        <f t="shared" si="4"/>
        <v>-3.0769230769230771E-2</v>
      </c>
      <c r="N72" s="601">
        <f t="shared" si="4"/>
        <v>0</v>
      </c>
    </row>
    <row r="73" spans="2:14" ht="15.75" x14ac:dyDescent="0.25">
      <c r="B73" s="562" t="s">
        <v>21</v>
      </c>
      <c r="E73" s="600">
        <f t="shared" si="3"/>
        <v>0</v>
      </c>
      <c r="F73" s="600">
        <f t="shared" si="3"/>
        <v>-1.9323671497584541E-3</v>
      </c>
      <c r="G73" s="600">
        <f t="shared" si="3"/>
        <v>1.6196954972465913E-3</v>
      </c>
      <c r="H73" s="600">
        <f t="shared" si="3"/>
        <v>-5.7971014492753624E-3</v>
      </c>
      <c r="I73" s="600">
        <f t="shared" si="4"/>
        <v>3.2425421530472522E-4</v>
      </c>
      <c r="J73" s="600">
        <f t="shared" si="4"/>
        <v>8.4635416666667407E-3</v>
      </c>
      <c r="K73" s="600">
        <f t="shared" si="4"/>
        <v>4.517586318167224E-3</v>
      </c>
      <c r="L73" s="600">
        <f t="shared" si="4"/>
        <v>3.2020493115586697E-4</v>
      </c>
      <c r="M73" s="600">
        <f t="shared" si="4"/>
        <v>5.453962143086374E-3</v>
      </c>
      <c r="N73" s="601">
        <f t="shared" si="4"/>
        <v>6.0664112388249597E-3</v>
      </c>
    </row>
    <row r="74" spans="2:14" ht="15.75" x14ac:dyDescent="0.25">
      <c r="B74" s="562" t="s">
        <v>22</v>
      </c>
      <c r="E74" s="600">
        <f t="shared" si="3"/>
        <v>-3.1922791388270186E-2</v>
      </c>
      <c r="F74" s="600">
        <f t="shared" si="3"/>
        <v>2.2116903633491267E-2</v>
      </c>
      <c r="G74" s="600">
        <f t="shared" si="3"/>
        <v>6.9284064665127024E-3</v>
      </c>
      <c r="H74" s="600">
        <f t="shared" si="3"/>
        <v>0</v>
      </c>
      <c r="I74" s="600">
        <f t="shared" si="4"/>
        <v>7.645259938837877E-3</v>
      </c>
      <c r="J74" s="600">
        <f t="shared" si="4"/>
        <v>-7.5414781297129948E-4</v>
      </c>
      <c r="K74" s="600">
        <f t="shared" si="4"/>
        <v>4.5454545454545452E-3</v>
      </c>
      <c r="L74" s="600">
        <f t="shared" si="4"/>
        <v>2.257336343115124E-3</v>
      </c>
      <c r="M74" s="600">
        <f t="shared" si="4"/>
        <v>1.203912716328062E-2</v>
      </c>
      <c r="N74" s="601">
        <f t="shared" si="4"/>
        <v>1.4947683109118129E-2</v>
      </c>
    </row>
    <row r="75" spans="2:14" ht="16.5" thickBot="1" x14ac:dyDescent="0.3">
      <c r="B75" s="562" t="s">
        <v>23</v>
      </c>
      <c r="E75" s="600">
        <f t="shared" si="3"/>
        <v>6.3038266891591935E-3</v>
      </c>
      <c r="F75" s="600">
        <f t="shared" si="3"/>
        <v>5.3175862271579357E-3</v>
      </c>
      <c r="G75" s="600">
        <f t="shared" si="3"/>
        <v>5.8515462711020852E-3</v>
      </c>
      <c r="H75" s="600">
        <f t="shared" si="3"/>
        <v>2.6713124274099355E-3</v>
      </c>
      <c r="I75" s="600">
        <f t="shared" si="4"/>
        <v>4.3165884466075145E-3</v>
      </c>
      <c r="J75" s="600">
        <f t="shared" si="4"/>
        <v>5.8606155089785256E-3</v>
      </c>
      <c r="K75" s="600">
        <f t="shared" si="4"/>
        <v>5.911895537379773E-3</v>
      </c>
      <c r="L75" s="600">
        <f t="shared" si="4"/>
        <v>6.2500000000000003E-3</v>
      </c>
      <c r="M75" s="600">
        <f t="shared" si="4"/>
        <v>5.9544062606328683E-3</v>
      </c>
      <c r="N75" s="601">
        <f t="shared" si="4"/>
        <v>6.3999548901857448E-3</v>
      </c>
    </row>
    <row r="76" spans="2:14" ht="19.5" thickBot="1" x14ac:dyDescent="0.35">
      <c r="B76" s="594" t="s">
        <v>24</v>
      </c>
      <c r="C76" s="421"/>
      <c r="D76" s="421"/>
      <c r="E76" s="640">
        <f t="shared" ref="E76:N76" si="5">E57/C38</f>
        <v>5.3841180273908615E-3</v>
      </c>
      <c r="F76" s="640">
        <f t="shared" si="5"/>
        <v>6.7597595490375374E-3</v>
      </c>
      <c r="G76" s="640">
        <f t="shared" si="5"/>
        <v>6.5234075211051418E-3</v>
      </c>
      <c r="H76" s="640">
        <f t="shared" si="5"/>
        <v>3.147046617789459E-3</v>
      </c>
      <c r="I76" s="640">
        <f t="shared" si="5"/>
        <v>6.0737826552093041E-3</v>
      </c>
      <c r="J76" s="640">
        <f t="shared" si="5"/>
        <v>7.8160761695505315E-3</v>
      </c>
      <c r="K76" s="640">
        <f t="shared" si="5"/>
        <v>8.3691035861098283E-3</v>
      </c>
      <c r="L76" s="640">
        <f t="shared" si="5"/>
        <v>8.7319024280321823E-3</v>
      </c>
      <c r="M76" s="640">
        <f t="shared" si="5"/>
        <v>8.004018754186203E-3</v>
      </c>
      <c r="N76" s="641">
        <f t="shared" si="5"/>
        <v>8.5757021771647006E-3</v>
      </c>
    </row>
    <row r="77" spans="2:14" ht="15.75" thickBot="1" x14ac:dyDescent="0.25"/>
    <row r="78" spans="2:14" ht="19.5" thickBot="1" x14ac:dyDescent="0.35">
      <c r="B78" s="603" t="s">
        <v>346</v>
      </c>
      <c r="C78" s="421"/>
      <c r="D78" s="421"/>
      <c r="E78" s="604">
        <v>2013</v>
      </c>
      <c r="F78" s="604">
        <v>2014</v>
      </c>
      <c r="G78" s="604">
        <v>2015</v>
      </c>
      <c r="H78" s="603">
        <v>2016</v>
      </c>
      <c r="I78" s="604">
        <v>2017</v>
      </c>
      <c r="J78" s="604">
        <v>2018</v>
      </c>
      <c r="K78" s="604">
        <v>2019</v>
      </c>
      <c r="L78" s="604">
        <v>2020</v>
      </c>
      <c r="M78" s="604">
        <v>2021</v>
      </c>
      <c r="N78" s="605">
        <v>2022</v>
      </c>
    </row>
    <row r="79" spans="2:14" ht="16.5" thickBot="1" x14ac:dyDescent="0.3">
      <c r="B79" s="592" t="s">
        <v>8</v>
      </c>
      <c r="C79" s="3"/>
      <c r="D79" s="3"/>
      <c r="E79" s="596">
        <f t="shared" ref="E79:N94" si="6">IF(E60&lt;E$76,0,(E60-E$76)*C22)</f>
        <v>0</v>
      </c>
      <c r="F79" s="596">
        <f t="shared" si="6"/>
        <v>0</v>
      </c>
      <c r="G79" s="596">
        <f t="shared" si="6"/>
        <v>0</v>
      </c>
      <c r="H79" s="596">
        <f t="shared" si="6"/>
        <v>0</v>
      </c>
      <c r="I79" s="596">
        <f t="shared" si="6"/>
        <v>0</v>
      </c>
      <c r="J79" s="596">
        <f t="shared" si="6"/>
        <v>0</v>
      </c>
      <c r="K79" s="596">
        <f t="shared" si="6"/>
        <v>0</v>
      </c>
      <c r="L79" s="596">
        <f t="shared" si="6"/>
        <v>0</v>
      </c>
      <c r="M79" s="596">
        <f t="shared" si="6"/>
        <v>0</v>
      </c>
      <c r="N79" s="618">
        <f t="shared" si="6"/>
        <v>0</v>
      </c>
    </row>
    <row r="80" spans="2:14" ht="16.5" thickBot="1" x14ac:dyDescent="0.3">
      <c r="B80" s="562" t="s">
        <v>9</v>
      </c>
      <c r="C80" s="9"/>
      <c r="D80" s="9"/>
      <c r="E80" s="596">
        <f t="shared" si="6"/>
        <v>0</v>
      </c>
      <c r="F80" s="596">
        <f t="shared" si="6"/>
        <v>0</v>
      </c>
      <c r="G80" s="596">
        <f t="shared" si="6"/>
        <v>0</v>
      </c>
      <c r="H80" s="596">
        <f t="shared" si="6"/>
        <v>0</v>
      </c>
      <c r="I80" s="596">
        <f t="shared" si="6"/>
        <v>0</v>
      </c>
      <c r="J80" s="596">
        <f t="shared" si="6"/>
        <v>0</v>
      </c>
      <c r="K80" s="596">
        <f t="shared" si="6"/>
        <v>0</v>
      </c>
      <c r="L80" s="596">
        <f t="shared" si="6"/>
        <v>0</v>
      </c>
      <c r="M80" s="596">
        <f t="shared" si="6"/>
        <v>0</v>
      </c>
      <c r="N80" s="618">
        <f t="shared" si="6"/>
        <v>0.87881003822502823</v>
      </c>
    </row>
    <row r="81" spans="2:16" ht="16.5" thickBot="1" x14ac:dyDescent="0.3">
      <c r="B81" s="562" t="s">
        <v>10</v>
      </c>
      <c r="C81" s="9"/>
      <c r="D81" s="9"/>
      <c r="E81" s="596">
        <f t="shared" si="6"/>
        <v>0</v>
      </c>
      <c r="F81" s="596">
        <f t="shared" si="6"/>
        <v>0</v>
      </c>
      <c r="G81" s="596">
        <f t="shared" si="6"/>
        <v>0</v>
      </c>
      <c r="H81" s="596">
        <f t="shared" si="6"/>
        <v>0</v>
      </c>
      <c r="I81" s="596">
        <f t="shared" si="6"/>
        <v>0</v>
      </c>
      <c r="J81" s="596">
        <f t="shared" si="6"/>
        <v>0</v>
      </c>
      <c r="K81" s="596">
        <f t="shared" si="6"/>
        <v>0</v>
      </c>
      <c r="L81" s="596">
        <f t="shared" si="6"/>
        <v>0</v>
      </c>
      <c r="M81" s="596">
        <f t="shared" si="6"/>
        <v>0</v>
      </c>
      <c r="N81" s="618">
        <f t="shared" si="6"/>
        <v>1.2669325799123166</v>
      </c>
    </row>
    <row r="82" spans="2:16" ht="16.5" thickBot="1" x14ac:dyDescent="0.3">
      <c r="B82" s="562" t="s">
        <v>11</v>
      </c>
      <c r="C82" s="9"/>
      <c r="D82" s="9"/>
      <c r="E82" s="596">
        <f t="shared" si="6"/>
        <v>0</v>
      </c>
      <c r="F82" s="596">
        <f t="shared" si="6"/>
        <v>0</v>
      </c>
      <c r="G82" s="596">
        <f t="shared" si="6"/>
        <v>0</v>
      </c>
      <c r="H82" s="596">
        <f t="shared" si="6"/>
        <v>0</v>
      </c>
      <c r="I82" s="596">
        <f t="shared" si="6"/>
        <v>4.9198674811057428</v>
      </c>
      <c r="J82" s="596">
        <f t="shared" si="6"/>
        <v>1.5682848118648482</v>
      </c>
      <c r="K82" s="596">
        <f t="shared" si="6"/>
        <v>0</v>
      </c>
      <c r="L82" s="596">
        <f t="shared" si="6"/>
        <v>1.0228156160216559</v>
      </c>
      <c r="M82" s="596">
        <f t="shared" si="6"/>
        <v>0</v>
      </c>
      <c r="N82" s="618">
        <f t="shared" si="6"/>
        <v>0</v>
      </c>
    </row>
    <row r="83" spans="2:16" ht="16.5" thickBot="1" x14ac:dyDescent="0.3">
      <c r="B83" s="562" t="s">
        <v>12</v>
      </c>
      <c r="C83" s="9"/>
      <c r="D83" s="9"/>
      <c r="E83" s="596">
        <f t="shared" si="6"/>
        <v>1.017680597190382</v>
      </c>
      <c r="F83" s="596">
        <f t="shared" si="6"/>
        <v>0</v>
      </c>
      <c r="G83" s="596">
        <f t="shared" si="6"/>
        <v>0</v>
      </c>
      <c r="H83" s="596">
        <f t="shared" si="6"/>
        <v>1.4453589708120074</v>
      </c>
      <c r="I83" s="596">
        <f t="shared" si="6"/>
        <v>2.6479966870276614</v>
      </c>
      <c r="J83" s="596">
        <f t="shared" si="6"/>
        <v>3.0919619152247342</v>
      </c>
      <c r="K83" s="596">
        <f t="shared" si="6"/>
        <v>0</v>
      </c>
      <c r="L83" s="596">
        <f t="shared" si="6"/>
        <v>3.8800630950369581</v>
      </c>
      <c r="M83" s="596">
        <f t="shared" si="6"/>
        <v>1.5045769144898029</v>
      </c>
      <c r="N83" s="618">
        <f t="shared" si="6"/>
        <v>0.83108969032190372</v>
      </c>
    </row>
    <row r="84" spans="2:16" ht="16.5" thickBot="1" x14ac:dyDescent="0.3">
      <c r="B84" s="562" t="s">
        <v>13</v>
      </c>
      <c r="C84" s="9"/>
      <c r="D84" s="9"/>
      <c r="E84" s="596">
        <f t="shared" si="6"/>
        <v>0</v>
      </c>
      <c r="F84" s="596">
        <f t="shared" si="6"/>
        <v>0</v>
      </c>
      <c r="G84" s="596">
        <f t="shared" si="6"/>
        <v>0</v>
      </c>
      <c r="H84" s="596">
        <f t="shared" si="6"/>
        <v>0</v>
      </c>
      <c r="I84" s="596">
        <f t="shared" si="6"/>
        <v>0</v>
      </c>
      <c r="J84" s="596">
        <f t="shared" si="6"/>
        <v>0.35128856541229336</v>
      </c>
      <c r="K84" s="596">
        <f t="shared" si="6"/>
        <v>6.4281756035519013</v>
      </c>
      <c r="L84" s="596">
        <f t="shared" si="6"/>
        <v>5.3695003098417624</v>
      </c>
      <c r="M84" s="596">
        <f t="shared" si="6"/>
        <v>1.2313016298354296E-2</v>
      </c>
      <c r="N84" s="618">
        <f t="shared" si="6"/>
        <v>0</v>
      </c>
    </row>
    <row r="85" spans="2:16" ht="16.5" thickBot="1" x14ac:dyDescent="0.3">
      <c r="B85" s="562" t="s">
        <v>14</v>
      </c>
      <c r="C85" s="9"/>
      <c r="D85" s="9"/>
      <c r="E85" s="596">
        <f t="shared" si="6"/>
        <v>70.789549168283202</v>
      </c>
      <c r="F85" s="596">
        <f t="shared" si="6"/>
        <v>61.894580497274546</v>
      </c>
      <c r="G85" s="596">
        <f t="shared" si="6"/>
        <v>83.807111793297821</v>
      </c>
      <c r="H85" s="596">
        <f t="shared" si="6"/>
        <v>60.982800756213102</v>
      </c>
      <c r="I85" s="596">
        <f t="shared" si="6"/>
        <v>62.236014770334798</v>
      </c>
      <c r="J85" s="596">
        <f t="shared" si="6"/>
        <v>49.108120479721492</v>
      </c>
      <c r="K85" s="596">
        <f t="shared" si="6"/>
        <v>50.803195475914499</v>
      </c>
      <c r="L85" s="596">
        <f t="shared" si="6"/>
        <v>48.257337614782472</v>
      </c>
      <c r="M85" s="596">
        <f t="shared" si="6"/>
        <v>49.441303862468999</v>
      </c>
      <c r="N85" s="618">
        <f t="shared" si="6"/>
        <v>35.777341975513515</v>
      </c>
    </row>
    <row r="86" spans="2:16" ht="16.5" thickBot="1" x14ac:dyDescent="0.3">
      <c r="B86" s="562" t="s">
        <v>15</v>
      </c>
      <c r="C86" s="9"/>
      <c r="D86" s="9"/>
      <c r="E86" s="596">
        <f t="shared" si="6"/>
        <v>0</v>
      </c>
      <c r="F86" s="596">
        <f t="shared" si="6"/>
        <v>0</v>
      </c>
      <c r="G86" s="596">
        <f t="shared" si="6"/>
        <v>0</v>
      </c>
      <c r="H86" s="596">
        <f t="shared" si="6"/>
        <v>0</v>
      </c>
      <c r="I86" s="596">
        <f t="shared" si="6"/>
        <v>0</v>
      </c>
      <c r="J86" s="596">
        <f t="shared" si="6"/>
        <v>0.84782111141624517</v>
      </c>
      <c r="K86" s="596">
        <f t="shared" si="6"/>
        <v>0</v>
      </c>
      <c r="L86" s="596">
        <f t="shared" si="6"/>
        <v>0</v>
      </c>
      <c r="M86" s="596">
        <f t="shared" si="6"/>
        <v>0</v>
      </c>
      <c r="N86" s="618">
        <f t="shared" si="6"/>
        <v>0</v>
      </c>
    </row>
    <row r="87" spans="2:16" ht="16.5" thickBot="1" x14ac:dyDescent="0.3">
      <c r="B87" s="562" t="s">
        <v>16</v>
      </c>
      <c r="C87" s="9"/>
      <c r="D87" s="9"/>
      <c r="E87" s="596">
        <f t="shared" si="6"/>
        <v>0</v>
      </c>
      <c r="F87" s="596">
        <f t="shared" si="6"/>
        <v>3.0105255771524599</v>
      </c>
      <c r="G87" s="596">
        <f t="shared" si="6"/>
        <v>0</v>
      </c>
      <c r="H87" s="596">
        <f t="shared" si="6"/>
        <v>0</v>
      </c>
      <c r="I87" s="596">
        <f t="shared" si="6"/>
        <v>0</v>
      </c>
      <c r="J87" s="596">
        <f t="shared" si="6"/>
        <v>0</v>
      </c>
      <c r="K87" s="596">
        <f t="shared" si="6"/>
        <v>1.008153346505861</v>
      </c>
      <c r="L87" s="596">
        <f t="shared" si="6"/>
        <v>0</v>
      </c>
      <c r="M87" s="596">
        <f t="shared" si="6"/>
        <v>0</v>
      </c>
      <c r="N87" s="618">
        <f t="shared" si="6"/>
        <v>0</v>
      </c>
    </row>
    <row r="88" spans="2:16" ht="16.5" thickBot="1" x14ac:dyDescent="0.3">
      <c r="B88" s="562" t="s">
        <v>17</v>
      </c>
      <c r="C88" s="9"/>
      <c r="D88" s="9"/>
      <c r="E88" s="596">
        <f t="shared" si="6"/>
        <v>19.652207135719745</v>
      </c>
      <c r="F88" s="596">
        <f t="shared" si="6"/>
        <v>21.604706102495573</v>
      </c>
      <c r="G88" s="596">
        <f t="shared" si="6"/>
        <v>0.76925044768475515</v>
      </c>
      <c r="H88" s="596">
        <f t="shared" si="6"/>
        <v>2.2186217549683391</v>
      </c>
      <c r="I88" s="596">
        <f t="shared" si="6"/>
        <v>0</v>
      </c>
      <c r="J88" s="596">
        <f t="shared" si="6"/>
        <v>0</v>
      </c>
      <c r="K88" s="596">
        <f t="shared" si="6"/>
        <v>3.1879017056164916</v>
      </c>
      <c r="L88" s="596">
        <f t="shared" si="6"/>
        <v>2.6671736803561177</v>
      </c>
      <c r="M88" s="596">
        <f t="shared" si="6"/>
        <v>0</v>
      </c>
      <c r="N88" s="618">
        <f t="shared" si="6"/>
        <v>4.3608996731483751</v>
      </c>
    </row>
    <row r="89" spans="2:16" ht="16.5" thickBot="1" x14ac:dyDescent="0.3">
      <c r="B89" s="562" t="s">
        <v>18</v>
      </c>
      <c r="C89" s="9"/>
      <c r="D89" s="9"/>
      <c r="E89" s="596">
        <f t="shared" si="6"/>
        <v>0.18507024040436076</v>
      </c>
      <c r="F89" s="596">
        <f t="shared" si="6"/>
        <v>13.016840923443974</v>
      </c>
      <c r="G89" s="596">
        <f t="shared" si="6"/>
        <v>0.30583269378357658</v>
      </c>
      <c r="H89" s="596">
        <f t="shared" si="6"/>
        <v>0</v>
      </c>
      <c r="I89" s="596">
        <f t="shared" si="6"/>
        <v>0</v>
      </c>
      <c r="J89" s="596">
        <f t="shared" si="6"/>
        <v>0</v>
      </c>
      <c r="K89" s="596">
        <f t="shared" si="6"/>
        <v>4.8183098271671856</v>
      </c>
      <c r="L89" s="596">
        <f t="shared" si="6"/>
        <v>2.9381443298969439</v>
      </c>
      <c r="M89" s="596">
        <f t="shared" si="6"/>
        <v>0</v>
      </c>
      <c r="N89" s="618">
        <f t="shared" si="6"/>
        <v>0.92766051742287592</v>
      </c>
    </row>
    <row r="90" spans="2:16" ht="16.5" thickBot="1" x14ac:dyDescent="0.3">
      <c r="B90" s="562" t="s">
        <v>19</v>
      </c>
      <c r="C90" s="9"/>
      <c r="D90" s="9"/>
      <c r="E90" s="596">
        <f t="shared" si="6"/>
        <v>0</v>
      </c>
      <c r="F90" s="596">
        <f t="shared" si="6"/>
        <v>0</v>
      </c>
      <c r="G90" s="596">
        <f t="shared" si="6"/>
        <v>0</v>
      </c>
      <c r="H90" s="596">
        <f t="shared" si="6"/>
        <v>0</v>
      </c>
      <c r="I90" s="596">
        <f t="shared" si="6"/>
        <v>0</v>
      </c>
      <c r="J90" s="596">
        <f t="shared" si="6"/>
        <v>0</v>
      </c>
      <c r="K90" s="596">
        <f t="shared" si="6"/>
        <v>0</v>
      </c>
      <c r="L90" s="596">
        <f t="shared" si="6"/>
        <v>0</v>
      </c>
      <c r="M90" s="596">
        <f t="shared" si="6"/>
        <v>0</v>
      </c>
      <c r="N90" s="618">
        <f t="shared" si="6"/>
        <v>0</v>
      </c>
    </row>
    <row r="91" spans="2:16" ht="16.5" thickBot="1" x14ac:dyDescent="0.3">
      <c r="B91" s="562" t="s">
        <v>20</v>
      </c>
      <c r="C91" s="9"/>
      <c r="D91" s="9"/>
      <c r="E91" s="596">
        <f t="shared" si="6"/>
        <v>0</v>
      </c>
      <c r="F91" s="596">
        <f t="shared" si="6"/>
        <v>0</v>
      </c>
      <c r="G91" s="596">
        <f t="shared" si="6"/>
        <v>0</v>
      </c>
      <c r="H91" s="596">
        <f t="shared" si="6"/>
        <v>0</v>
      </c>
      <c r="I91" s="596">
        <f t="shared" si="6"/>
        <v>0</v>
      </c>
      <c r="J91" s="596">
        <f t="shared" si="6"/>
        <v>0</v>
      </c>
      <c r="K91" s="596">
        <f t="shared" si="6"/>
        <v>0</v>
      </c>
      <c r="L91" s="596">
        <f t="shared" si="6"/>
        <v>0</v>
      </c>
      <c r="M91" s="596">
        <f t="shared" si="6"/>
        <v>0</v>
      </c>
      <c r="N91" s="618">
        <f t="shared" si="6"/>
        <v>0</v>
      </c>
    </row>
    <row r="92" spans="2:16" ht="16.5" thickBot="1" x14ac:dyDescent="0.3">
      <c r="B92" s="562" t="s">
        <v>21</v>
      </c>
      <c r="C92" s="9"/>
      <c r="D92" s="9"/>
      <c r="E92" s="596">
        <f t="shared" si="6"/>
        <v>0</v>
      </c>
      <c r="F92" s="596">
        <f t="shared" si="6"/>
        <v>0</v>
      </c>
      <c r="G92" s="596">
        <f t="shared" si="6"/>
        <v>0</v>
      </c>
      <c r="H92" s="596">
        <f t="shared" si="6"/>
        <v>0</v>
      </c>
      <c r="I92" s="596">
        <f t="shared" si="6"/>
        <v>0</v>
      </c>
      <c r="J92" s="596">
        <f t="shared" si="6"/>
        <v>0.66300466904699817</v>
      </c>
      <c r="K92" s="596">
        <f t="shared" si="6"/>
        <v>0</v>
      </c>
      <c r="L92" s="596">
        <f t="shared" si="6"/>
        <v>0</v>
      </c>
      <c r="M92" s="596">
        <f t="shared" si="6"/>
        <v>0</v>
      </c>
      <c r="N92" s="618">
        <f t="shared" si="6"/>
        <v>0</v>
      </c>
    </row>
    <row r="93" spans="2:16" ht="16.5" thickBot="1" x14ac:dyDescent="0.3">
      <c r="B93" s="562" t="s">
        <v>22</v>
      </c>
      <c r="C93" s="9"/>
      <c r="D93" s="9"/>
      <c r="E93" s="596">
        <f t="shared" si="6"/>
        <v>0</v>
      </c>
      <c r="F93" s="596">
        <f t="shared" si="6"/>
        <v>6.4807148036394731</v>
      </c>
      <c r="G93" s="596">
        <f t="shared" si="6"/>
        <v>0.17536454336147372</v>
      </c>
      <c r="H93" s="596">
        <f t="shared" si="6"/>
        <v>0</v>
      </c>
      <c r="I93" s="596">
        <f t="shared" si="6"/>
        <v>0.68516409566205771</v>
      </c>
      <c r="J93" s="596">
        <f t="shared" si="6"/>
        <v>0</v>
      </c>
      <c r="K93" s="596">
        <f t="shared" si="6"/>
        <v>0</v>
      </c>
      <c r="L93" s="596">
        <f t="shared" si="6"/>
        <v>0</v>
      </c>
      <c r="M93" s="596">
        <f t="shared" si="6"/>
        <v>1.7875530252288268</v>
      </c>
      <c r="N93" s="618">
        <f t="shared" si="6"/>
        <v>2.8419034956512292</v>
      </c>
    </row>
    <row r="94" spans="2:16" ht="16.5" thickBot="1" x14ac:dyDescent="0.3">
      <c r="B94" s="593" t="s">
        <v>23</v>
      </c>
      <c r="C94" s="424"/>
      <c r="D94" s="424"/>
      <c r="E94" s="616">
        <f t="shared" si="6"/>
        <v>10.358678657496723</v>
      </c>
      <c r="F94" s="616">
        <f t="shared" si="6"/>
        <v>0</v>
      </c>
      <c r="G94" s="616">
        <f t="shared" si="6"/>
        <v>0</v>
      </c>
      <c r="H94" s="616">
        <f t="shared" si="6"/>
        <v>0</v>
      </c>
      <c r="I94" s="616">
        <f t="shared" si="6"/>
        <v>0</v>
      </c>
      <c r="J94" s="616">
        <f t="shared" si="6"/>
        <v>0</v>
      </c>
      <c r="K94" s="616">
        <f t="shared" si="6"/>
        <v>0</v>
      </c>
      <c r="L94" s="616">
        <f t="shared" si="6"/>
        <v>0</v>
      </c>
      <c r="M94" s="616">
        <f t="shared" si="6"/>
        <v>0</v>
      </c>
      <c r="N94" s="617">
        <f t="shared" si="6"/>
        <v>0</v>
      </c>
    </row>
    <row r="95" spans="2:16" ht="19.5" thickBot="1" x14ac:dyDescent="0.35">
      <c r="B95" s="594" t="s">
        <v>24</v>
      </c>
      <c r="C95" s="421"/>
      <c r="D95" s="421"/>
      <c r="E95" s="616">
        <f t="shared" ref="E95:N95" si="7">IF(E76&lt;E$76,0,(E76-E$76)*C38)</f>
        <v>0</v>
      </c>
      <c r="F95" s="616">
        <f t="shared" si="7"/>
        <v>0</v>
      </c>
      <c r="G95" s="616">
        <f t="shared" si="7"/>
        <v>0</v>
      </c>
      <c r="H95" s="616">
        <f t="shared" si="7"/>
        <v>0</v>
      </c>
      <c r="I95" s="616">
        <f t="shared" si="7"/>
        <v>0</v>
      </c>
      <c r="J95" s="616">
        <f t="shared" si="7"/>
        <v>0</v>
      </c>
      <c r="K95" s="616">
        <f t="shared" si="7"/>
        <v>0</v>
      </c>
      <c r="L95" s="616">
        <f t="shared" si="7"/>
        <v>0</v>
      </c>
      <c r="M95" s="616">
        <f t="shared" si="7"/>
        <v>0</v>
      </c>
      <c r="N95" s="617">
        <f t="shared" si="7"/>
        <v>0</v>
      </c>
    </row>
    <row r="96" spans="2:16" ht="15.75" thickBot="1" x14ac:dyDescent="0.25">
      <c r="P96" s="1" t="s">
        <v>339</v>
      </c>
    </row>
    <row r="97" spans="2:28" ht="19.5" thickBot="1" x14ac:dyDescent="0.35">
      <c r="B97" s="603" t="s">
        <v>340</v>
      </c>
      <c r="C97" s="421"/>
      <c r="D97" s="421"/>
      <c r="E97" s="604">
        <v>2013</v>
      </c>
      <c r="F97" s="604">
        <v>2014</v>
      </c>
      <c r="G97" s="604">
        <v>2015</v>
      </c>
      <c r="H97" s="603">
        <v>2016</v>
      </c>
      <c r="I97" s="604">
        <v>2017</v>
      </c>
      <c r="J97" s="604">
        <v>2018</v>
      </c>
      <c r="K97" s="604">
        <v>2019</v>
      </c>
      <c r="L97" s="604">
        <v>2020</v>
      </c>
      <c r="M97" s="604">
        <v>2021</v>
      </c>
      <c r="N97" s="605">
        <v>2022</v>
      </c>
      <c r="P97" s="644" t="s">
        <v>334</v>
      </c>
      <c r="Q97" s="605">
        <v>2011</v>
      </c>
      <c r="R97" s="604">
        <v>2012</v>
      </c>
      <c r="S97" s="605">
        <v>2013</v>
      </c>
      <c r="T97" s="606">
        <v>2014</v>
      </c>
      <c r="U97" s="607">
        <v>2015</v>
      </c>
      <c r="V97" s="643">
        <v>2016</v>
      </c>
      <c r="W97" s="606">
        <v>2017</v>
      </c>
      <c r="X97" s="606">
        <v>2018</v>
      </c>
      <c r="Y97" s="606">
        <v>2019</v>
      </c>
      <c r="Z97" s="606">
        <v>2020</v>
      </c>
      <c r="AA97" s="606">
        <v>2021</v>
      </c>
      <c r="AB97" s="607">
        <v>2022</v>
      </c>
    </row>
    <row r="98" spans="2:28" ht="16.5" thickBot="1" x14ac:dyDescent="0.3">
      <c r="B98" s="592" t="s">
        <v>8</v>
      </c>
      <c r="C98" s="3"/>
      <c r="D98" s="3"/>
      <c r="E98" s="602">
        <f>IF(E79&gt;0,2*S98*E79,0)</f>
        <v>0</v>
      </c>
      <c r="F98" s="602">
        <f t="shared" ref="F98:N113" si="8">IF(F79&gt;0,2*T98*F79,0)</f>
        <v>0</v>
      </c>
      <c r="G98" s="602">
        <f t="shared" si="8"/>
        <v>0</v>
      </c>
      <c r="H98" s="602">
        <f t="shared" si="8"/>
        <v>0</v>
      </c>
      <c r="I98" s="602">
        <f t="shared" si="8"/>
        <v>0</v>
      </c>
      <c r="J98" s="602">
        <f t="shared" si="8"/>
        <v>0</v>
      </c>
      <c r="K98" s="602">
        <f t="shared" si="8"/>
        <v>0</v>
      </c>
      <c r="L98" s="602">
        <f t="shared" si="8"/>
        <v>0</v>
      </c>
      <c r="M98" s="602">
        <f t="shared" si="8"/>
        <v>0</v>
      </c>
      <c r="N98" s="602">
        <f t="shared" si="8"/>
        <v>0</v>
      </c>
      <c r="P98" s="592" t="s">
        <v>8</v>
      </c>
      <c r="Q98" s="597"/>
      <c r="R98" s="597"/>
      <c r="S98" s="597">
        <v>2062.7280021314746</v>
      </c>
      <c r="T98" s="629">
        <f>S98*1.02</f>
        <v>2103.9825621741043</v>
      </c>
      <c r="U98" s="629">
        <f t="shared" ref="U98:AB98" si="9">T98*1.02</f>
        <v>2146.0622134175865</v>
      </c>
      <c r="V98" s="629">
        <f t="shared" si="9"/>
        <v>2188.9834576859384</v>
      </c>
      <c r="W98" s="629">
        <f t="shared" si="9"/>
        <v>2232.7631268396572</v>
      </c>
      <c r="X98" s="629">
        <f t="shared" si="9"/>
        <v>2277.4183893764502</v>
      </c>
      <c r="Y98" s="629">
        <f t="shared" si="9"/>
        <v>2322.9667571639793</v>
      </c>
      <c r="Z98" s="629">
        <f t="shared" si="9"/>
        <v>2369.4260923072588</v>
      </c>
      <c r="AA98" s="629">
        <f t="shared" si="9"/>
        <v>2416.8146141534039</v>
      </c>
      <c r="AB98" s="630">
        <f t="shared" si="9"/>
        <v>2465.1509064364718</v>
      </c>
    </row>
    <row r="99" spans="2:28" ht="16.5" thickBot="1" x14ac:dyDescent="0.3">
      <c r="B99" s="562" t="s">
        <v>9</v>
      </c>
      <c r="C99" s="9"/>
      <c r="D99" s="9"/>
      <c r="E99" s="602">
        <f t="shared" ref="E99:E113" si="10">IF(E80&gt;0,2*S99*E80,0)</f>
        <v>0</v>
      </c>
      <c r="F99" s="602">
        <f t="shared" si="8"/>
        <v>0</v>
      </c>
      <c r="G99" s="602">
        <f t="shared" si="8"/>
        <v>0</v>
      </c>
      <c r="H99" s="602">
        <f t="shared" si="8"/>
        <v>0</v>
      </c>
      <c r="I99" s="602">
        <f t="shared" si="8"/>
        <v>0</v>
      </c>
      <c r="J99" s="602">
        <f t="shared" si="8"/>
        <v>0</v>
      </c>
      <c r="K99" s="602">
        <f t="shared" si="8"/>
        <v>0</v>
      </c>
      <c r="L99" s="602">
        <f t="shared" si="8"/>
        <v>0</v>
      </c>
      <c r="M99" s="602">
        <f t="shared" si="8"/>
        <v>0</v>
      </c>
      <c r="N99" s="602">
        <f t="shared" si="8"/>
        <v>4133.8856622109797</v>
      </c>
      <c r="P99" s="562" t="s">
        <v>9</v>
      </c>
      <c r="Q99" s="598"/>
      <c r="R99" s="598"/>
      <c r="S99" s="598">
        <v>1968.0308860359148</v>
      </c>
      <c r="T99" s="632">
        <f t="shared" ref="T99:AB113" si="11">S99*1.02</f>
        <v>2007.3915037566333</v>
      </c>
      <c r="U99" s="632">
        <f t="shared" si="11"/>
        <v>2047.539333831766</v>
      </c>
      <c r="V99" s="632">
        <f t="shared" si="11"/>
        <v>2088.4901205084016</v>
      </c>
      <c r="W99" s="632">
        <f t="shared" si="11"/>
        <v>2130.2599229185698</v>
      </c>
      <c r="X99" s="632">
        <f t="shared" si="11"/>
        <v>2172.8651213769413</v>
      </c>
      <c r="Y99" s="632">
        <f t="shared" si="11"/>
        <v>2216.32242380448</v>
      </c>
      <c r="Z99" s="632">
        <f t="shared" si="11"/>
        <v>2260.6488722805698</v>
      </c>
      <c r="AA99" s="632">
        <f t="shared" si="11"/>
        <v>2305.8618497261814</v>
      </c>
      <c r="AB99" s="633">
        <f t="shared" si="11"/>
        <v>2351.9790867207053</v>
      </c>
    </row>
    <row r="100" spans="2:28" ht="16.5" thickBot="1" x14ac:dyDescent="0.3">
      <c r="B100" s="562" t="s">
        <v>10</v>
      </c>
      <c r="C100" s="9"/>
      <c r="D100" s="9"/>
      <c r="E100" s="602">
        <f t="shared" si="10"/>
        <v>0</v>
      </c>
      <c r="F100" s="602">
        <f t="shared" si="8"/>
        <v>0</v>
      </c>
      <c r="G100" s="602">
        <f t="shared" si="8"/>
        <v>0</v>
      </c>
      <c r="H100" s="602">
        <f t="shared" si="8"/>
        <v>0</v>
      </c>
      <c r="I100" s="602">
        <f t="shared" si="8"/>
        <v>0</v>
      </c>
      <c r="J100" s="602">
        <f t="shared" si="8"/>
        <v>0</v>
      </c>
      <c r="K100" s="602">
        <f t="shared" si="8"/>
        <v>0</v>
      </c>
      <c r="L100" s="602">
        <f t="shared" si="8"/>
        <v>0</v>
      </c>
      <c r="M100" s="602">
        <f t="shared" si="8"/>
        <v>0</v>
      </c>
      <c r="N100" s="602">
        <f t="shared" si="8"/>
        <v>4568.2183039751189</v>
      </c>
      <c r="P100" s="562" t="s">
        <v>10</v>
      </c>
      <c r="Q100" s="598"/>
      <c r="R100" s="598"/>
      <c r="S100" s="598">
        <v>1508.5572753096285</v>
      </c>
      <c r="T100" s="632">
        <f t="shared" si="11"/>
        <v>1538.728420815821</v>
      </c>
      <c r="U100" s="632">
        <f t="shared" si="11"/>
        <v>1569.5029892321375</v>
      </c>
      <c r="V100" s="632">
        <f t="shared" si="11"/>
        <v>1600.8930490167802</v>
      </c>
      <c r="W100" s="632">
        <f t="shared" si="11"/>
        <v>1632.9109099971158</v>
      </c>
      <c r="X100" s="632">
        <f t="shared" si="11"/>
        <v>1665.5691281970583</v>
      </c>
      <c r="Y100" s="632">
        <f t="shared" si="11"/>
        <v>1698.8805107609994</v>
      </c>
      <c r="Z100" s="632">
        <f t="shared" si="11"/>
        <v>1732.8581209762194</v>
      </c>
      <c r="AA100" s="632">
        <f t="shared" si="11"/>
        <v>1767.5152833957438</v>
      </c>
      <c r="AB100" s="633">
        <f t="shared" si="11"/>
        <v>1802.8655890636587</v>
      </c>
    </row>
    <row r="101" spans="2:28" ht="16.5" thickBot="1" x14ac:dyDescent="0.3">
      <c r="B101" s="562" t="s">
        <v>11</v>
      </c>
      <c r="C101" s="9"/>
      <c r="D101" s="9"/>
      <c r="E101" s="602">
        <f t="shared" si="10"/>
        <v>0</v>
      </c>
      <c r="F101" s="602">
        <f t="shared" si="8"/>
        <v>0</v>
      </c>
      <c r="G101" s="602">
        <f t="shared" si="8"/>
        <v>0</v>
      </c>
      <c r="H101" s="602">
        <f t="shared" si="8"/>
        <v>0</v>
      </c>
      <c r="I101" s="602">
        <f t="shared" si="8"/>
        <v>22661.064439430156</v>
      </c>
      <c r="J101" s="602">
        <f t="shared" si="8"/>
        <v>7368.0405791179455</v>
      </c>
      <c r="K101" s="602">
        <f t="shared" si="8"/>
        <v>0</v>
      </c>
      <c r="L101" s="602">
        <f t="shared" si="8"/>
        <v>4999.4792028990287</v>
      </c>
      <c r="M101" s="602">
        <f t="shared" si="8"/>
        <v>0</v>
      </c>
      <c r="N101" s="602">
        <f t="shared" si="8"/>
        <v>0</v>
      </c>
      <c r="P101" s="562" t="s">
        <v>11</v>
      </c>
      <c r="Q101" s="598"/>
      <c r="R101" s="598"/>
      <c r="S101" s="598">
        <v>2127.6305522109728</v>
      </c>
      <c r="T101" s="632">
        <f t="shared" si="11"/>
        <v>2170.1831632551925</v>
      </c>
      <c r="U101" s="632">
        <f t="shared" si="11"/>
        <v>2213.5868265202967</v>
      </c>
      <c r="V101" s="632">
        <f t="shared" si="11"/>
        <v>2257.8585630507027</v>
      </c>
      <c r="W101" s="632">
        <f t="shared" si="11"/>
        <v>2303.0157343117166</v>
      </c>
      <c r="X101" s="632">
        <f t="shared" si="11"/>
        <v>2349.0760489979511</v>
      </c>
      <c r="Y101" s="632">
        <f t="shared" si="11"/>
        <v>2396.0575699779101</v>
      </c>
      <c r="Z101" s="632">
        <f t="shared" si="11"/>
        <v>2443.9787213774684</v>
      </c>
      <c r="AA101" s="632">
        <f t="shared" si="11"/>
        <v>2492.8582958050179</v>
      </c>
      <c r="AB101" s="633">
        <f t="shared" si="11"/>
        <v>2542.7154617211181</v>
      </c>
    </row>
    <row r="102" spans="2:28" ht="16.5" thickBot="1" x14ac:dyDescent="0.3">
      <c r="B102" s="562" t="s">
        <v>12</v>
      </c>
      <c r="C102" s="9"/>
      <c r="D102" s="9"/>
      <c r="E102" s="602">
        <f t="shared" si="10"/>
        <v>7027.6125044658975</v>
      </c>
      <c r="F102" s="602">
        <f t="shared" si="8"/>
        <v>0</v>
      </c>
      <c r="G102" s="602">
        <f t="shared" si="8"/>
        <v>0</v>
      </c>
      <c r="H102" s="602">
        <f t="shared" si="8"/>
        <v>10591.867762633021</v>
      </c>
      <c r="I102" s="602">
        <f t="shared" si="8"/>
        <v>19793.128169200008</v>
      </c>
      <c r="J102" s="602">
        <f t="shared" si="8"/>
        <v>23573.892957564254</v>
      </c>
      <c r="K102" s="602">
        <f t="shared" si="8"/>
        <v>0</v>
      </c>
      <c r="L102" s="602">
        <f t="shared" si="8"/>
        <v>30777.70995887191</v>
      </c>
      <c r="M102" s="602">
        <f t="shared" si="8"/>
        <v>12173.40526835719</v>
      </c>
      <c r="N102" s="602">
        <f t="shared" si="8"/>
        <v>6858.7623188636853</v>
      </c>
      <c r="P102" s="562" t="s">
        <v>12</v>
      </c>
      <c r="Q102" s="598"/>
      <c r="R102" s="598"/>
      <c r="S102" s="598">
        <v>3452.7594040152517</v>
      </c>
      <c r="T102" s="632">
        <f t="shared" si="11"/>
        <v>3521.8145920955567</v>
      </c>
      <c r="U102" s="632">
        <f t="shared" si="11"/>
        <v>3592.2508839374677</v>
      </c>
      <c r="V102" s="632">
        <f t="shared" si="11"/>
        <v>3664.0959016162174</v>
      </c>
      <c r="W102" s="632">
        <f t="shared" si="11"/>
        <v>3737.3778196485418</v>
      </c>
      <c r="X102" s="632">
        <f t="shared" si="11"/>
        <v>3812.1253760415129</v>
      </c>
      <c r="Y102" s="632">
        <f t="shared" si="11"/>
        <v>3888.3678835623432</v>
      </c>
      <c r="Z102" s="632">
        <f t="shared" si="11"/>
        <v>3966.13524123359</v>
      </c>
      <c r="AA102" s="632">
        <f t="shared" si="11"/>
        <v>4045.4579460582618</v>
      </c>
      <c r="AB102" s="633">
        <f t="shared" si="11"/>
        <v>4126.3671049794275</v>
      </c>
    </row>
    <row r="103" spans="2:28" ht="16.5" thickBot="1" x14ac:dyDescent="0.3">
      <c r="B103" s="562" t="s">
        <v>13</v>
      </c>
      <c r="C103" s="9"/>
      <c r="D103" s="9"/>
      <c r="E103" s="602">
        <f t="shared" si="10"/>
        <v>0</v>
      </c>
      <c r="F103" s="602">
        <f t="shared" si="8"/>
        <v>0</v>
      </c>
      <c r="G103" s="602">
        <f t="shared" si="8"/>
        <v>0</v>
      </c>
      <c r="H103" s="602">
        <f t="shared" si="8"/>
        <v>0</v>
      </c>
      <c r="I103" s="602">
        <f t="shared" si="8"/>
        <v>0</v>
      </c>
      <c r="J103" s="602">
        <f t="shared" si="8"/>
        <v>1311.5130267072632</v>
      </c>
      <c r="K103" s="602">
        <f t="shared" si="8"/>
        <v>24479.159328081034</v>
      </c>
      <c r="L103" s="602">
        <f t="shared" si="8"/>
        <v>20856.566300810522</v>
      </c>
      <c r="M103" s="602">
        <f t="shared" si="8"/>
        <v>48.783568393740914</v>
      </c>
      <c r="N103" s="602">
        <f t="shared" si="8"/>
        <v>0</v>
      </c>
      <c r="P103" s="562" t="s">
        <v>13</v>
      </c>
      <c r="Q103" s="598"/>
      <c r="R103" s="598"/>
      <c r="S103" s="598">
        <v>1690.7435549288216</v>
      </c>
      <c r="T103" s="632">
        <f t="shared" si="11"/>
        <v>1724.5584260273981</v>
      </c>
      <c r="U103" s="632">
        <f t="shared" si="11"/>
        <v>1759.0495945479461</v>
      </c>
      <c r="V103" s="632">
        <f t="shared" si="11"/>
        <v>1794.230586438905</v>
      </c>
      <c r="W103" s="632">
        <f t="shared" si="11"/>
        <v>1830.115198167683</v>
      </c>
      <c r="X103" s="632">
        <f t="shared" si="11"/>
        <v>1866.7175021310368</v>
      </c>
      <c r="Y103" s="632">
        <f t="shared" si="11"/>
        <v>1904.0518521736576</v>
      </c>
      <c r="Z103" s="632">
        <f t="shared" si="11"/>
        <v>1942.1328892171307</v>
      </c>
      <c r="AA103" s="632">
        <f t="shared" si="11"/>
        <v>1980.9755470014734</v>
      </c>
      <c r="AB103" s="633">
        <f t="shared" si="11"/>
        <v>2020.595057941503</v>
      </c>
    </row>
    <row r="104" spans="2:28" ht="16.5" thickBot="1" x14ac:dyDescent="0.3">
      <c r="B104" s="562" t="s">
        <v>14</v>
      </c>
      <c r="C104" s="9"/>
      <c r="D104" s="9"/>
      <c r="E104" s="602">
        <f t="shared" si="10"/>
        <v>127456.92053061633</v>
      </c>
      <c r="F104" s="602">
        <f t="shared" si="8"/>
        <v>113670.31680259033</v>
      </c>
      <c r="G104" s="602">
        <f t="shared" si="8"/>
        <v>156991.26625858987</v>
      </c>
      <c r="H104" s="602">
        <f t="shared" si="8"/>
        <v>116520.45087787398</v>
      </c>
      <c r="I104" s="602">
        <f t="shared" si="8"/>
        <v>121293.27909173566</v>
      </c>
      <c r="J104" s="602">
        <f t="shared" si="8"/>
        <v>97622.167561631359</v>
      </c>
      <c r="K104" s="602">
        <f t="shared" si="8"/>
        <v>103011.64803758435</v>
      </c>
      <c r="L104" s="602">
        <f t="shared" si="8"/>
        <v>99806.502084319465</v>
      </c>
      <c r="M104" s="602">
        <f t="shared" si="8"/>
        <v>104300.30162706671</v>
      </c>
      <c r="N104" s="602">
        <f t="shared" si="8"/>
        <v>76984.606256294544</v>
      </c>
      <c r="P104" s="562" t="s">
        <v>14</v>
      </c>
      <c r="Q104" s="598"/>
      <c r="R104" s="598"/>
      <c r="S104" s="598">
        <v>900.25238208271128</v>
      </c>
      <c r="T104" s="632">
        <f t="shared" si="11"/>
        <v>918.25742972436547</v>
      </c>
      <c r="U104" s="632">
        <f t="shared" si="11"/>
        <v>936.62257831885279</v>
      </c>
      <c r="V104" s="632">
        <f t="shared" si="11"/>
        <v>955.3550298852299</v>
      </c>
      <c r="W104" s="632">
        <f t="shared" si="11"/>
        <v>974.46213048293453</v>
      </c>
      <c r="X104" s="632">
        <f t="shared" si="11"/>
        <v>993.95137309259326</v>
      </c>
      <c r="Y104" s="632">
        <f t="shared" si="11"/>
        <v>1013.8304005544452</v>
      </c>
      <c r="Z104" s="632">
        <f t="shared" si="11"/>
        <v>1034.1070085655342</v>
      </c>
      <c r="AA104" s="632">
        <f t="shared" si="11"/>
        <v>1054.7891487368449</v>
      </c>
      <c r="AB104" s="633">
        <f t="shared" si="11"/>
        <v>1075.8849317115819</v>
      </c>
    </row>
    <row r="105" spans="2:28" ht="16.5" thickBot="1" x14ac:dyDescent="0.3">
      <c r="B105" s="562" t="s">
        <v>15</v>
      </c>
      <c r="C105" s="9"/>
      <c r="D105" s="9"/>
      <c r="E105" s="602">
        <f t="shared" si="10"/>
        <v>0</v>
      </c>
      <c r="F105" s="602">
        <f t="shared" si="8"/>
        <v>0</v>
      </c>
      <c r="G105" s="602">
        <f t="shared" si="8"/>
        <v>0</v>
      </c>
      <c r="H105" s="602">
        <f t="shared" si="8"/>
        <v>0</v>
      </c>
      <c r="I105" s="602">
        <f t="shared" si="8"/>
        <v>0</v>
      </c>
      <c r="J105" s="602">
        <f t="shared" si="8"/>
        <v>3897.9652592284688</v>
      </c>
      <c r="K105" s="602">
        <f t="shared" si="8"/>
        <v>0</v>
      </c>
      <c r="L105" s="602">
        <f t="shared" si="8"/>
        <v>0</v>
      </c>
      <c r="M105" s="602">
        <f t="shared" si="8"/>
        <v>0</v>
      </c>
      <c r="N105" s="602">
        <f t="shared" si="8"/>
        <v>0</v>
      </c>
      <c r="P105" s="562" t="s">
        <v>15</v>
      </c>
      <c r="Q105" s="598"/>
      <c r="R105" s="598"/>
      <c r="S105" s="598">
        <v>2082.1062270036737</v>
      </c>
      <c r="T105" s="632">
        <f t="shared" si="11"/>
        <v>2123.748351543747</v>
      </c>
      <c r="U105" s="632">
        <f t="shared" si="11"/>
        <v>2166.2233185746222</v>
      </c>
      <c r="V105" s="632">
        <f t="shared" si="11"/>
        <v>2209.5477849461149</v>
      </c>
      <c r="W105" s="632">
        <f t="shared" si="11"/>
        <v>2253.7387406450371</v>
      </c>
      <c r="X105" s="632">
        <f t="shared" si="11"/>
        <v>2298.8135154579377</v>
      </c>
      <c r="Y105" s="632">
        <f t="shared" si="11"/>
        <v>2344.7897857670964</v>
      </c>
      <c r="Z105" s="632">
        <f t="shared" si="11"/>
        <v>2391.6855814824385</v>
      </c>
      <c r="AA105" s="632">
        <f t="shared" si="11"/>
        <v>2439.5192931120873</v>
      </c>
      <c r="AB105" s="633">
        <f t="shared" si="11"/>
        <v>2488.309678974329</v>
      </c>
    </row>
    <row r="106" spans="2:28" ht="16.5" thickBot="1" x14ac:dyDescent="0.3">
      <c r="B106" s="562" t="s">
        <v>16</v>
      </c>
      <c r="C106" s="9"/>
      <c r="D106" s="9"/>
      <c r="E106" s="602">
        <f t="shared" si="10"/>
        <v>0</v>
      </c>
      <c r="F106" s="602">
        <f t="shared" si="8"/>
        <v>15537.386312947952</v>
      </c>
      <c r="G106" s="602">
        <f t="shared" si="8"/>
        <v>0</v>
      </c>
      <c r="H106" s="602">
        <f t="shared" si="8"/>
        <v>0</v>
      </c>
      <c r="I106" s="602">
        <f t="shared" si="8"/>
        <v>0</v>
      </c>
      <c r="J106" s="602">
        <f t="shared" si="8"/>
        <v>0</v>
      </c>
      <c r="K106" s="602">
        <f t="shared" si="8"/>
        <v>5744.6436988240603</v>
      </c>
      <c r="L106" s="602">
        <f t="shared" si="8"/>
        <v>0</v>
      </c>
      <c r="M106" s="602">
        <f t="shared" si="8"/>
        <v>0</v>
      </c>
      <c r="N106" s="602">
        <f t="shared" si="8"/>
        <v>0</v>
      </c>
      <c r="P106" s="562" t="s">
        <v>16</v>
      </c>
      <c r="Q106" s="598"/>
      <c r="R106" s="598"/>
      <c r="S106" s="598">
        <v>2529.9123506814367</v>
      </c>
      <c r="T106" s="632">
        <f t="shared" si="11"/>
        <v>2580.5105976950654</v>
      </c>
      <c r="U106" s="632">
        <f t="shared" si="11"/>
        <v>2632.1208096489668</v>
      </c>
      <c r="V106" s="632">
        <f t="shared" si="11"/>
        <v>2684.7632258419462</v>
      </c>
      <c r="W106" s="632">
        <f t="shared" si="11"/>
        <v>2738.4584903587852</v>
      </c>
      <c r="X106" s="632">
        <f t="shared" si="11"/>
        <v>2793.227660165961</v>
      </c>
      <c r="Y106" s="632">
        <f t="shared" si="11"/>
        <v>2849.0922133692802</v>
      </c>
      <c r="Z106" s="632">
        <f t="shared" si="11"/>
        <v>2906.0740576366657</v>
      </c>
      <c r="AA106" s="632">
        <f t="shared" si="11"/>
        <v>2964.1955387893991</v>
      </c>
      <c r="AB106" s="633">
        <f t="shared" si="11"/>
        <v>3023.4794495651872</v>
      </c>
    </row>
    <row r="107" spans="2:28" ht="16.5" thickBot="1" x14ac:dyDescent="0.3">
      <c r="B107" s="562" t="s">
        <v>17</v>
      </c>
      <c r="C107" s="9"/>
      <c r="D107" s="9"/>
      <c r="E107" s="602">
        <f t="shared" si="10"/>
        <v>47128.533005559832</v>
      </c>
      <c r="F107" s="602">
        <f t="shared" si="8"/>
        <v>52847.095471110486</v>
      </c>
      <c r="G107" s="602">
        <f t="shared" si="8"/>
        <v>1919.2903939665639</v>
      </c>
      <c r="H107" s="602">
        <f t="shared" si="8"/>
        <v>5646.2014727081814</v>
      </c>
      <c r="I107" s="602">
        <f t="shared" si="8"/>
        <v>0</v>
      </c>
      <c r="J107" s="602">
        <f t="shared" si="8"/>
        <v>0</v>
      </c>
      <c r="K107" s="602">
        <f t="shared" si="8"/>
        <v>8609.5121078121556</v>
      </c>
      <c r="L107" s="602">
        <f t="shared" si="8"/>
        <v>7347.2545703938695</v>
      </c>
      <c r="M107" s="602">
        <f t="shared" si="8"/>
        <v>0</v>
      </c>
      <c r="N107" s="602">
        <f t="shared" si="8"/>
        <v>12498.279417755142</v>
      </c>
      <c r="P107" s="562" t="s">
        <v>17</v>
      </c>
      <c r="Q107" s="598"/>
      <c r="R107" s="598"/>
      <c r="S107" s="598">
        <v>1199.0646312672754</v>
      </c>
      <c r="T107" s="632">
        <f t="shared" si="11"/>
        <v>1223.045923892621</v>
      </c>
      <c r="U107" s="632">
        <f t="shared" si="11"/>
        <v>1247.5068423704734</v>
      </c>
      <c r="V107" s="632">
        <f t="shared" si="11"/>
        <v>1272.4569792178829</v>
      </c>
      <c r="W107" s="632">
        <f t="shared" si="11"/>
        <v>1297.9061188022406</v>
      </c>
      <c r="X107" s="632">
        <f t="shared" si="11"/>
        <v>1323.8642411782855</v>
      </c>
      <c r="Y107" s="632">
        <f t="shared" si="11"/>
        <v>1350.3415260018512</v>
      </c>
      <c r="Z107" s="632">
        <f t="shared" si="11"/>
        <v>1377.3483565218883</v>
      </c>
      <c r="AA107" s="632">
        <f t="shared" si="11"/>
        <v>1404.8953236523259</v>
      </c>
      <c r="AB107" s="633">
        <f t="shared" si="11"/>
        <v>1432.9932301253725</v>
      </c>
    </row>
    <row r="108" spans="2:28" ht="16.5" thickBot="1" x14ac:dyDescent="0.3">
      <c r="B108" s="562" t="s">
        <v>18</v>
      </c>
      <c r="C108" s="9"/>
      <c r="D108" s="9"/>
      <c r="E108" s="602">
        <f t="shared" si="10"/>
        <v>573.05348244059553</v>
      </c>
      <c r="F108" s="602">
        <f t="shared" si="8"/>
        <v>41111.595928994342</v>
      </c>
      <c r="G108" s="602">
        <f t="shared" si="8"/>
        <v>985.24178075975442</v>
      </c>
      <c r="H108" s="602">
        <f t="shared" si="8"/>
        <v>0</v>
      </c>
      <c r="I108" s="602">
        <f t="shared" si="8"/>
        <v>0</v>
      </c>
      <c r="J108" s="602">
        <f t="shared" si="8"/>
        <v>0</v>
      </c>
      <c r="K108" s="602">
        <f t="shared" si="8"/>
        <v>16801.742330019828</v>
      </c>
      <c r="L108" s="602">
        <f t="shared" si="8"/>
        <v>10450.399547703641</v>
      </c>
      <c r="M108" s="602">
        <f t="shared" si="8"/>
        <v>0</v>
      </c>
      <c r="N108" s="602">
        <f t="shared" si="8"/>
        <v>3432.8054072622572</v>
      </c>
      <c r="P108" s="562" t="s">
        <v>18</v>
      </c>
      <c r="Q108" s="598"/>
      <c r="R108" s="598"/>
      <c r="S108" s="598">
        <v>1548.2053764790289</v>
      </c>
      <c r="T108" s="632">
        <f t="shared" si="11"/>
        <v>1579.1694840086095</v>
      </c>
      <c r="U108" s="632">
        <f t="shared" si="11"/>
        <v>1610.7528736887818</v>
      </c>
      <c r="V108" s="632">
        <f t="shared" si="11"/>
        <v>1642.9679311625575</v>
      </c>
      <c r="W108" s="632">
        <f t="shared" si="11"/>
        <v>1675.8272897858087</v>
      </c>
      <c r="X108" s="632">
        <f t="shared" si="11"/>
        <v>1709.3438355815249</v>
      </c>
      <c r="Y108" s="632">
        <f t="shared" si="11"/>
        <v>1743.5307122931554</v>
      </c>
      <c r="Z108" s="632">
        <f t="shared" si="11"/>
        <v>1778.4013265390186</v>
      </c>
      <c r="AA108" s="632">
        <f t="shared" si="11"/>
        <v>1813.9693530697989</v>
      </c>
      <c r="AB108" s="633">
        <f t="shared" si="11"/>
        <v>1850.2487401311948</v>
      </c>
    </row>
    <row r="109" spans="2:28" ht="16.5" thickBot="1" x14ac:dyDescent="0.3">
      <c r="B109" s="562" t="s">
        <v>19</v>
      </c>
      <c r="C109" s="9"/>
      <c r="D109" s="9"/>
      <c r="E109" s="602">
        <f t="shared" si="10"/>
        <v>0</v>
      </c>
      <c r="F109" s="602">
        <f t="shared" si="8"/>
        <v>0</v>
      </c>
      <c r="G109" s="602">
        <f t="shared" si="8"/>
        <v>0</v>
      </c>
      <c r="H109" s="602">
        <f t="shared" si="8"/>
        <v>0</v>
      </c>
      <c r="I109" s="602">
        <f t="shared" si="8"/>
        <v>0</v>
      </c>
      <c r="J109" s="602">
        <f t="shared" si="8"/>
        <v>0</v>
      </c>
      <c r="K109" s="602">
        <f t="shared" si="8"/>
        <v>0</v>
      </c>
      <c r="L109" s="602">
        <f t="shared" si="8"/>
        <v>0</v>
      </c>
      <c r="M109" s="602">
        <f t="shared" si="8"/>
        <v>0</v>
      </c>
      <c r="N109" s="602">
        <f t="shared" si="8"/>
        <v>0</v>
      </c>
      <c r="P109" s="562" t="s">
        <v>19</v>
      </c>
      <c r="Q109" s="598"/>
      <c r="R109" s="598"/>
      <c r="S109" s="598">
        <v>1308.9233963726217</v>
      </c>
      <c r="T109" s="632">
        <f t="shared" si="11"/>
        <v>1335.1018643000741</v>
      </c>
      <c r="U109" s="632">
        <f t="shared" si="11"/>
        <v>1361.8039015860757</v>
      </c>
      <c r="V109" s="632">
        <f t="shared" si="11"/>
        <v>1389.0399796177971</v>
      </c>
      <c r="W109" s="632">
        <f t="shared" si="11"/>
        <v>1416.8207792101532</v>
      </c>
      <c r="X109" s="632">
        <f t="shared" si="11"/>
        <v>1445.1571947943562</v>
      </c>
      <c r="Y109" s="632">
        <f t="shared" si="11"/>
        <v>1474.0603386902433</v>
      </c>
      <c r="Z109" s="632">
        <f t="shared" si="11"/>
        <v>1503.5415454640481</v>
      </c>
      <c r="AA109" s="632">
        <f t="shared" si="11"/>
        <v>1533.6123763733292</v>
      </c>
      <c r="AB109" s="633">
        <f t="shared" si="11"/>
        <v>1564.2846239007959</v>
      </c>
    </row>
    <row r="110" spans="2:28" ht="16.5" thickBot="1" x14ac:dyDescent="0.3">
      <c r="B110" s="562" t="s">
        <v>20</v>
      </c>
      <c r="C110" s="9"/>
      <c r="D110" s="9"/>
      <c r="E110" s="602">
        <f t="shared" si="10"/>
        <v>0</v>
      </c>
      <c r="F110" s="602">
        <f t="shared" si="8"/>
        <v>0</v>
      </c>
      <c r="G110" s="602">
        <f t="shared" si="8"/>
        <v>0</v>
      </c>
      <c r="H110" s="602">
        <f t="shared" si="8"/>
        <v>0</v>
      </c>
      <c r="I110" s="602">
        <f t="shared" si="8"/>
        <v>0</v>
      </c>
      <c r="J110" s="602">
        <f t="shared" si="8"/>
        <v>0</v>
      </c>
      <c r="K110" s="602">
        <f t="shared" si="8"/>
        <v>0</v>
      </c>
      <c r="L110" s="602">
        <f t="shared" si="8"/>
        <v>0</v>
      </c>
      <c r="M110" s="602">
        <f t="shared" si="8"/>
        <v>0</v>
      </c>
      <c r="N110" s="602">
        <f t="shared" si="8"/>
        <v>0</v>
      </c>
      <c r="P110" s="562" t="s">
        <v>20</v>
      </c>
      <c r="Q110" s="598"/>
      <c r="R110" s="598"/>
      <c r="S110" s="598">
        <v>2119.8573900659921</v>
      </c>
      <c r="T110" s="632">
        <f t="shared" si="11"/>
        <v>2162.2545378673121</v>
      </c>
      <c r="U110" s="632">
        <f t="shared" si="11"/>
        <v>2205.4996286246583</v>
      </c>
      <c r="V110" s="632">
        <f t="shared" si="11"/>
        <v>2249.6096211971517</v>
      </c>
      <c r="W110" s="632">
        <f t="shared" si="11"/>
        <v>2294.6018136210946</v>
      </c>
      <c r="X110" s="632">
        <f t="shared" si="11"/>
        <v>2340.4938498935167</v>
      </c>
      <c r="Y110" s="632">
        <f t="shared" si="11"/>
        <v>2387.3037268913872</v>
      </c>
      <c r="Z110" s="632">
        <f t="shared" si="11"/>
        <v>2435.0498014292152</v>
      </c>
      <c r="AA110" s="632">
        <f t="shared" si="11"/>
        <v>2483.7507974577998</v>
      </c>
      <c r="AB110" s="633">
        <f t="shared" si="11"/>
        <v>2533.425813406956</v>
      </c>
    </row>
    <row r="111" spans="2:28" ht="16.5" thickBot="1" x14ac:dyDescent="0.3">
      <c r="B111" s="562" t="s">
        <v>21</v>
      </c>
      <c r="C111" s="9"/>
      <c r="D111" s="9"/>
      <c r="E111" s="602">
        <f t="shared" si="10"/>
        <v>0</v>
      </c>
      <c r="F111" s="602">
        <f t="shared" si="8"/>
        <v>0</v>
      </c>
      <c r="G111" s="602">
        <f t="shared" si="8"/>
        <v>0</v>
      </c>
      <c r="H111" s="602">
        <f t="shared" si="8"/>
        <v>0</v>
      </c>
      <c r="I111" s="602">
        <f t="shared" si="8"/>
        <v>0</v>
      </c>
      <c r="J111" s="602">
        <f t="shared" si="8"/>
        <v>3186.6965007013528</v>
      </c>
      <c r="K111" s="602">
        <f t="shared" si="8"/>
        <v>0</v>
      </c>
      <c r="L111" s="602">
        <f t="shared" si="8"/>
        <v>0</v>
      </c>
      <c r="M111" s="602">
        <f t="shared" si="8"/>
        <v>0</v>
      </c>
      <c r="N111" s="602">
        <f t="shared" si="8"/>
        <v>0</v>
      </c>
      <c r="P111" s="562" t="s">
        <v>21</v>
      </c>
      <c r="Q111" s="598"/>
      <c r="R111" s="598"/>
      <c r="S111" s="598">
        <v>2176.6733606952898</v>
      </c>
      <c r="T111" s="632">
        <f t="shared" si="11"/>
        <v>2220.2068279091955</v>
      </c>
      <c r="U111" s="632">
        <f t="shared" si="11"/>
        <v>2264.6109644673793</v>
      </c>
      <c r="V111" s="632">
        <f t="shared" si="11"/>
        <v>2309.9031837567268</v>
      </c>
      <c r="W111" s="632">
        <f t="shared" si="11"/>
        <v>2356.1012474318613</v>
      </c>
      <c r="X111" s="632">
        <f t="shared" si="11"/>
        <v>2403.2232723804987</v>
      </c>
      <c r="Y111" s="632">
        <f t="shared" si="11"/>
        <v>2451.2877378281087</v>
      </c>
      <c r="Z111" s="632">
        <f t="shared" si="11"/>
        <v>2500.3134925846707</v>
      </c>
      <c r="AA111" s="632">
        <f t="shared" si="11"/>
        <v>2550.3197624363643</v>
      </c>
      <c r="AB111" s="633">
        <f t="shared" si="11"/>
        <v>2601.3261576850914</v>
      </c>
    </row>
    <row r="112" spans="2:28" ht="16.5" thickBot="1" x14ac:dyDescent="0.3">
      <c r="B112" s="562" t="s">
        <v>22</v>
      </c>
      <c r="C112" s="9"/>
      <c r="D112" s="9"/>
      <c r="E112" s="602">
        <f t="shared" si="10"/>
        <v>0</v>
      </c>
      <c r="F112" s="602">
        <f t="shared" si="8"/>
        <v>35070.585396765331</v>
      </c>
      <c r="G112" s="602">
        <f t="shared" si="8"/>
        <v>967.97037479120127</v>
      </c>
      <c r="H112" s="602">
        <f t="shared" si="8"/>
        <v>0</v>
      </c>
      <c r="I112" s="602">
        <f t="shared" si="8"/>
        <v>3934.732543548565</v>
      </c>
      <c r="J112" s="602">
        <f t="shared" si="8"/>
        <v>0</v>
      </c>
      <c r="K112" s="602">
        <f t="shared" si="8"/>
        <v>0</v>
      </c>
      <c r="L112" s="602">
        <f t="shared" si="8"/>
        <v>0</v>
      </c>
      <c r="M112" s="602">
        <f t="shared" si="8"/>
        <v>11111.693179657652</v>
      </c>
      <c r="N112" s="602">
        <f t="shared" si="8"/>
        <v>18019.00499122102</v>
      </c>
      <c r="P112" s="562" t="s">
        <v>22</v>
      </c>
      <c r="Q112" s="598"/>
      <c r="R112" s="598"/>
      <c r="S112" s="599">
        <v>2652.7109972703097</v>
      </c>
      <c r="T112" s="632">
        <f t="shared" si="11"/>
        <v>2705.7652172157159</v>
      </c>
      <c r="U112" s="632">
        <f t="shared" si="11"/>
        <v>2759.88052156003</v>
      </c>
      <c r="V112" s="632">
        <f t="shared" si="11"/>
        <v>2815.0781319912307</v>
      </c>
      <c r="W112" s="632">
        <f t="shared" si="11"/>
        <v>2871.3796946310554</v>
      </c>
      <c r="X112" s="632">
        <f t="shared" si="11"/>
        <v>2928.8072885236766</v>
      </c>
      <c r="Y112" s="632">
        <f t="shared" si="11"/>
        <v>2987.38343429415</v>
      </c>
      <c r="Z112" s="632">
        <f t="shared" si="11"/>
        <v>3047.1311029800331</v>
      </c>
      <c r="AA112" s="632">
        <f t="shared" si="11"/>
        <v>3108.0737250396337</v>
      </c>
      <c r="AB112" s="633">
        <f t="shared" si="11"/>
        <v>3170.2351995404265</v>
      </c>
    </row>
    <row r="113" spans="2:28" ht="16.5" thickBot="1" x14ac:dyDescent="0.3">
      <c r="B113" s="593" t="s">
        <v>23</v>
      </c>
      <c r="C113" s="424"/>
      <c r="D113" s="424"/>
      <c r="E113" s="602">
        <f t="shared" si="10"/>
        <v>13775.051401763694</v>
      </c>
      <c r="F113" s="602">
        <f t="shared" si="8"/>
        <v>0</v>
      </c>
      <c r="G113" s="602">
        <f t="shared" si="8"/>
        <v>0</v>
      </c>
      <c r="H113" s="602">
        <f t="shared" si="8"/>
        <v>0</v>
      </c>
      <c r="I113" s="602">
        <f t="shared" si="8"/>
        <v>0</v>
      </c>
      <c r="J113" s="602">
        <f t="shared" si="8"/>
        <v>0</v>
      </c>
      <c r="K113" s="602">
        <f t="shared" si="8"/>
        <v>0</v>
      </c>
      <c r="L113" s="602">
        <f t="shared" si="8"/>
        <v>0</v>
      </c>
      <c r="M113" s="602">
        <f t="shared" si="8"/>
        <v>0</v>
      </c>
      <c r="N113" s="602">
        <f t="shared" si="8"/>
        <v>0</v>
      </c>
      <c r="P113" s="593" t="s">
        <v>23</v>
      </c>
      <c r="Q113" s="599"/>
      <c r="R113" s="599"/>
      <c r="S113" s="637">
        <v>664.9038867420843</v>
      </c>
      <c r="T113" s="635">
        <f t="shared" si="11"/>
        <v>678.20196447692604</v>
      </c>
      <c r="U113" s="635">
        <f t="shared" si="11"/>
        <v>691.76600376646456</v>
      </c>
      <c r="V113" s="635">
        <f t="shared" si="11"/>
        <v>705.60132384179383</v>
      </c>
      <c r="W113" s="635">
        <f t="shared" si="11"/>
        <v>719.71335031862975</v>
      </c>
      <c r="X113" s="635">
        <f t="shared" si="11"/>
        <v>734.10761732500237</v>
      </c>
      <c r="Y113" s="635">
        <f t="shared" si="11"/>
        <v>748.78976967150243</v>
      </c>
      <c r="Z113" s="635">
        <f t="shared" si="11"/>
        <v>763.7655650649325</v>
      </c>
      <c r="AA113" s="635">
        <f t="shared" si="11"/>
        <v>779.04087636623115</v>
      </c>
      <c r="AB113" s="636">
        <f t="shared" si="11"/>
        <v>794.62169389355574</v>
      </c>
    </row>
    <row r="114" spans="2:28" ht="19.5" thickBot="1" x14ac:dyDescent="0.35">
      <c r="B114" s="594" t="s">
        <v>24</v>
      </c>
      <c r="C114" s="421"/>
      <c r="D114" s="421"/>
      <c r="E114" s="619">
        <f>SUM(E98:E113)</f>
        <v>195961.17092484632</v>
      </c>
      <c r="F114" s="619">
        <f t="shared" ref="F114:N114" si="12">SUM(F98:F113)</f>
        <v>258236.97991240845</v>
      </c>
      <c r="G114" s="619">
        <f t="shared" si="12"/>
        <v>160863.76880810742</v>
      </c>
      <c r="H114" s="619">
        <f t="shared" si="12"/>
        <v>132758.52011321517</v>
      </c>
      <c r="I114" s="619">
        <f t="shared" si="12"/>
        <v>167682.2042439144</v>
      </c>
      <c r="J114" s="619">
        <f t="shared" si="12"/>
        <v>136960.27588495065</v>
      </c>
      <c r="K114" s="619">
        <f t="shared" si="12"/>
        <v>158646.70550232142</v>
      </c>
      <c r="L114" s="619">
        <f t="shared" si="12"/>
        <v>174237.91166499848</v>
      </c>
      <c r="M114" s="619">
        <f t="shared" si="12"/>
        <v>127634.18364347529</v>
      </c>
      <c r="N114" s="619">
        <f t="shared" si="12"/>
        <v>126495.56235758275</v>
      </c>
      <c r="P114" s="594" t="s">
        <v>24</v>
      </c>
      <c r="Q114" s="637"/>
      <c r="R114" s="637"/>
      <c r="S114" s="637"/>
      <c r="T114" s="638"/>
      <c r="U114" s="642"/>
      <c r="V114" s="638"/>
      <c r="W114" s="638"/>
      <c r="X114" s="638"/>
      <c r="Y114" s="638"/>
      <c r="Z114" s="638"/>
      <c r="AA114" s="638"/>
      <c r="AB114" s="639"/>
    </row>
    <row r="116" spans="2:28" x14ac:dyDescent="0.2">
      <c r="F116" s="1">
        <v>2015</v>
      </c>
    </row>
    <row r="117" spans="2:28" ht="21" thickBot="1" x14ac:dyDescent="0.35">
      <c r="B117" s="785" t="s">
        <v>448</v>
      </c>
      <c r="C117" s="786"/>
      <c r="D117" s="786"/>
      <c r="E117" s="787" t="s">
        <v>404</v>
      </c>
      <c r="F117" s="1028">
        <f>Kontrollpanel!Q58</f>
        <v>153.1557</v>
      </c>
      <c r="G117" s="821"/>
      <c r="H117" s="821"/>
      <c r="I117" s="786"/>
      <c r="J117" s="786"/>
    </row>
    <row r="118" spans="2:28" ht="20.25" x14ac:dyDescent="0.3">
      <c r="B118" s="786" t="s">
        <v>506</v>
      </c>
      <c r="C118" s="786">
        <f>Kontrollpanel!$G$58</f>
        <v>0.1</v>
      </c>
      <c r="D118" s="786"/>
      <c r="E118" s="787" t="s">
        <v>409</v>
      </c>
      <c r="F118" s="1028">
        <f>Kontrollpanel!Q59</f>
        <v>34.715291999999991</v>
      </c>
      <c r="G118" s="821"/>
      <c r="H118" s="821"/>
      <c r="I118" s="786"/>
      <c r="J118" s="786" t="s">
        <v>478</v>
      </c>
      <c r="M118" s="1">
        <f>Kontrollpanel!G61</f>
        <v>0.1</v>
      </c>
    </row>
    <row r="119" spans="2:28" ht="20.25" x14ac:dyDescent="0.3">
      <c r="B119" s="788"/>
      <c r="C119" s="789"/>
      <c r="D119" s="789"/>
      <c r="E119" s="789"/>
      <c r="F119" s="789"/>
      <c r="G119" s="789"/>
      <c r="H119" s="789"/>
      <c r="I119" s="789"/>
      <c r="J119" s="789"/>
      <c r="K119" s="746"/>
      <c r="L119" s="746"/>
      <c r="M119" s="746"/>
      <c r="N119" s="747"/>
    </row>
    <row r="120" spans="2:28" ht="20.25" x14ac:dyDescent="0.3">
      <c r="B120" s="790" t="s">
        <v>405</v>
      </c>
      <c r="C120" s="791"/>
      <c r="D120" s="792"/>
      <c r="E120" s="793">
        <v>2015</v>
      </c>
      <c r="F120" s="791" t="s">
        <v>406</v>
      </c>
      <c r="G120" s="791"/>
      <c r="H120" s="791"/>
      <c r="I120" s="791"/>
      <c r="J120" s="791"/>
      <c r="K120" s="743"/>
      <c r="L120" s="743"/>
      <c r="M120" s="743"/>
      <c r="N120" s="744"/>
    </row>
    <row r="121" spans="2:28" ht="20.25" x14ac:dyDescent="0.3">
      <c r="B121" s="794" t="s">
        <v>8</v>
      </c>
      <c r="C121" s="795"/>
      <c r="D121" s="796"/>
      <c r="E121" s="797">
        <f>$F$117*Kontrollpanel!$G$58</f>
        <v>15.315570000000001</v>
      </c>
      <c r="F121" s="798">
        <f>E121*C22</f>
        <v>7351.4736000000003</v>
      </c>
      <c r="G121" s="795"/>
      <c r="H121" s="795"/>
      <c r="I121" s="795"/>
      <c r="J121" s="795"/>
      <c r="K121" s="9"/>
      <c r="L121" s="9"/>
      <c r="M121" s="9"/>
      <c r="N121" s="11"/>
    </row>
    <row r="122" spans="2:28" ht="20.25" x14ac:dyDescent="0.3">
      <c r="B122" s="794" t="s">
        <v>9</v>
      </c>
      <c r="C122" s="795"/>
      <c r="D122" s="796"/>
      <c r="E122" s="797">
        <f>$F$117*Kontrollpanel!$G$58</f>
        <v>15.315570000000001</v>
      </c>
      <c r="F122" s="798">
        <f t="shared" ref="F122:F135" si="13">E122*C23</f>
        <v>14978.627460000002</v>
      </c>
      <c r="G122" s="795"/>
      <c r="H122" s="795"/>
      <c r="I122" s="795"/>
      <c r="J122" s="795"/>
      <c r="K122" s="9"/>
      <c r="L122" s="9"/>
      <c r="M122" s="9"/>
      <c r="N122" s="11"/>
    </row>
    <row r="123" spans="2:28" ht="20.25" x14ac:dyDescent="0.3">
      <c r="B123" s="794" t="s">
        <v>10</v>
      </c>
      <c r="C123" s="795"/>
      <c r="D123" s="796"/>
      <c r="E123" s="797">
        <f>$F$117*Kontrollpanel!$G$58</f>
        <v>15.315570000000001</v>
      </c>
      <c r="F123" s="798">
        <f t="shared" si="13"/>
        <v>38702.445390000001</v>
      </c>
      <c r="G123" s="795"/>
      <c r="H123" s="795"/>
      <c r="I123" s="795"/>
      <c r="J123" s="795"/>
      <c r="K123" s="9"/>
      <c r="L123" s="9"/>
      <c r="M123" s="9"/>
      <c r="N123" s="11"/>
    </row>
    <row r="124" spans="2:28" ht="20.25" x14ac:dyDescent="0.3">
      <c r="B124" s="794" t="s">
        <v>11</v>
      </c>
      <c r="C124" s="795"/>
      <c r="D124" s="796"/>
      <c r="E124" s="797">
        <f>$F$117*Kontrollpanel!$G$58</f>
        <v>15.315570000000001</v>
      </c>
      <c r="F124" s="798">
        <f t="shared" si="13"/>
        <v>8837.0838899999999</v>
      </c>
      <c r="G124" s="795"/>
      <c r="H124" s="795"/>
      <c r="I124" s="795"/>
      <c r="J124" s="795"/>
      <c r="K124" s="9"/>
      <c r="L124" s="9"/>
      <c r="M124" s="9"/>
      <c r="N124" s="11"/>
    </row>
    <row r="125" spans="2:28" ht="20.25" x14ac:dyDescent="0.3">
      <c r="B125" s="794" t="s">
        <v>12</v>
      </c>
      <c r="C125" s="795"/>
      <c r="D125" s="796"/>
      <c r="E125" s="797">
        <f>$F$117*Kontrollpanel!$G$58</f>
        <v>15.315570000000001</v>
      </c>
      <c r="F125" s="798">
        <f t="shared" si="13"/>
        <v>7535.2604400000009</v>
      </c>
      <c r="G125" s="795"/>
      <c r="H125" s="795"/>
      <c r="I125" s="795"/>
      <c r="J125" s="795"/>
      <c r="K125" s="9"/>
      <c r="L125" s="9"/>
      <c r="M125" s="9"/>
      <c r="N125" s="11"/>
    </row>
    <row r="126" spans="2:28" ht="20.25" x14ac:dyDescent="0.3">
      <c r="B126" s="794" t="s">
        <v>13</v>
      </c>
      <c r="C126" s="795"/>
      <c r="D126" s="796"/>
      <c r="E126" s="797">
        <f>$F$117*Kontrollpanel!$G$58</f>
        <v>15.315570000000001</v>
      </c>
      <c r="F126" s="798">
        <f t="shared" si="13"/>
        <v>23371.559820000002</v>
      </c>
      <c r="G126" s="795"/>
      <c r="H126" s="795"/>
      <c r="I126" s="795"/>
      <c r="J126" s="795"/>
      <c r="K126" s="9"/>
      <c r="L126" s="9"/>
      <c r="M126" s="9"/>
      <c r="N126" s="11"/>
    </row>
    <row r="127" spans="2:28" ht="20.25" x14ac:dyDescent="0.3">
      <c r="B127" s="794" t="s">
        <v>14</v>
      </c>
      <c r="C127" s="795"/>
      <c r="D127" s="796"/>
      <c r="E127" s="797">
        <f>$F$117*Kontrollpanel!$G$58</f>
        <v>15.315570000000001</v>
      </c>
      <c r="F127" s="798">
        <f t="shared" si="13"/>
        <v>65075.856930000002</v>
      </c>
      <c r="G127" s="795"/>
      <c r="H127" s="795"/>
      <c r="I127" s="795"/>
      <c r="J127" s="795"/>
      <c r="K127" s="9"/>
      <c r="L127" s="9"/>
      <c r="M127" s="9"/>
      <c r="N127" s="11"/>
    </row>
    <row r="128" spans="2:28" ht="20.25" x14ac:dyDescent="0.3">
      <c r="B128" s="794" t="s">
        <v>15</v>
      </c>
      <c r="C128" s="795"/>
      <c r="D128" s="796"/>
      <c r="E128" s="797">
        <f>$F$117*Kontrollpanel!$G$58</f>
        <v>15.315570000000001</v>
      </c>
      <c r="F128" s="798">
        <f t="shared" si="13"/>
        <v>5528.9207700000006</v>
      </c>
      <c r="G128" s="795"/>
      <c r="H128" s="795"/>
      <c r="I128" s="795"/>
      <c r="J128" s="795"/>
      <c r="K128" s="9"/>
      <c r="L128" s="9"/>
      <c r="M128" s="9"/>
      <c r="N128" s="11"/>
    </row>
    <row r="129" spans="1:14" ht="20.25" x14ac:dyDescent="0.3">
      <c r="B129" s="794" t="s">
        <v>16</v>
      </c>
      <c r="C129" s="795"/>
      <c r="D129" s="796"/>
      <c r="E129" s="797">
        <f>$F$117*Kontrollpanel!$G$58</f>
        <v>15.315570000000001</v>
      </c>
      <c r="F129" s="798">
        <f t="shared" si="13"/>
        <v>3813.5769300000002</v>
      </c>
      <c r="G129" s="795"/>
      <c r="H129" s="795"/>
      <c r="I129" s="795"/>
      <c r="J129" s="795"/>
      <c r="K129" s="9"/>
      <c r="L129" s="9"/>
      <c r="M129" s="9"/>
      <c r="N129" s="11"/>
    </row>
    <row r="130" spans="1:14" ht="20.25" x14ac:dyDescent="0.3">
      <c r="B130" s="794" t="s">
        <v>17</v>
      </c>
      <c r="C130" s="795"/>
      <c r="D130" s="796"/>
      <c r="E130" s="797">
        <f>$F$117*Kontrollpanel!$G$58</f>
        <v>15.315570000000001</v>
      </c>
      <c r="F130" s="798">
        <f t="shared" si="13"/>
        <v>28486.960200000001</v>
      </c>
      <c r="G130" s="795"/>
      <c r="H130" s="795"/>
      <c r="I130" s="795"/>
      <c r="J130" s="795"/>
      <c r="K130" s="9"/>
      <c r="L130" s="9"/>
      <c r="M130" s="9"/>
      <c r="N130" s="11"/>
    </row>
    <row r="131" spans="1:14" ht="20.25" x14ac:dyDescent="0.3">
      <c r="B131" s="794" t="s">
        <v>18</v>
      </c>
      <c r="C131" s="795"/>
      <c r="D131" s="796"/>
      <c r="E131" s="797">
        <f>$F$117*Kontrollpanel!$G$58</f>
        <v>15.315570000000001</v>
      </c>
      <c r="F131" s="798">
        <f t="shared" si="13"/>
        <v>6110.9124300000003</v>
      </c>
      <c r="G131" s="795"/>
      <c r="H131" s="795"/>
      <c r="I131" s="795"/>
      <c r="J131" s="795"/>
      <c r="K131" s="9"/>
      <c r="L131" s="9"/>
      <c r="M131" s="9"/>
      <c r="N131" s="11"/>
    </row>
    <row r="132" spans="1:14" ht="20.25" x14ac:dyDescent="0.3">
      <c r="B132" s="794" t="s">
        <v>19</v>
      </c>
      <c r="C132" s="795"/>
      <c r="D132" s="796"/>
      <c r="E132" s="797">
        <f>$F$117*Kontrollpanel!$G$58</f>
        <v>15.315570000000001</v>
      </c>
      <c r="F132" s="798">
        <f t="shared" si="13"/>
        <v>27721.181700000001</v>
      </c>
      <c r="G132" s="795"/>
      <c r="H132" s="795"/>
      <c r="I132" s="795"/>
      <c r="J132" s="795"/>
      <c r="K132" s="9"/>
      <c r="L132" s="9"/>
      <c r="M132" s="9"/>
      <c r="N132" s="11"/>
    </row>
    <row r="133" spans="1:14" ht="20.25" x14ac:dyDescent="0.3">
      <c r="B133" s="794" t="s">
        <v>20</v>
      </c>
      <c r="C133" s="795"/>
      <c r="D133" s="796"/>
      <c r="E133" s="797">
        <f>$F$117*Kontrollpanel!$G$58</f>
        <v>15.315570000000001</v>
      </c>
      <c r="F133" s="798">
        <f t="shared" si="13"/>
        <v>1577.5037100000002</v>
      </c>
      <c r="G133" s="795"/>
      <c r="H133" s="795"/>
      <c r="I133" s="795"/>
      <c r="J133" s="795"/>
      <c r="K133" s="9"/>
      <c r="L133" s="9"/>
      <c r="M133" s="9"/>
      <c r="N133" s="11"/>
    </row>
    <row r="134" spans="1:14" ht="20.25" x14ac:dyDescent="0.3">
      <c r="B134" s="794" t="s">
        <v>21</v>
      </c>
      <c r="C134" s="795"/>
      <c r="D134" s="796"/>
      <c r="E134" s="797">
        <f>$F$117*Kontrollpanel!$G$58</f>
        <v>15.315570000000001</v>
      </c>
      <c r="F134" s="798">
        <f t="shared" si="13"/>
        <v>15805.668240000001</v>
      </c>
      <c r="G134" s="795"/>
      <c r="H134" s="795"/>
      <c r="I134" s="795"/>
      <c r="J134" s="795"/>
      <c r="K134" s="9"/>
      <c r="L134" s="9"/>
      <c r="M134" s="9"/>
      <c r="N134" s="11"/>
    </row>
    <row r="135" spans="1:14" ht="20.25" x14ac:dyDescent="0.3">
      <c r="B135" s="794" t="s">
        <v>22</v>
      </c>
      <c r="C135" s="795"/>
      <c r="D135" s="796"/>
      <c r="E135" s="797">
        <f>$F$117*Kontrollpanel!$G$58</f>
        <v>15.315570000000001</v>
      </c>
      <c r="F135" s="798">
        <f t="shared" si="13"/>
        <v>6876.6909300000007</v>
      </c>
      <c r="G135" s="795"/>
      <c r="H135" s="795"/>
      <c r="I135" s="795"/>
      <c r="J135" s="795"/>
      <c r="K135" s="9"/>
      <c r="L135" s="9"/>
      <c r="M135" s="9"/>
      <c r="N135" s="11"/>
    </row>
    <row r="136" spans="1:14" ht="20.25" x14ac:dyDescent="0.3">
      <c r="B136" s="794" t="s">
        <v>23</v>
      </c>
      <c r="C136" s="795"/>
      <c r="D136" s="796"/>
      <c r="E136" s="797">
        <f>$F$117*Kontrollpanel!$G$58</f>
        <v>15.315570000000001</v>
      </c>
      <c r="F136" s="798">
        <f>E136*C37</f>
        <v>172499.26491</v>
      </c>
      <c r="G136" s="798">
        <f>F118*Kontrollpanel!G61*C38</f>
        <v>98435.210465999975</v>
      </c>
      <c r="H136" s="795"/>
      <c r="I136" s="795"/>
      <c r="J136" s="795"/>
      <c r="K136" s="9"/>
      <c r="L136" s="9"/>
      <c r="M136" s="9"/>
      <c r="N136" s="11"/>
    </row>
    <row r="137" spans="1:14" ht="20.25" x14ac:dyDescent="0.3">
      <c r="B137" s="799" t="s">
        <v>24</v>
      </c>
      <c r="C137" s="800"/>
      <c r="D137" s="801"/>
      <c r="E137" s="802"/>
      <c r="F137" s="803">
        <f>SUM(F121:F136)</f>
        <v>434272.98735000001</v>
      </c>
      <c r="G137" s="804">
        <f>SUM(F137+G136)</f>
        <v>532708.19781599997</v>
      </c>
      <c r="H137" s="805"/>
      <c r="I137" s="805"/>
      <c r="J137" s="805"/>
      <c r="K137" s="292"/>
      <c r="L137" s="292"/>
      <c r="M137" s="292"/>
      <c r="N137" s="745"/>
    </row>
    <row r="140" spans="1:14" x14ac:dyDescent="0.2">
      <c r="A140" s="9"/>
      <c r="B140" s="9"/>
      <c r="C140" s="9"/>
      <c r="D140" s="9"/>
      <c r="E140" s="9"/>
      <c r="F140" s="9"/>
      <c r="G140" s="9"/>
      <c r="H140" s="9"/>
      <c r="I140" s="9"/>
    </row>
    <row r="141" spans="1:14" ht="21" thickBot="1" x14ac:dyDescent="0.35">
      <c r="A141" s="9"/>
      <c r="B141" s="785" t="s">
        <v>663</v>
      </c>
      <c r="C141" s="795"/>
      <c r="D141" s="795"/>
      <c r="E141" s="795"/>
      <c r="F141" s="795"/>
      <c r="G141" s="9"/>
      <c r="H141" s="9"/>
      <c r="I141" s="9"/>
    </row>
    <row r="142" spans="1:14" ht="20.25" x14ac:dyDescent="0.3">
      <c r="A142" s="9"/>
      <c r="B142" s="795"/>
      <c r="C142" s="795"/>
      <c r="D142" s="795"/>
      <c r="E142" s="795"/>
      <c r="F142" s="795"/>
      <c r="G142" s="9"/>
      <c r="H142" s="9"/>
      <c r="I142" s="9"/>
    </row>
    <row r="143" spans="1:14" ht="20.25" x14ac:dyDescent="0.3">
      <c r="A143" s="9"/>
      <c r="B143" s="795"/>
      <c r="C143" s="790" t="s">
        <v>405</v>
      </c>
      <c r="D143" s="1282"/>
      <c r="E143" s="795"/>
      <c r="F143" s="795"/>
      <c r="G143" s="9"/>
      <c r="H143" s="9"/>
      <c r="I143" s="9"/>
    </row>
    <row r="144" spans="1:14" ht="20.25" x14ac:dyDescent="0.3">
      <c r="A144" s="9"/>
      <c r="B144" s="806"/>
      <c r="C144" s="794" t="s">
        <v>8</v>
      </c>
      <c r="D144" s="1282">
        <v>46020.858796296299</v>
      </c>
      <c r="E144" s="795"/>
      <c r="F144" s="795"/>
      <c r="G144" s="9"/>
      <c r="H144" s="9"/>
      <c r="I144" s="9"/>
    </row>
    <row r="145" spans="1:9" ht="20.25" x14ac:dyDescent="0.3">
      <c r="A145" s="9"/>
      <c r="B145" s="795"/>
      <c r="C145" s="794" t="s">
        <v>9</v>
      </c>
      <c r="D145" s="1282">
        <v>73726.809730708483</v>
      </c>
      <c r="E145" s="795"/>
      <c r="F145" s="795"/>
      <c r="G145" s="9"/>
      <c r="H145" s="9"/>
      <c r="I145" s="9"/>
    </row>
    <row r="146" spans="1:9" ht="20.25" x14ac:dyDescent="0.3">
      <c r="A146" s="9"/>
      <c r="B146" s="795"/>
      <c r="C146" s="794" t="s">
        <v>10</v>
      </c>
      <c r="D146" s="1282">
        <v>69042.326166328567</v>
      </c>
      <c r="E146" s="795"/>
      <c r="F146" s="795"/>
      <c r="G146" s="9"/>
      <c r="H146" s="9"/>
      <c r="I146" s="9"/>
    </row>
    <row r="147" spans="1:9" ht="20.25" x14ac:dyDescent="0.3">
      <c r="A147" s="9"/>
      <c r="B147" s="795"/>
      <c r="C147" s="794" t="s">
        <v>11</v>
      </c>
      <c r="D147" s="1282">
        <v>55800.706698323193</v>
      </c>
      <c r="E147" s="795"/>
      <c r="F147" s="795"/>
      <c r="G147" s="9"/>
      <c r="H147" s="9"/>
      <c r="I147" s="9"/>
    </row>
    <row r="148" spans="1:9" ht="20.25" x14ac:dyDescent="0.3">
      <c r="A148" s="9"/>
      <c r="B148" s="795"/>
      <c r="C148" s="794" t="s">
        <v>12</v>
      </c>
      <c r="D148" s="1282">
        <v>45130.046241403848</v>
      </c>
      <c r="E148" s="795"/>
      <c r="F148" s="795"/>
      <c r="G148" s="9"/>
      <c r="H148" s="9"/>
      <c r="I148" s="9"/>
    </row>
    <row r="149" spans="1:9" ht="20.25" x14ac:dyDescent="0.3">
      <c r="A149" s="9"/>
      <c r="B149" s="795"/>
      <c r="C149" s="794" t="s">
        <v>13</v>
      </c>
      <c r="D149" s="1282">
        <v>104210.50932908728</v>
      </c>
      <c r="E149" s="795"/>
      <c r="F149" s="795"/>
      <c r="G149" s="9"/>
      <c r="H149" s="9"/>
      <c r="I149" s="9"/>
    </row>
    <row r="150" spans="1:9" ht="20.25" x14ac:dyDescent="0.3">
      <c r="A150" s="9"/>
      <c r="B150" s="795"/>
      <c r="C150" s="794" t="s">
        <v>14</v>
      </c>
      <c r="D150" s="1282">
        <v>51703.747067985671</v>
      </c>
      <c r="E150" s="795"/>
      <c r="F150" s="795"/>
      <c r="G150" s="9"/>
      <c r="H150" s="9"/>
      <c r="I150" s="9"/>
    </row>
    <row r="151" spans="1:9" ht="20.25" x14ac:dyDescent="0.3">
      <c r="A151" s="9"/>
      <c r="B151" s="795"/>
      <c r="C151" s="794" t="s">
        <v>15</v>
      </c>
      <c r="D151" s="1282">
        <v>33506.376123312511</v>
      </c>
      <c r="E151" s="795"/>
      <c r="F151" s="795"/>
      <c r="G151" s="9"/>
      <c r="H151" s="9"/>
      <c r="I151" s="9"/>
    </row>
    <row r="152" spans="1:9" ht="20.25" x14ac:dyDescent="0.3">
      <c r="A152" s="9"/>
      <c r="B152" s="795"/>
      <c r="C152" s="794" t="s">
        <v>16</v>
      </c>
      <c r="D152" s="1282">
        <v>24805.836294256507</v>
      </c>
      <c r="E152" s="795"/>
      <c r="F152" s="795"/>
      <c r="G152" s="9"/>
      <c r="H152" s="9"/>
      <c r="I152" s="9"/>
    </row>
    <row r="153" spans="1:9" ht="20.25" x14ac:dyDescent="0.3">
      <c r="A153" s="9"/>
      <c r="B153" s="795"/>
      <c r="C153" s="794" t="s">
        <v>17</v>
      </c>
      <c r="D153" s="1282">
        <v>81239.872253272071</v>
      </c>
      <c r="E153" s="795"/>
      <c r="F153" s="795"/>
      <c r="G153" s="9"/>
      <c r="H153" s="9"/>
      <c r="I153" s="9"/>
    </row>
    <row r="154" spans="1:9" ht="20.25" x14ac:dyDescent="0.3">
      <c r="A154" s="9"/>
      <c r="B154" s="795"/>
      <c r="C154" s="794" t="s">
        <v>18</v>
      </c>
      <c r="D154" s="1282">
        <v>27510.53594594594</v>
      </c>
      <c r="E154" s="795"/>
      <c r="F154" s="795"/>
      <c r="G154" s="9"/>
      <c r="H154" s="9"/>
      <c r="I154" s="9"/>
    </row>
    <row r="155" spans="1:9" ht="20.25" x14ac:dyDescent="0.3">
      <c r="A155" s="9"/>
      <c r="B155" s="795"/>
      <c r="C155" s="794" t="s">
        <v>19</v>
      </c>
      <c r="D155" s="1282">
        <v>116496.41536861502</v>
      </c>
      <c r="E155" s="795"/>
      <c r="F155" s="795"/>
      <c r="G155" s="9"/>
      <c r="H155" s="9"/>
      <c r="I155" s="9"/>
    </row>
    <row r="156" spans="1:9" ht="20.25" x14ac:dyDescent="0.3">
      <c r="A156" s="9"/>
      <c r="B156" s="795"/>
      <c r="C156" s="794" t="s">
        <v>20</v>
      </c>
      <c r="D156" s="1282">
        <v>10048.777460770329</v>
      </c>
      <c r="E156" s="795"/>
      <c r="F156" s="795"/>
      <c r="G156" s="9"/>
      <c r="H156" s="9"/>
      <c r="I156" s="9"/>
    </row>
    <row r="157" spans="1:9" ht="20.25" x14ac:dyDescent="0.3">
      <c r="A157" s="9"/>
      <c r="B157" s="795"/>
      <c r="C157" s="794" t="s">
        <v>21</v>
      </c>
      <c r="D157" s="1282">
        <v>76887.405349611538</v>
      </c>
      <c r="E157" s="795"/>
      <c r="F157" s="795"/>
      <c r="G157" s="9"/>
      <c r="H157" s="9"/>
      <c r="I157" s="9"/>
    </row>
    <row r="158" spans="1:9" ht="20.25" x14ac:dyDescent="0.3">
      <c r="A158" s="9"/>
      <c r="B158" s="795"/>
      <c r="C158" s="794" t="s">
        <v>22</v>
      </c>
      <c r="D158" s="1282">
        <v>42206.476593168612</v>
      </c>
      <c r="E158" s="795"/>
      <c r="F158" s="795"/>
      <c r="G158" s="9"/>
      <c r="H158" s="9"/>
      <c r="I158" s="9"/>
    </row>
    <row r="159" spans="1:9" ht="20.25" x14ac:dyDescent="0.3">
      <c r="A159" s="9"/>
      <c r="B159" s="795"/>
      <c r="C159" s="794" t="s">
        <v>23</v>
      </c>
      <c r="D159" s="1282">
        <v>0</v>
      </c>
      <c r="E159" s="795"/>
      <c r="F159" s="795"/>
      <c r="G159" s="9"/>
      <c r="H159" s="9"/>
      <c r="I159" s="9"/>
    </row>
    <row r="160" spans="1:9" ht="20.25" x14ac:dyDescent="0.3">
      <c r="A160" s="9"/>
      <c r="B160" s="795"/>
      <c r="C160" s="799" t="s">
        <v>24</v>
      </c>
      <c r="D160" s="798"/>
      <c r="E160" s="795"/>
      <c r="F160" s="795"/>
      <c r="G160" s="9"/>
      <c r="H160" s="9"/>
      <c r="I160" s="9"/>
    </row>
    <row r="161" spans="1:9" ht="20.25" x14ac:dyDescent="0.3">
      <c r="A161" s="9"/>
      <c r="B161" s="807"/>
      <c r="C161" s="808"/>
      <c r="D161" s="808"/>
      <c r="E161" s="795"/>
      <c r="F161" s="795"/>
      <c r="G161" s="9"/>
      <c r="H161" s="9"/>
      <c r="I161" s="9"/>
    </row>
    <row r="162" spans="1:9" x14ac:dyDescent="0.2">
      <c r="A162" s="9"/>
      <c r="B162" s="9"/>
      <c r="C162" s="9"/>
      <c r="D162" s="9"/>
      <c r="E162" s="9"/>
      <c r="F162" s="9"/>
      <c r="G162" s="9"/>
      <c r="H162" s="9"/>
      <c r="I162" s="9"/>
    </row>
    <row r="163" spans="1:9" x14ac:dyDescent="0.2">
      <c r="A163" s="9"/>
      <c r="B163" s="9"/>
      <c r="C163" s="9"/>
      <c r="D163" s="9"/>
      <c r="E163" s="9"/>
      <c r="F163" s="9"/>
      <c r="G163" s="9"/>
      <c r="H163" s="9"/>
      <c r="I163" s="9"/>
    </row>
    <row r="164" spans="1:9" x14ac:dyDescent="0.2">
      <c r="A164" s="9"/>
      <c r="B164" s="9"/>
      <c r="C164" s="9"/>
      <c r="D164" s="9"/>
      <c r="E164" s="9"/>
      <c r="F164" s="9"/>
      <c r="G164" s="9"/>
      <c r="H164" s="9"/>
      <c r="I164" s="9"/>
    </row>
    <row r="165" spans="1:9" x14ac:dyDescent="0.2">
      <c r="A165" s="9"/>
      <c r="B165" s="9"/>
      <c r="C165" s="9"/>
      <c r="D165" s="9"/>
      <c r="E165" s="9"/>
      <c r="F165" s="9"/>
      <c r="G165" s="9"/>
      <c r="H165" s="9"/>
      <c r="I165" s="9"/>
    </row>
    <row r="166" spans="1:9" x14ac:dyDescent="0.2">
      <c r="A166" s="9"/>
      <c r="B166" s="9"/>
      <c r="C166" s="9"/>
      <c r="D166" s="9"/>
      <c r="E166" s="9"/>
      <c r="F166" s="9"/>
      <c r="G166" s="9"/>
      <c r="H166" s="9"/>
      <c r="I166" s="9"/>
    </row>
    <row r="167" spans="1:9" x14ac:dyDescent="0.2">
      <c r="A167" s="9"/>
      <c r="B167" s="9"/>
      <c r="C167" s="9"/>
      <c r="D167" s="9"/>
      <c r="E167" s="9"/>
      <c r="F167" s="9"/>
      <c r="G167" s="9"/>
      <c r="H167" s="9"/>
      <c r="I167" s="9"/>
    </row>
    <row r="168" spans="1:9" x14ac:dyDescent="0.2">
      <c r="A168" s="9"/>
      <c r="B168" s="9"/>
      <c r="C168" s="9"/>
      <c r="D168" s="9"/>
      <c r="E168" s="9"/>
      <c r="F168" s="9"/>
      <c r="G168" s="9"/>
      <c r="H168" s="9"/>
      <c r="I168" s="9"/>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P111"/>
  <sheetViews>
    <sheetView topLeftCell="A19" zoomScale="85" zoomScaleNormal="85" workbookViewId="0">
      <selection activeCell="AH52" sqref="AH52"/>
    </sheetView>
  </sheetViews>
  <sheetFormatPr defaultColWidth="8.88671875" defaultRowHeight="15" x14ac:dyDescent="0.2"/>
  <cols>
    <col min="1" max="1" width="2.6640625" style="1" customWidth="1"/>
    <col min="2" max="4" width="16.44140625" style="1" customWidth="1"/>
    <col min="5" max="5" width="10.33203125" style="1" bestFit="1" customWidth="1"/>
    <col min="6" max="6" width="8.88671875" style="1"/>
    <col min="7" max="7" width="10.88671875" style="1" customWidth="1"/>
    <col min="8" max="8" width="8.88671875" style="1"/>
    <col min="9" max="10" width="10.109375" style="1" customWidth="1"/>
    <col min="11" max="11" width="8.88671875" style="1"/>
    <col min="12" max="12" width="8.33203125" style="1" customWidth="1"/>
    <col min="13" max="14" width="10.77734375" style="1" customWidth="1"/>
    <col min="15" max="15" width="13.109375" style="1" customWidth="1"/>
    <col min="16" max="16" width="12.5546875" style="1" customWidth="1"/>
    <col min="17" max="17" width="13.109375" style="1" customWidth="1"/>
    <col min="18" max="18" width="10.5546875" style="1" customWidth="1"/>
    <col min="19" max="19" width="11.44140625" style="1" customWidth="1"/>
    <col min="20" max="20" width="11.6640625" style="1" customWidth="1"/>
    <col min="21" max="21" width="11.109375" style="1" customWidth="1"/>
    <col min="22" max="22" width="11" style="1" customWidth="1"/>
    <col min="23" max="23" width="12.77734375" style="1" customWidth="1"/>
    <col min="24" max="24" width="11.21875" style="1" customWidth="1"/>
    <col min="25" max="25" width="10.88671875" style="1" customWidth="1"/>
    <col min="26" max="26" width="10.21875" style="1" customWidth="1"/>
    <col min="27" max="27" width="13.44140625" style="1" customWidth="1"/>
    <col min="28" max="28" width="10.33203125" style="1" customWidth="1"/>
    <col min="29" max="29" width="10.5546875" style="1" customWidth="1"/>
    <col min="30" max="30" width="8.88671875" style="1"/>
    <col min="31" max="31" width="10.33203125" style="1" customWidth="1"/>
    <col min="32" max="32" width="10.109375" style="1" customWidth="1"/>
    <col min="33" max="34" width="10.6640625" style="1" customWidth="1"/>
    <col min="35" max="35" width="12" style="1" customWidth="1"/>
    <col min="36" max="36" width="11.21875" style="1" customWidth="1"/>
    <col min="37" max="37" width="10.6640625" style="1" customWidth="1"/>
    <col min="38" max="16384" width="8.88671875" style="1"/>
  </cols>
  <sheetData>
    <row r="4" spans="2:42" ht="15.75" x14ac:dyDescent="0.25">
      <c r="B4" s="23" t="s">
        <v>561</v>
      </c>
      <c r="C4" s="23"/>
      <c r="D4" s="23"/>
      <c r="E4" s="22"/>
      <c r="F4" s="22"/>
      <c r="G4" s="22"/>
      <c r="H4" s="22"/>
      <c r="I4" s="22"/>
      <c r="J4" s="36"/>
      <c r="K4" s="23" t="s">
        <v>560</v>
      </c>
      <c r="L4" s="22"/>
      <c r="M4" s="22"/>
      <c r="N4" s="22"/>
      <c r="O4" s="22"/>
      <c r="P4" s="22"/>
      <c r="Q4" s="22"/>
      <c r="R4" s="22"/>
      <c r="S4" s="36"/>
      <c r="T4" s="36"/>
      <c r="U4" s="36"/>
      <c r="V4" s="36"/>
      <c r="W4" s="1" t="s">
        <v>454</v>
      </c>
    </row>
    <row r="5" spans="2:42" ht="15.75" thickBot="1" x14ac:dyDescent="0.25">
      <c r="E5" s="22"/>
      <c r="F5" s="22"/>
      <c r="G5" s="22"/>
      <c r="H5" s="22"/>
      <c r="I5" s="22"/>
      <c r="J5" s="36"/>
      <c r="L5" s="22"/>
      <c r="M5" s="22"/>
      <c r="N5" s="22"/>
      <c r="O5" s="22"/>
      <c r="P5" s="22"/>
      <c r="Q5" s="22"/>
      <c r="R5" s="22"/>
      <c r="S5" s="36"/>
      <c r="T5" s="36"/>
      <c r="U5" s="36"/>
      <c r="V5" s="36"/>
      <c r="W5" s="1" t="s">
        <v>391</v>
      </c>
      <c r="AE5" s="1" t="s">
        <v>449</v>
      </c>
      <c r="AF5" s="1" t="s">
        <v>338</v>
      </c>
      <c r="AJ5" s="522"/>
      <c r="AK5" s="522"/>
    </row>
    <row r="6" spans="2:42" ht="19.5" thickBot="1" x14ac:dyDescent="0.35">
      <c r="B6" s="493"/>
      <c r="C6" s="494"/>
      <c r="D6" s="494"/>
      <c r="E6" s="494">
        <v>2009</v>
      </c>
      <c r="F6" s="494">
        <v>2010</v>
      </c>
      <c r="G6" s="494">
        <v>2011</v>
      </c>
      <c r="H6" s="494">
        <v>2012</v>
      </c>
      <c r="I6" s="494">
        <v>2013</v>
      </c>
      <c r="J6" s="6"/>
      <c r="K6" s="435"/>
      <c r="L6" s="494"/>
      <c r="M6" s="494">
        <v>2009</v>
      </c>
      <c r="N6" s="494">
        <v>2010</v>
      </c>
      <c r="O6" s="494">
        <v>2011</v>
      </c>
      <c r="P6" s="494">
        <v>2012</v>
      </c>
      <c r="Q6" s="494">
        <v>2013</v>
      </c>
      <c r="R6" s="494"/>
      <c r="S6" s="6"/>
      <c r="T6" s="6"/>
      <c r="U6" s="6"/>
      <c r="V6" s="6"/>
      <c r="W6" s="493" t="s">
        <v>393</v>
      </c>
      <c r="X6" s="494"/>
      <c r="Y6" s="494">
        <v>2007</v>
      </c>
      <c r="Z6" s="493">
        <v>2008</v>
      </c>
      <c r="AA6" s="494">
        <v>2009</v>
      </c>
      <c r="AB6" s="494">
        <v>2010</v>
      </c>
      <c r="AC6" s="495">
        <v>2011</v>
      </c>
      <c r="AE6" s="603" t="s">
        <v>336</v>
      </c>
      <c r="AH6" s="604">
        <v>2006</v>
      </c>
      <c r="AI6" s="604">
        <v>2007</v>
      </c>
      <c r="AJ6" s="604">
        <v>2008</v>
      </c>
      <c r="AK6" s="604">
        <v>2009</v>
      </c>
      <c r="AL6" s="604">
        <v>2010</v>
      </c>
      <c r="AM6" s="604">
        <v>2011</v>
      </c>
      <c r="AN6" s="604">
        <v>2012</v>
      </c>
      <c r="AO6" s="604">
        <v>2013</v>
      </c>
      <c r="AP6" s="604">
        <v>2014</v>
      </c>
    </row>
    <row r="7" spans="2:42" ht="15.75" x14ac:dyDescent="0.25">
      <c r="B7" s="496" t="s">
        <v>8</v>
      </c>
      <c r="C7" s="738"/>
      <c r="D7" s="738"/>
      <c r="E7" s="498">
        <v>8151</v>
      </c>
      <c r="F7" s="498">
        <v>8245</v>
      </c>
      <c r="G7" s="498">
        <v>8147</v>
      </c>
      <c r="H7" s="498">
        <v>8958</v>
      </c>
      <c r="I7" s="498">
        <v>9242</v>
      </c>
      <c r="J7" s="36"/>
      <c r="K7" s="496" t="s">
        <v>8</v>
      </c>
      <c r="L7" s="498"/>
      <c r="M7" s="498">
        <v>1385.67</v>
      </c>
      <c r="N7" s="498">
        <v>1401.65</v>
      </c>
      <c r="O7" s="498">
        <v>1384.99</v>
      </c>
      <c r="P7" s="498">
        <v>1522.86</v>
      </c>
      <c r="Q7" s="498">
        <v>1548.0350000000001</v>
      </c>
      <c r="R7" s="498"/>
      <c r="S7" s="36">
        <f>K28/100</f>
        <v>0</v>
      </c>
      <c r="T7" s="36">
        <f t="shared" ref="T7:U22" si="0">L28/100</f>
        <v>1.8E-3</v>
      </c>
      <c r="U7" s="36">
        <f t="shared" si="0"/>
        <v>1.7000000000000001E-3</v>
      </c>
      <c r="V7" s="36"/>
      <c r="W7" s="52" t="s">
        <v>8</v>
      </c>
      <c r="Y7" s="36">
        <v>50415.88</v>
      </c>
      <c r="Z7" s="36">
        <v>30029.93</v>
      </c>
      <c r="AA7" s="36">
        <v>81321.240000000005</v>
      </c>
      <c r="AB7" s="36">
        <v>102003.11</v>
      </c>
      <c r="AC7" s="531">
        <v>116183.19</v>
      </c>
      <c r="AE7" s="592" t="s">
        <v>8</v>
      </c>
      <c r="AH7" s="1">
        <v>520</v>
      </c>
      <c r="AI7" s="1">
        <v>510</v>
      </c>
      <c r="AJ7" s="1">
        <v>518</v>
      </c>
      <c r="AK7" s="1">
        <v>498</v>
      </c>
      <c r="AL7" s="1">
        <v>488</v>
      </c>
      <c r="AM7" s="620">
        <v>480</v>
      </c>
      <c r="AN7" s="620">
        <v>476</v>
      </c>
      <c r="AO7" s="620">
        <v>475</v>
      </c>
      <c r="AP7" s="625">
        <v>474</v>
      </c>
    </row>
    <row r="8" spans="2:42" ht="15.75" x14ac:dyDescent="0.25">
      <c r="B8" s="52" t="s">
        <v>9</v>
      </c>
      <c r="C8" s="6"/>
      <c r="D8" s="6"/>
      <c r="E8" s="36">
        <v>12531</v>
      </c>
      <c r="F8" s="36">
        <v>13671</v>
      </c>
      <c r="G8" s="36">
        <v>14677</v>
      </c>
      <c r="H8" s="36">
        <v>15284</v>
      </c>
      <c r="I8" s="36">
        <v>16160</v>
      </c>
      <c r="J8" s="36"/>
      <c r="K8" s="52" t="s">
        <v>9</v>
      </c>
      <c r="L8" s="36"/>
      <c r="M8" s="36">
        <v>2286.9074999999998</v>
      </c>
      <c r="N8" s="36">
        <v>2494.9575</v>
      </c>
      <c r="O8" s="36">
        <v>2641.86</v>
      </c>
      <c r="P8" s="36">
        <v>2751.12</v>
      </c>
      <c r="Q8" s="36">
        <v>2908.8</v>
      </c>
      <c r="R8" s="36"/>
      <c r="S8" s="36">
        <f t="shared" ref="S8:S23" si="1">K29/100</f>
        <v>0</v>
      </c>
      <c r="T8" s="36">
        <f t="shared" si="0"/>
        <v>1.8E-3</v>
      </c>
      <c r="U8" s="36">
        <f t="shared" si="0"/>
        <v>1.8E-3</v>
      </c>
      <c r="V8" s="36"/>
      <c r="W8" s="52" t="s">
        <v>9</v>
      </c>
      <c r="Y8" s="36">
        <v>342737.7</v>
      </c>
      <c r="Z8" s="36">
        <v>134983.38999999998</v>
      </c>
      <c r="AA8" s="36">
        <v>211251.25</v>
      </c>
      <c r="AB8" s="36">
        <v>201892.09</v>
      </c>
      <c r="AC8" s="531">
        <v>91779.75</v>
      </c>
      <c r="AE8" s="562" t="s">
        <v>9</v>
      </c>
      <c r="AH8" s="1">
        <v>929</v>
      </c>
      <c r="AI8" s="1">
        <v>923</v>
      </c>
      <c r="AJ8" s="1">
        <v>921</v>
      </c>
      <c r="AK8" s="1">
        <v>924</v>
      </c>
      <c r="AL8" s="1">
        <v>943</v>
      </c>
      <c r="AM8" s="621">
        <v>978</v>
      </c>
      <c r="AN8" s="621">
        <v>960</v>
      </c>
      <c r="AO8" s="621">
        <v>947</v>
      </c>
      <c r="AP8" s="626">
        <v>932</v>
      </c>
    </row>
    <row r="9" spans="2:42" ht="15.75" x14ac:dyDescent="0.25">
      <c r="B9" s="52" t="s">
        <v>10</v>
      </c>
      <c r="C9" s="6"/>
      <c r="D9" s="6"/>
      <c r="E9" s="36">
        <v>38056</v>
      </c>
      <c r="F9" s="36">
        <v>40748</v>
      </c>
      <c r="G9" s="36">
        <v>42333</v>
      </c>
      <c r="H9" s="36">
        <v>43306</v>
      </c>
      <c r="I9" s="36">
        <v>46000</v>
      </c>
      <c r="J9" s="36"/>
      <c r="K9" s="52" t="s">
        <v>10</v>
      </c>
      <c r="L9" s="36"/>
      <c r="M9" s="36">
        <v>7420.92</v>
      </c>
      <c r="N9" s="36">
        <v>7945.86</v>
      </c>
      <c r="O9" s="36">
        <v>8254.9349999999995</v>
      </c>
      <c r="P9" s="36">
        <v>8444.67</v>
      </c>
      <c r="Q9" s="36">
        <v>8970</v>
      </c>
      <c r="R9" s="36"/>
      <c r="S9" s="36">
        <f t="shared" si="1"/>
        <v>0</v>
      </c>
      <c r="T9" s="36">
        <f t="shared" si="0"/>
        <v>1.825E-3</v>
      </c>
      <c r="U9" s="36">
        <f t="shared" si="0"/>
        <v>1.8500000000000001E-3</v>
      </c>
      <c r="V9" s="36"/>
      <c r="W9" s="52" t="s">
        <v>10</v>
      </c>
      <c r="Y9" s="36">
        <v>227622.41</v>
      </c>
      <c r="Z9" s="36">
        <v>113688.56999999999</v>
      </c>
      <c r="AA9" s="36">
        <v>225026.62</v>
      </c>
      <c r="AB9" s="36">
        <v>168202.21</v>
      </c>
      <c r="AC9" s="531">
        <v>118430.2</v>
      </c>
      <c r="AE9" s="562" t="s">
        <v>10</v>
      </c>
      <c r="AH9" s="1">
        <v>2464</v>
      </c>
      <c r="AI9" s="1">
        <v>2457</v>
      </c>
      <c r="AJ9" s="1">
        <v>2483</v>
      </c>
      <c r="AK9" s="1">
        <v>2486</v>
      </c>
      <c r="AL9" s="1">
        <v>2502</v>
      </c>
      <c r="AM9" s="621">
        <v>2527</v>
      </c>
      <c r="AN9" s="621">
        <v>2531</v>
      </c>
      <c r="AO9" s="621">
        <v>2520</v>
      </c>
      <c r="AP9" s="626">
        <v>2534</v>
      </c>
    </row>
    <row r="10" spans="2:42" ht="15.75" x14ac:dyDescent="0.25">
      <c r="B10" s="52" t="s">
        <v>11</v>
      </c>
      <c r="C10" s="6"/>
      <c r="D10" s="6"/>
      <c r="E10" s="36">
        <v>8157</v>
      </c>
      <c r="F10" s="36">
        <v>8751</v>
      </c>
      <c r="G10" s="36">
        <v>9578</v>
      </c>
      <c r="H10" s="36">
        <v>9838</v>
      </c>
      <c r="I10" s="36">
        <v>10168</v>
      </c>
      <c r="J10" s="36"/>
      <c r="K10" s="52" t="s">
        <v>11</v>
      </c>
      <c r="L10" s="36"/>
      <c r="M10" s="36">
        <v>1386.69</v>
      </c>
      <c r="N10" s="36">
        <v>1487.67</v>
      </c>
      <c r="O10" s="36">
        <v>1652.2049999999999</v>
      </c>
      <c r="P10" s="36">
        <v>1697.0550000000001</v>
      </c>
      <c r="Q10" s="36">
        <v>1753.98</v>
      </c>
      <c r="R10" s="36"/>
      <c r="S10" s="36">
        <f t="shared" si="1"/>
        <v>0</v>
      </c>
      <c r="T10" s="36">
        <f t="shared" si="0"/>
        <v>1.7000000000000001E-3</v>
      </c>
      <c r="U10" s="36">
        <f t="shared" si="0"/>
        <v>1.7000000000000001E-3</v>
      </c>
      <c r="V10" s="36"/>
      <c r="W10" s="52" t="s">
        <v>11</v>
      </c>
      <c r="Y10" s="36">
        <v>190500.14</v>
      </c>
      <c r="Z10" s="36">
        <v>123793.71</v>
      </c>
      <c r="AA10" s="36">
        <v>230586.18</v>
      </c>
      <c r="AB10" s="36">
        <v>179764.1</v>
      </c>
      <c r="AC10" s="531">
        <v>107773.96</v>
      </c>
      <c r="AE10" s="562" t="s">
        <v>11</v>
      </c>
      <c r="AH10" s="1">
        <v>583</v>
      </c>
      <c r="AI10" s="1">
        <v>582</v>
      </c>
      <c r="AJ10" s="1">
        <v>576</v>
      </c>
      <c r="AK10" s="1">
        <v>561</v>
      </c>
      <c r="AL10" s="1">
        <v>580</v>
      </c>
      <c r="AM10" s="621">
        <v>577</v>
      </c>
      <c r="AN10" s="621">
        <v>578</v>
      </c>
      <c r="AO10" s="621">
        <v>572</v>
      </c>
      <c r="AP10" s="626">
        <v>568</v>
      </c>
    </row>
    <row r="11" spans="2:42" ht="15.75" x14ac:dyDescent="0.25">
      <c r="B11" s="52" t="s">
        <v>12</v>
      </c>
      <c r="C11" s="6"/>
      <c r="D11" s="6"/>
      <c r="E11" s="36">
        <v>5629</v>
      </c>
      <c r="F11" s="36">
        <v>6221</v>
      </c>
      <c r="G11" s="36">
        <v>6915</v>
      </c>
      <c r="H11" s="36">
        <v>6970</v>
      </c>
      <c r="I11" s="36">
        <v>6978</v>
      </c>
      <c r="J11" s="36"/>
      <c r="K11" s="52" t="s">
        <v>12</v>
      </c>
      <c r="L11" s="36"/>
      <c r="M11" s="36">
        <v>1041.365</v>
      </c>
      <c r="N11" s="36">
        <v>1150.885</v>
      </c>
      <c r="O11" s="36">
        <v>1227.4124999999999</v>
      </c>
      <c r="P11" s="36">
        <v>1219.75</v>
      </c>
      <c r="Q11" s="36">
        <v>1221.1500000000001</v>
      </c>
      <c r="R11" s="36"/>
      <c r="S11" s="36">
        <f t="shared" si="1"/>
        <v>0</v>
      </c>
      <c r="T11" s="36">
        <f t="shared" si="0"/>
        <v>1.8500000000000001E-3</v>
      </c>
      <c r="U11" s="36">
        <f t="shared" si="0"/>
        <v>1.8500000000000001E-3</v>
      </c>
      <c r="V11" s="36"/>
      <c r="W11" s="52" t="s">
        <v>12</v>
      </c>
      <c r="Y11" s="36">
        <v>5403.59</v>
      </c>
      <c r="Z11" s="36">
        <v>2499.63</v>
      </c>
      <c r="AA11" s="36">
        <v>4833.5600000000004</v>
      </c>
      <c r="AB11" s="36">
        <v>8075.81</v>
      </c>
      <c r="AC11" s="531">
        <v>5729.07</v>
      </c>
      <c r="AE11" s="562" t="s">
        <v>12</v>
      </c>
      <c r="AH11" s="1">
        <v>448</v>
      </c>
      <c r="AI11" s="1">
        <v>443</v>
      </c>
      <c r="AJ11" s="1">
        <v>456</v>
      </c>
      <c r="AK11" s="1">
        <v>457</v>
      </c>
      <c r="AL11" s="1">
        <v>475</v>
      </c>
      <c r="AM11" s="621">
        <v>492</v>
      </c>
      <c r="AN11" s="621">
        <v>495</v>
      </c>
      <c r="AO11" s="621">
        <v>500</v>
      </c>
      <c r="AP11" s="626">
        <v>494</v>
      </c>
    </row>
    <row r="12" spans="2:42" ht="15.75" x14ac:dyDescent="0.25">
      <c r="B12" s="52" t="s">
        <v>13</v>
      </c>
      <c r="C12" s="6"/>
      <c r="D12" s="6"/>
      <c r="E12" s="36">
        <v>21527</v>
      </c>
      <c r="F12" s="36">
        <v>23664</v>
      </c>
      <c r="G12" s="36">
        <v>24971</v>
      </c>
      <c r="H12" s="36">
        <v>26103</v>
      </c>
      <c r="I12" s="36">
        <v>27141</v>
      </c>
      <c r="J12" s="36"/>
      <c r="K12" s="52" t="s">
        <v>13</v>
      </c>
      <c r="L12" s="36"/>
      <c r="M12" s="36">
        <v>3551.9549999999999</v>
      </c>
      <c r="N12" s="36">
        <v>3904.56</v>
      </c>
      <c r="O12" s="36">
        <v>4120.2150000000001</v>
      </c>
      <c r="P12" s="36">
        <v>4306.9949999999999</v>
      </c>
      <c r="Q12" s="36">
        <v>4478.2650000000003</v>
      </c>
      <c r="R12" s="36"/>
      <c r="S12" s="36">
        <f t="shared" si="1"/>
        <v>0</v>
      </c>
      <c r="T12" s="36">
        <f t="shared" si="0"/>
        <v>1.7000000000000001E-3</v>
      </c>
      <c r="U12" s="36">
        <f t="shared" si="0"/>
        <v>1.65E-3</v>
      </c>
      <c r="V12" s="36"/>
      <c r="W12" s="52" t="s">
        <v>13</v>
      </c>
      <c r="Y12" s="36">
        <v>77273.539999999994</v>
      </c>
      <c r="Z12" s="36">
        <v>31520.239999999998</v>
      </c>
      <c r="AA12" s="36">
        <v>61258.53</v>
      </c>
      <c r="AB12" s="36">
        <v>59736.82</v>
      </c>
      <c r="AC12" s="531">
        <v>99653.75</v>
      </c>
      <c r="AE12" s="562" t="s">
        <v>13</v>
      </c>
      <c r="AH12" s="1">
        <v>1423</v>
      </c>
      <c r="AI12" s="1">
        <v>1409</v>
      </c>
      <c r="AJ12" s="1">
        <v>1440</v>
      </c>
      <c r="AK12" s="1">
        <v>1463</v>
      </c>
      <c r="AL12" s="1">
        <v>1508</v>
      </c>
      <c r="AM12" s="621">
        <v>1526</v>
      </c>
      <c r="AN12" s="621">
        <v>1522</v>
      </c>
      <c r="AO12" s="621">
        <v>1540</v>
      </c>
      <c r="AP12" s="626">
        <v>1532</v>
      </c>
    </row>
    <row r="13" spans="2:42" ht="15.75" x14ac:dyDescent="0.25">
      <c r="B13" s="52" t="s">
        <v>14</v>
      </c>
      <c r="C13" s="6"/>
      <c r="D13" s="6"/>
      <c r="E13" s="36">
        <v>64500</v>
      </c>
      <c r="F13" s="36">
        <v>71111</v>
      </c>
      <c r="G13" s="36">
        <v>76448</v>
      </c>
      <c r="H13" s="36">
        <v>81817</v>
      </c>
      <c r="I13" s="36">
        <v>88070</v>
      </c>
      <c r="J13" s="36"/>
      <c r="K13" s="52" t="s">
        <v>14</v>
      </c>
      <c r="L13" s="36"/>
      <c r="M13" s="36">
        <v>10965</v>
      </c>
      <c r="N13" s="36">
        <v>12088.87</v>
      </c>
      <c r="O13" s="36">
        <v>12996.16</v>
      </c>
      <c r="P13" s="36">
        <v>13908.89</v>
      </c>
      <c r="Q13" s="36">
        <v>14971.9</v>
      </c>
      <c r="R13" s="36"/>
      <c r="S13" s="36">
        <f t="shared" si="1"/>
        <v>0</v>
      </c>
      <c r="T13" s="36">
        <f t="shared" si="0"/>
        <v>1.7000000000000001E-3</v>
      </c>
      <c r="U13" s="36">
        <f t="shared" si="0"/>
        <v>1.7000000000000001E-3</v>
      </c>
      <c r="V13" s="36"/>
      <c r="W13" s="52" t="s">
        <v>14</v>
      </c>
      <c r="Y13" s="36">
        <v>628558.85</v>
      </c>
      <c r="Z13" s="36">
        <v>303876.73</v>
      </c>
      <c r="AA13" s="36">
        <v>640446.56000000006</v>
      </c>
      <c r="AB13" s="36">
        <v>681604.15</v>
      </c>
      <c r="AC13" s="531">
        <v>713716.77</v>
      </c>
      <c r="AE13" s="562" t="s">
        <v>14</v>
      </c>
      <c r="AH13" s="1">
        <v>3664</v>
      </c>
      <c r="AI13" s="1">
        <v>3774</v>
      </c>
      <c r="AJ13" s="1">
        <v>3917</v>
      </c>
      <c r="AK13" s="1">
        <v>4022</v>
      </c>
      <c r="AL13" s="1">
        <v>4098</v>
      </c>
      <c r="AM13" s="621">
        <v>4249</v>
      </c>
      <c r="AN13" s="621">
        <v>4355</v>
      </c>
      <c r="AO13" s="621">
        <v>4424</v>
      </c>
      <c r="AP13" s="626">
        <v>4560</v>
      </c>
    </row>
    <row r="14" spans="2:42" ht="15.75" x14ac:dyDescent="0.25">
      <c r="B14" s="52" t="s">
        <v>15</v>
      </c>
      <c r="C14" s="6"/>
      <c r="D14" s="6"/>
      <c r="E14" s="36">
        <v>5990</v>
      </c>
      <c r="F14" s="36">
        <v>6398</v>
      </c>
      <c r="G14" s="36">
        <v>6261</v>
      </c>
      <c r="H14" s="36">
        <v>6430</v>
      </c>
      <c r="I14" s="36">
        <v>6422</v>
      </c>
      <c r="J14" s="36"/>
      <c r="K14" s="52" t="s">
        <v>15</v>
      </c>
      <c r="L14" s="36"/>
      <c r="M14" s="36">
        <v>1108.1500000000001</v>
      </c>
      <c r="N14" s="36">
        <v>1183.6300000000001</v>
      </c>
      <c r="O14" s="36">
        <v>1158.2850000000001</v>
      </c>
      <c r="P14" s="36">
        <v>1189.55</v>
      </c>
      <c r="Q14" s="36">
        <v>1188.07</v>
      </c>
      <c r="R14" s="36"/>
      <c r="S14" s="36">
        <f t="shared" si="1"/>
        <v>0</v>
      </c>
      <c r="T14" s="36">
        <f t="shared" si="0"/>
        <v>1.8500000000000001E-3</v>
      </c>
      <c r="U14" s="36">
        <f t="shared" si="0"/>
        <v>1.8500000000000001E-3</v>
      </c>
      <c r="V14" s="36"/>
      <c r="W14" s="52" t="s">
        <v>15</v>
      </c>
      <c r="Y14" s="36">
        <v>18106.29</v>
      </c>
      <c r="Z14" s="36">
        <v>12351.64</v>
      </c>
      <c r="AA14" s="36">
        <v>31256.57</v>
      </c>
      <c r="AB14" s="36">
        <v>24207.64</v>
      </c>
      <c r="AC14" s="531">
        <v>12490.93</v>
      </c>
      <c r="AE14" s="562" t="s">
        <v>15</v>
      </c>
      <c r="AH14" s="1">
        <v>359</v>
      </c>
      <c r="AI14" s="1">
        <v>366</v>
      </c>
      <c r="AJ14" s="1">
        <v>360</v>
      </c>
      <c r="AK14" s="1">
        <v>372</v>
      </c>
      <c r="AL14" s="1">
        <v>364</v>
      </c>
      <c r="AM14" s="621">
        <v>361</v>
      </c>
      <c r="AN14" s="621">
        <v>338</v>
      </c>
      <c r="AO14" s="621">
        <v>330</v>
      </c>
      <c r="AP14" s="626">
        <v>328</v>
      </c>
    </row>
    <row r="15" spans="2:42" ht="15.75" x14ac:dyDescent="0.25">
      <c r="B15" s="52" t="s">
        <v>16</v>
      </c>
      <c r="C15" s="6"/>
      <c r="D15" s="6"/>
      <c r="E15" s="36">
        <v>3695</v>
      </c>
      <c r="F15" s="36">
        <v>4212</v>
      </c>
      <c r="G15" s="36">
        <v>4305</v>
      </c>
      <c r="H15" s="36">
        <v>4532</v>
      </c>
      <c r="I15" s="36">
        <v>4548</v>
      </c>
      <c r="J15" s="36"/>
      <c r="K15" s="52" t="s">
        <v>16</v>
      </c>
      <c r="L15" s="36"/>
      <c r="M15" s="36">
        <v>683.57500000000005</v>
      </c>
      <c r="N15" s="36">
        <v>779.22</v>
      </c>
      <c r="O15" s="36">
        <v>796.42499999999995</v>
      </c>
      <c r="P15" s="36">
        <v>883.74</v>
      </c>
      <c r="Q15" s="36">
        <v>886.86</v>
      </c>
      <c r="R15" s="36"/>
      <c r="S15" s="36">
        <f t="shared" si="1"/>
        <v>0</v>
      </c>
      <c r="T15" s="36">
        <f t="shared" si="0"/>
        <v>1.8500000000000001E-3</v>
      </c>
      <c r="U15" s="36">
        <f t="shared" si="0"/>
        <v>1.8500000000000001E-3</v>
      </c>
      <c r="V15" s="36"/>
      <c r="W15" s="52" t="s">
        <v>16</v>
      </c>
      <c r="Y15" s="36">
        <v>4845.67</v>
      </c>
      <c r="Z15" s="36">
        <v>2331.4800000000005</v>
      </c>
      <c r="AA15" s="36">
        <v>6850.79</v>
      </c>
      <c r="AB15" s="36">
        <v>9196.25</v>
      </c>
      <c r="AC15" s="531">
        <v>9115.4500000000007</v>
      </c>
      <c r="AE15" s="562" t="s">
        <v>16</v>
      </c>
      <c r="AH15" s="1">
        <v>298</v>
      </c>
      <c r="AI15" s="1">
        <v>284</v>
      </c>
      <c r="AJ15" s="1">
        <v>262</v>
      </c>
      <c r="AK15" s="1">
        <v>261</v>
      </c>
      <c r="AL15" s="1">
        <v>259</v>
      </c>
      <c r="AM15" s="621">
        <v>249</v>
      </c>
      <c r="AN15" s="621">
        <v>245</v>
      </c>
      <c r="AO15" s="621">
        <v>251</v>
      </c>
      <c r="AP15" s="626">
        <v>253</v>
      </c>
    </row>
    <row r="16" spans="2:42" ht="15.75" x14ac:dyDescent="0.25">
      <c r="B16" s="52" t="s">
        <v>17</v>
      </c>
      <c r="C16" s="6"/>
      <c r="D16" s="6"/>
      <c r="E16" s="36">
        <v>29368</v>
      </c>
      <c r="F16" s="36">
        <v>32048</v>
      </c>
      <c r="G16" s="36">
        <v>34349</v>
      </c>
      <c r="H16" s="36">
        <v>35413</v>
      </c>
      <c r="I16" s="36">
        <v>38149</v>
      </c>
      <c r="J16" s="36"/>
      <c r="K16" s="52" t="s">
        <v>17</v>
      </c>
      <c r="L16" s="36"/>
      <c r="M16" s="36">
        <v>4845.72</v>
      </c>
      <c r="N16" s="36">
        <v>5287.92</v>
      </c>
      <c r="O16" s="36">
        <v>5667.585</v>
      </c>
      <c r="P16" s="36">
        <v>5754.6125000000002</v>
      </c>
      <c r="Q16" s="36">
        <v>6199.2124999999996</v>
      </c>
      <c r="R16" s="36"/>
      <c r="S16" s="36">
        <f t="shared" si="1"/>
        <v>0</v>
      </c>
      <c r="T16" s="36">
        <f t="shared" si="0"/>
        <v>1.7000000000000001E-3</v>
      </c>
      <c r="U16" s="36">
        <f t="shared" si="0"/>
        <v>1.7000000000000001E-3</v>
      </c>
      <c r="V16" s="36"/>
      <c r="W16" s="52" t="s">
        <v>17</v>
      </c>
      <c r="Y16" s="36">
        <v>29504.04</v>
      </c>
      <c r="Z16" s="36">
        <v>19987.2</v>
      </c>
      <c r="AA16" s="36">
        <v>72667.45</v>
      </c>
      <c r="AB16" s="36">
        <v>77975.37</v>
      </c>
      <c r="AC16" s="531">
        <v>65709.399999999994</v>
      </c>
      <c r="AE16" s="562" t="s">
        <v>17</v>
      </c>
      <c r="AH16" s="1">
        <v>1731</v>
      </c>
      <c r="AI16" s="1">
        <v>1773</v>
      </c>
      <c r="AJ16" s="1">
        <v>1783</v>
      </c>
      <c r="AK16" s="1">
        <v>1782</v>
      </c>
      <c r="AL16" s="1">
        <v>1814</v>
      </c>
      <c r="AM16" s="621">
        <v>1860</v>
      </c>
      <c r="AN16" s="621">
        <v>1883</v>
      </c>
      <c r="AO16" s="621">
        <v>1926</v>
      </c>
      <c r="AP16" s="626">
        <v>1943</v>
      </c>
    </row>
    <row r="17" spans="2:42" ht="15.75" x14ac:dyDescent="0.25">
      <c r="B17" s="52" t="s">
        <v>18</v>
      </c>
      <c r="C17" s="6"/>
      <c r="D17" s="6"/>
      <c r="E17" s="36">
        <v>6108</v>
      </c>
      <c r="F17" s="36">
        <v>6606</v>
      </c>
      <c r="G17" s="36">
        <v>7152</v>
      </c>
      <c r="H17" s="36">
        <v>7609</v>
      </c>
      <c r="I17" s="36">
        <v>7830</v>
      </c>
      <c r="J17" s="36"/>
      <c r="K17" s="52" t="s">
        <v>18</v>
      </c>
      <c r="L17" s="36"/>
      <c r="M17" s="36">
        <v>1129.98</v>
      </c>
      <c r="N17" s="36">
        <v>1222.1099999999999</v>
      </c>
      <c r="O17" s="36">
        <v>1323.12</v>
      </c>
      <c r="P17" s="36">
        <v>1407.665</v>
      </c>
      <c r="Q17" s="36">
        <v>1448.55</v>
      </c>
      <c r="R17" s="36"/>
      <c r="S17" s="36">
        <f t="shared" si="1"/>
        <v>0</v>
      </c>
      <c r="T17" s="36">
        <f t="shared" si="0"/>
        <v>1.8500000000000001E-3</v>
      </c>
      <c r="U17" s="36">
        <f t="shared" si="0"/>
        <v>1.8500000000000001E-3</v>
      </c>
      <c r="V17" s="36"/>
      <c r="W17" s="52" t="s">
        <v>18</v>
      </c>
      <c r="Y17" s="36">
        <v>73928.600000000006</v>
      </c>
      <c r="Z17" s="36">
        <v>33657.539999999994</v>
      </c>
      <c r="AA17" s="36">
        <v>51474.77</v>
      </c>
      <c r="AB17" s="36">
        <v>50376.36</v>
      </c>
      <c r="AC17" s="531">
        <v>39922.160000000003</v>
      </c>
      <c r="AE17" s="562" t="s">
        <v>18</v>
      </c>
      <c r="AH17" s="1">
        <v>387</v>
      </c>
      <c r="AI17" s="1">
        <v>387</v>
      </c>
      <c r="AJ17" s="1">
        <v>387</v>
      </c>
      <c r="AK17" s="1">
        <v>391</v>
      </c>
      <c r="AL17" s="1">
        <v>394</v>
      </c>
      <c r="AM17" s="621">
        <v>399</v>
      </c>
      <c r="AN17" s="621">
        <v>392</v>
      </c>
      <c r="AO17" s="621">
        <v>413</v>
      </c>
      <c r="AP17" s="626">
        <v>418</v>
      </c>
    </row>
    <row r="18" spans="2:42" ht="15.75" x14ac:dyDescent="0.25">
      <c r="B18" s="52" t="s">
        <v>19</v>
      </c>
      <c r="C18" s="6"/>
      <c r="D18" s="6"/>
      <c r="E18" s="36">
        <v>26221</v>
      </c>
      <c r="F18" s="36">
        <v>28353</v>
      </c>
      <c r="G18" s="36">
        <v>30452</v>
      </c>
      <c r="H18" s="36">
        <v>31196</v>
      </c>
      <c r="I18" s="36">
        <v>32575</v>
      </c>
      <c r="J18" s="36"/>
      <c r="K18" s="52" t="s">
        <v>19</v>
      </c>
      <c r="L18" s="36"/>
      <c r="M18" s="36">
        <v>4326.4650000000001</v>
      </c>
      <c r="N18" s="36">
        <v>4607.3625000000002</v>
      </c>
      <c r="O18" s="36">
        <v>4948.45</v>
      </c>
      <c r="P18" s="36">
        <v>5069.3500000000004</v>
      </c>
      <c r="Q18" s="36">
        <v>5293.4375</v>
      </c>
      <c r="R18" s="36"/>
      <c r="S18" s="36">
        <f t="shared" si="1"/>
        <v>0</v>
      </c>
      <c r="T18" s="36">
        <f t="shared" si="0"/>
        <v>1.7000000000000001E-3</v>
      </c>
      <c r="U18" s="36">
        <f t="shared" si="0"/>
        <v>1.6750000000000001E-3</v>
      </c>
      <c r="V18" s="36"/>
      <c r="W18" s="52" t="s">
        <v>19</v>
      </c>
      <c r="Y18" s="36">
        <v>458553.47</v>
      </c>
      <c r="Z18" s="36">
        <v>140733.82</v>
      </c>
      <c r="AA18" s="36">
        <v>328500.18</v>
      </c>
      <c r="AB18" s="36">
        <v>487437.67</v>
      </c>
      <c r="AC18" s="531">
        <v>549176.93000000005</v>
      </c>
      <c r="AE18" s="562" t="s">
        <v>19</v>
      </c>
      <c r="AH18" s="1">
        <v>1706</v>
      </c>
      <c r="AI18" s="1">
        <v>1731</v>
      </c>
      <c r="AJ18" s="1">
        <v>1753</v>
      </c>
      <c r="AK18" s="1">
        <v>1792</v>
      </c>
      <c r="AL18" s="1">
        <v>1802</v>
      </c>
      <c r="AM18" s="621">
        <v>1810</v>
      </c>
      <c r="AN18" s="621">
        <v>1823</v>
      </c>
      <c r="AO18" s="621">
        <v>1813</v>
      </c>
      <c r="AP18" s="626">
        <v>1825</v>
      </c>
    </row>
    <row r="19" spans="2:42" ht="15.75" x14ac:dyDescent="0.25">
      <c r="B19" s="52" t="s">
        <v>20</v>
      </c>
      <c r="C19" s="6"/>
      <c r="D19" s="6"/>
      <c r="E19" s="36">
        <v>1793</v>
      </c>
      <c r="F19" s="36">
        <v>2013</v>
      </c>
      <c r="G19" s="36">
        <v>2088</v>
      </c>
      <c r="H19" s="36">
        <v>1852</v>
      </c>
      <c r="I19" s="36">
        <v>2000</v>
      </c>
      <c r="J19" s="36"/>
      <c r="K19" s="52" t="s">
        <v>20</v>
      </c>
      <c r="L19" s="36"/>
      <c r="M19" s="36">
        <v>313.77499999999998</v>
      </c>
      <c r="N19" s="36">
        <v>352.27499999999998</v>
      </c>
      <c r="O19" s="36">
        <v>375.84</v>
      </c>
      <c r="P19" s="36">
        <v>333.36</v>
      </c>
      <c r="Q19" s="36">
        <v>360</v>
      </c>
      <c r="R19" s="36"/>
      <c r="S19" s="36">
        <f t="shared" si="1"/>
        <v>0</v>
      </c>
      <c r="T19" s="36">
        <f t="shared" si="0"/>
        <v>1.7499999999999998E-3</v>
      </c>
      <c r="U19" s="36">
        <f t="shared" si="0"/>
        <v>1.7499999999999998E-3</v>
      </c>
      <c r="V19" s="36"/>
      <c r="W19" s="52" t="s">
        <v>20</v>
      </c>
      <c r="Y19" s="36">
        <v>2267.88</v>
      </c>
      <c r="Z19" s="36">
        <v>769.29</v>
      </c>
      <c r="AA19" s="36">
        <v>1455.66</v>
      </c>
      <c r="AB19" s="36">
        <v>1226.75</v>
      </c>
      <c r="AC19" s="531">
        <v>4180.95</v>
      </c>
      <c r="AE19" s="562" t="s">
        <v>20</v>
      </c>
      <c r="AH19" s="1">
        <v>120</v>
      </c>
      <c r="AI19" s="1">
        <v>116</v>
      </c>
      <c r="AJ19" s="1">
        <v>115</v>
      </c>
      <c r="AK19" s="1">
        <v>125</v>
      </c>
      <c r="AL19" s="1">
        <v>119</v>
      </c>
      <c r="AM19" s="621">
        <v>103</v>
      </c>
      <c r="AN19" s="621">
        <v>101</v>
      </c>
      <c r="AO19" s="621">
        <v>100</v>
      </c>
      <c r="AP19" s="626">
        <v>101</v>
      </c>
    </row>
    <row r="20" spans="2:42" ht="15.75" x14ac:dyDescent="0.25">
      <c r="B20" s="52" t="s">
        <v>21</v>
      </c>
      <c r="C20" s="6"/>
      <c r="D20" s="6"/>
      <c r="E20" s="36">
        <v>15507</v>
      </c>
      <c r="F20" s="36">
        <v>16504</v>
      </c>
      <c r="G20" s="36">
        <v>17138</v>
      </c>
      <c r="H20" s="36">
        <v>17313</v>
      </c>
      <c r="I20" s="36">
        <v>18852</v>
      </c>
      <c r="J20" s="36"/>
      <c r="K20" s="52" t="s">
        <v>21</v>
      </c>
      <c r="L20" s="36"/>
      <c r="M20" s="36">
        <v>2868.7950000000001</v>
      </c>
      <c r="N20" s="36">
        <v>3053.24</v>
      </c>
      <c r="O20" s="36">
        <v>3170.53</v>
      </c>
      <c r="P20" s="36">
        <v>3289.47</v>
      </c>
      <c r="Q20" s="36">
        <v>3581.88</v>
      </c>
      <c r="R20" s="36"/>
      <c r="S20" s="36">
        <f t="shared" si="1"/>
        <v>0</v>
      </c>
      <c r="T20" s="36">
        <f t="shared" si="0"/>
        <v>1.8500000000000001E-3</v>
      </c>
      <c r="U20" s="36">
        <f t="shared" si="0"/>
        <v>1.8500000000000001E-3</v>
      </c>
      <c r="V20" s="36"/>
      <c r="W20" s="52" t="s">
        <v>21</v>
      </c>
      <c r="Y20" s="36">
        <v>16178.12</v>
      </c>
      <c r="Z20" s="36">
        <v>7874.2300000000005</v>
      </c>
      <c r="AA20" s="36">
        <v>12805.48</v>
      </c>
      <c r="AB20" s="36">
        <v>8951.25</v>
      </c>
      <c r="AC20" s="531">
        <v>9650.2999999999993</v>
      </c>
      <c r="AE20" s="562" t="s">
        <v>21</v>
      </c>
      <c r="AH20" s="1">
        <v>1033</v>
      </c>
      <c r="AI20" s="1">
        <v>1052</v>
      </c>
      <c r="AJ20" s="1">
        <v>1031</v>
      </c>
      <c r="AK20" s="1">
        <v>1032</v>
      </c>
      <c r="AL20" s="1">
        <v>1019</v>
      </c>
      <c r="AM20" s="621">
        <v>1032</v>
      </c>
      <c r="AN20" s="621">
        <v>1035</v>
      </c>
      <c r="AO20" s="621">
        <v>1029</v>
      </c>
      <c r="AP20" s="626">
        <v>1035</v>
      </c>
    </row>
    <row r="21" spans="2:42" ht="15.75" x14ac:dyDescent="0.25">
      <c r="B21" s="52" t="s">
        <v>22</v>
      </c>
      <c r="C21" s="6"/>
      <c r="D21" s="6"/>
      <c r="E21" s="36">
        <v>5777</v>
      </c>
      <c r="F21" s="36">
        <v>6371</v>
      </c>
      <c r="G21" s="36">
        <v>6709</v>
      </c>
      <c r="H21" s="36">
        <v>6603</v>
      </c>
      <c r="I21" s="36">
        <v>6947</v>
      </c>
      <c r="J21" s="36"/>
      <c r="K21" s="52" t="s">
        <v>22</v>
      </c>
      <c r="L21" s="36"/>
      <c r="M21" s="36">
        <v>1010.975</v>
      </c>
      <c r="N21" s="36">
        <v>1114.925</v>
      </c>
      <c r="O21" s="36">
        <v>1174.075</v>
      </c>
      <c r="P21" s="36">
        <v>1188.54</v>
      </c>
      <c r="Q21" s="36">
        <v>1250.46</v>
      </c>
      <c r="R21" s="36"/>
      <c r="S21" s="36">
        <f t="shared" si="1"/>
        <v>0</v>
      </c>
      <c r="T21" s="36">
        <f t="shared" si="0"/>
        <v>1.7499999999999998E-3</v>
      </c>
      <c r="U21" s="36">
        <f t="shared" si="0"/>
        <v>1.7499999999999998E-3</v>
      </c>
      <c r="V21" s="36"/>
      <c r="W21" s="52" t="s">
        <v>22</v>
      </c>
      <c r="Y21" s="36">
        <v>7581.48</v>
      </c>
      <c r="Z21" s="36">
        <v>3209.87</v>
      </c>
      <c r="AA21" s="36">
        <v>6135.26</v>
      </c>
      <c r="AB21" s="36">
        <v>4266.38</v>
      </c>
      <c r="AC21" s="531">
        <v>4220.3900000000003</v>
      </c>
      <c r="AE21" s="562" t="s">
        <v>22</v>
      </c>
      <c r="AH21" s="1">
        <v>434</v>
      </c>
      <c r="AI21" s="1">
        <v>444</v>
      </c>
      <c r="AJ21" s="1">
        <v>449</v>
      </c>
      <c r="AK21" s="1">
        <v>445</v>
      </c>
      <c r="AL21" s="1">
        <v>452</v>
      </c>
      <c r="AM21" s="621">
        <v>449</v>
      </c>
      <c r="AN21" s="621">
        <v>422</v>
      </c>
      <c r="AO21" s="621">
        <v>433</v>
      </c>
      <c r="AP21" s="626">
        <v>439</v>
      </c>
    </row>
    <row r="22" spans="2:42" ht="16.5" thickBot="1" x14ac:dyDescent="0.3">
      <c r="B22" s="504" t="s">
        <v>23</v>
      </c>
      <c r="C22" s="282"/>
      <c r="D22" s="282"/>
      <c r="E22" s="506">
        <v>210939</v>
      </c>
      <c r="F22" s="506">
        <v>224602</v>
      </c>
      <c r="G22" s="506">
        <v>234491</v>
      </c>
      <c r="H22" s="506">
        <v>242628</v>
      </c>
      <c r="I22" s="506">
        <v>253690</v>
      </c>
      <c r="J22" s="36"/>
      <c r="K22" s="504" t="s">
        <v>23</v>
      </c>
      <c r="L22" s="506"/>
      <c r="M22" s="506">
        <v>34804.934999999998</v>
      </c>
      <c r="N22" s="506">
        <v>37059.33</v>
      </c>
      <c r="O22" s="506">
        <v>38691.014999999999</v>
      </c>
      <c r="P22" s="506">
        <v>40033.620000000003</v>
      </c>
      <c r="Q22" s="506">
        <v>41858.85</v>
      </c>
      <c r="R22" s="506"/>
      <c r="S22" s="36">
        <f t="shared" si="1"/>
        <v>0</v>
      </c>
      <c r="T22" s="36">
        <f t="shared" si="0"/>
        <v>1.6000000000000001E-3</v>
      </c>
      <c r="U22" s="36">
        <f t="shared" si="0"/>
        <v>1.6000000000000001E-3</v>
      </c>
      <c r="V22" s="36"/>
      <c r="W22" s="52" t="s">
        <v>23</v>
      </c>
      <c r="Y22" s="36">
        <v>9243461.9199999999</v>
      </c>
      <c r="Z22" s="36">
        <v>4265635.5199999996</v>
      </c>
      <c r="AA22" s="36">
        <v>9804634.3300000001</v>
      </c>
      <c r="AB22" s="36">
        <v>8985874.8000000007</v>
      </c>
      <c r="AC22" s="531">
        <v>7442181.0700000003</v>
      </c>
      <c r="AE22" s="593" t="s">
        <v>23</v>
      </c>
      <c r="AH22" s="1">
        <v>10824</v>
      </c>
      <c r="AI22" s="1">
        <v>10902</v>
      </c>
      <c r="AJ22" s="1">
        <v>11005</v>
      </c>
      <c r="AK22" s="1">
        <v>11123</v>
      </c>
      <c r="AL22" s="1">
        <v>11190</v>
      </c>
      <c r="AM22" s="622">
        <v>11263</v>
      </c>
      <c r="AN22" s="622">
        <v>11346</v>
      </c>
      <c r="AO22" s="622">
        <v>11393</v>
      </c>
      <c r="AP22" s="627">
        <v>11480</v>
      </c>
    </row>
    <row r="23" spans="2:42" ht="19.5" thickBot="1" x14ac:dyDescent="0.35">
      <c r="B23" s="493" t="s">
        <v>81</v>
      </c>
      <c r="C23" s="494"/>
      <c r="D23" s="494"/>
      <c r="E23" s="511">
        <v>463949</v>
      </c>
      <c r="F23" s="511">
        <v>499518</v>
      </c>
      <c r="G23" s="511">
        <v>526014</v>
      </c>
      <c r="H23" s="511">
        <v>545852</v>
      </c>
      <c r="I23" s="511">
        <v>574772</v>
      </c>
      <c r="J23" s="222"/>
      <c r="K23" s="435" t="s">
        <v>81</v>
      </c>
      <c r="L23" s="511"/>
      <c r="M23" s="511">
        <v>79130.877499999988</v>
      </c>
      <c r="N23" s="511">
        <v>85134.465000000011</v>
      </c>
      <c r="O23" s="511">
        <v>89583.102499999994</v>
      </c>
      <c r="P23" s="511">
        <v>93001.247499999998</v>
      </c>
      <c r="Q23" s="511">
        <v>97919.450000000012</v>
      </c>
      <c r="R23" s="511"/>
      <c r="S23" s="36">
        <f t="shared" si="1"/>
        <v>0</v>
      </c>
      <c r="T23" s="36">
        <f t="shared" ref="T23" si="2">L44/100</f>
        <v>1.6807932304608454E-3</v>
      </c>
      <c r="U23" s="36">
        <f t="shared" ref="U23" si="3">M44/100</f>
        <v>1.6783858188705609E-3</v>
      </c>
      <c r="V23" s="222"/>
      <c r="W23" s="493" t="s">
        <v>247</v>
      </c>
      <c r="X23" s="421"/>
      <c r="Y23" s="510">
        <v>11376939.58</v>
      </c>
      <c r="Z23" s="511">
        <v>5226942.7899999991</v>
      </c>
      <c r="AA23" s="510">
        <v>11770504.43</v>
      </c>
      <c r="AB23" s="511">
        <v>11050790.76</v>
      </c>
      <c r="AC23" s="539">
        <v>9389914.2699999996</v>
      </c>
      <c r="AE23" s="594" t="s">
        <v>24</v>
      </c>
      <c r="AH23" s="1">
        <v>26923</v>
      </c>
      <c r="AI23" s="1">
        <v>27153</v>
      </c>
      <c r="AJ23" s="623">
        <v>27456</v>
      </c>
      <c r="AK23" s="623">
        <v>27734</v>
      </c>
      <c r="AL23" s="623">
        <v>28007</v>
      </c>
      <c r="AM23" s="623">
        <v>28355</v>
      </c>
      <c r="AN23" s="623">
        <v>28502</v>
      </c>
      <c r="AO23" s="623">
        <v>28666</v>
      </c>
      <c r="AP23" s="624">
        <v>28916</v>
      </c>
    </row>
    <row r="24" spans="2:42" x14ac:dyDescent="0.2">
      <c r="J24" s="9"/>
      <c r="K24" s="9"/>
      <c r="L24" s="9"/>
    </row>
    <row r="25" spans="2:42" x14ac:dyDescent="0.2">
      <c r="W25" s="1" t="s">
        <v>454</v>
      </c>
    </row>
    <row r="26" spans="2:42" ht="15.75" thickBot="1" x14ac:dyDescent="0.25">
      <c r="U26" s="1" t="s">
        <v>398</v>
      </c>
      <c r="W26" s="1" t="s">
        <v>787</v>
      </c>
      <c r="AH26" s="1" t="s">
        <v>397</v>
      </c>
    </row>
    <row r="27" spans="2:42" ht="16.5" thickBot="1" x14ac:dyDescent="0.3">
      <c r="B27" s="493" t="s">
        <v>243</v>
      </c>
      <c r="C27" s="493">
        <v>2007</v>
      </c>
      <c r="D27" s="493">
        <v>2008</v>
      </c>
      <c r="E27" s="493">
        <v>2009</v>
      </c>
      <c r="F27" s="494">
        <v>2010</v>
      </c>
      <c r="G27" s="495">
        <v>2011</v>
      </c>
      <c r="H27" s="496" t="s">
        <v>244</v>
      </c>
      <c r="J27" s="493" t="s">
        <v>246</v>
      </c>
      <c r="K27" s="494"/>
      <c r="L27" s="494">
        <v>2007</v>
      </c>
      <c r="M27" s="493">
        <v>2008</v>
      </c>
      <c r="N27" s="493">
        <v>2009</v>
      </c>
      <c r="O27" s="494">
        <v>2010</v>
      </c>
      <c r="P27" s="495">
        <v>2011</v>
      </c>
      <c r="Q27" s="435" t="s">
        <v>244</v>
      </c>
      <c r="S27" s="435" t="s">
        <v>376</v>
      </c>
      <c r="U27" s="435" t="s">
        <v>392</v>
      </c>
      <c r="W27" s="493" t="s">
        <v>393</v>
      </c>
      <c r="X27" s="494"/>
      <c r="Y27" s="494">
        <v>2007</v>
      </c>
      <c r="Z27" s="493">
        <v>2008</v>
      </c>
      <c r="AA27" s="494">
        <v>2009</v>
      </c>
      <c r="AB27" s="494">
        <v>2010</v>
      </c>
      <c r="AC27" s="495">
        <v>2011</v>
      </c>
      <c r="AD27" s="6"/>
      <c r="AE27" s="493"/>
      <c r="AF27" s="493">
        <v>2007</v>
      </c>
      <c r="AG27" s="493">
        <v>2008</v>
      </c>
      <c r="AH27" s="493">
        <v>2009</v>
      </c>
      <c r="AI27" s="738">
        <v>2010</v>
      </c>
      <c r="AJ27" s="495">
        <v>2011</v>
      </c>
      <c r="AK27" s="496" t="s">
        <v>394</v>
      </c>
    </row>
    <row r="28" spans="2:42" ht="16.5" thickBot="1" x14ac:dyDescent="0.3">
      <c r="B28" s="496" t="s">
        <v>8</v>
      </c>
      <c r="C28" s="497">
        <v>12536.4125</v>
      </c>
      <c r="D28" s="498">
        <v>14231.546943483279</v>
      </c>
      <c r="E28" s="497">
        <v>13959.140018169432</v>
      </c>
      <c r="F28" s="498">
        <v>14613.715922513582</v>
      </c>
      <c r="G28" s="525">
        <v>14440.050385728064</v>
      </c>
      <c r="H28" s="526">
        <f>AVERAGE(C28:G28)</f>
        <v>13956.173153978871</v>
      </c>
      <c r="J28" s="52" t="s">
        <v>8</v>
      </c>
      <c r="K28" s="534"/>
      <c r="L28" s="534">
        <v>0.18</v>
      </c>
      <c r="M28" s="535">
        <v>0.17</v>
      </c>
      <c r="N28" s="534">
        <v>0.17</v>
      </c>
      <c r="O28" s="534">
        <v>0.17</v>
      </c>
      <c r="P28" s="535">
        <v>0.17</v>
      </c>
      <c r="Q28" s="536">
        <f>AVERAGE(L28:P28)</f>
        <v>0.17200000000000001</v>
      </c>
      <c r="S28" s="496">
        <v>480</v>
      </c>
      <c r="U28" s="563">
        <f>AK28</f>
        <v>889.70858386766099</v>
      </c>
      <c r="V28" s="563">
        <v>1220.7175080804395</v>
      </c>
      <c r="W28" s="52" t="s">
        <v>8</v>
      </c>
      <c r="Y28" s="36">
        <f>Y7/AH7</f>
        <v>96.953615384615375</v>
      </c>
      <c r="Z28" s="36">
        <f t="shared" ref="Z28:AC43" si="4">Z7/AI7</f>
        <v>58.882215686274513</v>
      </c>
      <c r="AA28" s="36">
        <f t="shared" si="4"/>
        <v>156.99081081081081</v>
      </c>
      <c r="AB28" s="36">
        <f t="shared" si="4"/>
        <v>204.82552208835341</v>
      </c>
      <c r="AC28" s="36">
        <f t="shared" si="4"/>
        <v>238.08030737704919</v>
      </c>
      <c r="AD28" s="222"/>
      <c r="AF28" s="497">
        <f>Y28/$L$44</f>
        <v>576.83249567843825</v>
      </c>
      <c r="AG28" s="497">
        <f>Z28/$M$44</f>
        <v>350.82646090216747</v>
      </c>
      <c r="AH28" s="497">
        <f t="shared" ref="AH28:AH44" si="5">AA28/$N$44</f>
        <v>920.66715646038142</v>
      </c>
      <c r="AI28" s="739">
        <f t="shared" ref="AI28:AI44" si="6">AB28/$O$44</f>
        <v>1202.1823116263706</v>
      </c>
      <c r="AJ28" s="498">
        <f t="shared" ref="AJ28:AJ44" si="7">AC28/$P$44</f>
        <v>1398.0344946709474</v>
      </c>
      <c r="AK28" s="563">
        <f>AVERAGE(AF28:AJ28)</f>
        <v>889.70858386766099</v>
      </c>
    </row>
    <row r="29" spans="2:42" ht="16.5" thickBot="1" x14ac:dyDescent="0.3">
      <c r="B29" s="52" t="s">
        <v>9</v>
      </c>
      <c r="C29" s="502">
        <v>10911.98792010525</v>
      </c>
      <c r="D29" s="36">
        <v>11896.78072709763</v>
      </c>
      <c r="E29" s="502">
        <v>11891.150833667991</v>
      </c>
      <c r="F29" s="36">
        <v>12881.417600664177</v>
      </c>
      <c r="G29" s="531">
        <v>13275.795569694827</v>
      </c>
      <c r="H29" s="526">
        <f t="shared" ref="H29:H44" si="8">AVERAGE(C29:G29)</f>
        <v>12171.426530245975</v>
      </c>
      <c r="J29" s="52" t="s">
        <v>9</v>
      </c>
      <c r="K29" s="534"/>
      <c r="L29" s="534">
        <v>0.18</v>
      </c>
      <c r="M29" s="535">
        <v>0.18</v>
      </c>
      <c r="N29" s="534">
        <v>0.1825</v>
      </c>
      <c r="O29" s="534">
        <v>0.1825</v>
      </c>
      <c r="P29" s="535">
        <v>0.18</v>
      </c>
      <c r="Q29" s="536">
        <f t="shared" ref="Q29:Q44" si="9">AVERAGE(L29:P29)</f>
        <v>0.18099999999999999</v>
      </c>
      <c r="S29" s="52">
        <v>978</v>
      </c>
      <c r="U29" s="563">
        <f t="shared" ref="U29:U44" si="10">AK29</f>
        <v>1253.0828263371138</v>
      </c>
      <c r="V29" s="570">
        <v>1009.8097515499918</v>
      </c>
      <c r="W29" s="52" t="s">
        <v>9</v>
      </c>
      <c r="Y29" s="36">
        <f t="shared" ref="Y29:Y44" si="11">Y8/AH8</f>
        <v>368.93186221743809</v>
      </c>
      <c r="Z29" s="36">
        <f t="shared" si="4"/>
        <v>146.2441928494041</v>
      </c>
      <c r="AA29" s="36">
        <f t="shared" si="4"/>
        <v>229.37160694896852</v>
      </c>
      <c r="AB29" s="36">
        <f t="shared" si="4"/>
        <v>218.49793290043289</v>
      </c>
      <c r="AC29" s="36">
        <f t="shared" si="4"/>
        <v>97.327412513255567</v>
      </c>
      <c r="AD29" s="222"/>
      <c r="AF29" s="497">
        <f t="shared" ref="AF29:AF44" si="12">Y29/$L$44</f>
        <v>2194.9866023453887</v>
      </c>
      <c r="AG29" s="497">
        <f t="shared" ref="AG29:AG44" si="13">Z29/$M$44</f>
        <v>871.33834905621677</v>
      </c>
      <c r="AH29" s="497">
        <f t="shared" si="5"/>
        <v>1345.1418210518157</v>
      </c>
      <c r="AI29" s="739">
        <f t="shared" si="6"/>
        <v>1282.429784050637</v>
      </c>
      <c r="AJ29" s="498">
        <f t="shared" si="7"/>
        <v>571.51757518151157</v>
      </c>
      <c r="AK29" s="563">
        <f t="shared" ref="AK29:AK44" si="14">AVERAGE(AF29:AJ29)</f>
        <v>1253.0828263371138</v>
      </c>
    </row>
    <row r="30" spans="2:42" ht="16.5" thickBot="1" x14ac:dyDescent="0.3">
      <c r="B30" s="52" t="s">
        <v>10</v>
      </c>
      <c r="C30" s="502">
        <v>13192.521415228608</v>
      </c>
      <c r="D30" s="36">
        <v>14016.626274626276</v>
      </c>
      <c r="E30" s="502">
        <v>14001.245742846228</v>
      </c>
      <c r="F30" s="36">
        <v>14859.903521257504</v>
      </c>
      <c r="G30" s="531">
        <v>15019.080919879481</v>
      </c>
      <c r="H30" s="526">
        <f t="shared" si="8"/>
        <v>14217.875574767619</v>
      </c>
      <c r="J30" s="52" t="s">
        <v>10</v>
      </c>
      <c r="K30" s="534"/>
      <c r="L30" s="534">
        <v>0.1825</v>
      </c>
      <c r="M30" s="535">
        <v>0.185</v>
      </c>
      <c r="N30" s="534">
        <v>0.19500000000000001</v>
      </c>
      <c r="O30" s="534">
        <v>0.19500000000000001</v>
      </c>
      <c r="P30" s="535">
        <v>0.19500000000000001</v>
      </c>
      <c r="Q30" s="536">
        <f t="shared" si="9"/>
        <v>0.19050000000000003</v>
      </c>
      <c r="S30" s="52">
        <v>2527</v>
      </c>
      <c r="U30" s="563">
        <f t="shared" si="10"/>
        <v>406.37036194668195</v>
      </c>
      <c r="V30" s="570">
        <v>396.0329052466987</v>
      </c>
      <c r="W30" s="52" t="s">
        <v>10</v>
      </c>
      <c r="Y30" s="36">
        <f t="shared" si="11"/>
        <v>92.379224837662335</v>
      </c>
      <c r="Z30" s="36">
        <f t="shared" si="4"/>
        <v>46.271294261294258</v>
      </c>
      <c r="AA30" s="36">
        <f t="shared" si="4"/>
        <v>90.626910994764401</v>
      </c>
      <c r="AB30" s="36">
        <f t="shared" si="4"/>
        <v>67.659778761061943</v>
      </c>
      <c r="AC30" s="36">
        <f t="shared" si="4"/>
        <v>47.334212629896079</v>
      </c>
      <c r="AD30" s="222"/>
      <c r="AF30" s="497">
        <f t="shared" si="12"/>
        <v>549.61683069328819</v>
      </c>
      <c r="AG30" s="497">
        <f t="shared" si="13"/>
        <v>275.68925893589642</v>
      </c>
      <c r="AH30" s="497">
        <f t="shared" si="5"/>
        <v>531.47837133529924</v>
      </c>
      <c r="AI30" s="739">
        <f t="shared" si="6"/>
        <v>397.11549813609531</v>
      </c>
      <c r="AJ30" s="498">
        <f t="shared" si="7"/>
        <v>277.95185063283049</v>
      </c>
      <c r="AK30" s="563">
        <f t="shared" si="14"/>
        <v>406.37036194668195</v>
      </c>
    </row>
    <row r="31" spans="2:42" ht="16.5" thickBot="1" x14ac:dyDescent="0.3">
      <c r="B31" s="52" t="s">
        <v>11</v>
      </c>
      <c r="C31" s="502">
        <v>12734.364241751589</v>
      </c>
      <c r="D31" s="36">
        <v>13315.306650495248</v>
      </c>
      <c r="E31" s="502">
        <v>12952.965890522877</v>
      </c>
      <c r="F31" s="36">
        <v>14112.415854042152</v>
      </c>
      <c r="G31" s="531">
        <v>14600.60539730135</v>
      </c>
      <c r="H31" s="526">
        <f t="shared" si="8"/>
        <v>13543.131606822644</v>
      </c>
      <c r="J31" s="52" t="s">
        <v>11</v>
      </c>
      <c r="K31" s="534"/>
      <c r="L31" s="534">
        <v>0.17</v>
      </c>
      <c r="M31" s="535">
        <v>0.17</v>
      </c>
      <c r="N31" s="534">
        <v>0.17</v>
      </c>
      <c r="O31" s="534">
        <v>0.17</v>
      </c>
      <c r="P31" s="535">
        <v>0.17249999999999999</v>
      </c>
      <c r="Q31" s="536">
        <f t="shared" si="9"/>
        <v>0.17050000000000001</v>
      </c>
      <c r="S31" s="52">
        <v>577</v>
      </c>
      <c r="U31" s="563">
        <f t="shared" si="10"/>
        <v>1706.1871917803448</v>
      </c>
      <c r="V31" s="570">
        <v>1756.3344011842396</v>
      </c>
      <c r="W31" s="52" t="s">
        <v>11</v>
      </c>
      <c r="Y31" s="36">
        <f t="shared" si="11"/>
        <v>326.75838765008581</v>
      </c>
      <c r="Z31" s="36">
        <f t="shared" si="4"/>
        <v>212.70396907216497</v>
      </c>
      <c r="AA31" s="36">
        <f t="shared" si="4"/>
        <v>400.32322916666664</v>
      </c>
      <c r="AB31" s="36">
        <f t="shared" si="4"/>
        <v>320.43511586452763</v>
      </c>
      <c r="AC31" s="36">
        <f t="shared" si="4"/>
        <v>185.81717241379312</v>
      </c>
      <c r="AD31" s="222"/>
      <c r="AF31" s="497">
        <f t="shared" si="12"/>
        <v>1944.0724874914813</v>
      </c>
      <c r="AG31" s="497">
        <f t="shared" si="13"/>
        <v>1267.3127160672761</v>
      </c>
      <c r="AH31" s="497">
        <f t="shared" si="5"/>
        <v>2347.6816710378585</v>
      </c>
      <c r="AI31" s="739">
        <f t="shared" si="6"/>
        <v>1880.7296297290181</v>
      </c>
      <c r="AJ31" s="498">
        <f t="shared" si="7"/>
        <v>1091.1394545760911</v>
      </c>
      <c r="AK31" s="563">
        <f t="shared" si="14"/>
        <v>1706.1871917803448</v>
      </c>
    </row>
    <row r="32" spans="2:42" ht="16.5" thickBot="1" x14ac:dyDescent="0.3">
      <c r="B32" s="52" t="s">
        <v>12</v>
      </c>
      <c r="C32" s="502">
        <v>9359.9543918918916</v>
      </c>
      <c r="D32" s="36">
        <v>10261.966322982125</v>
      </c>
      <c r="E32" s="502">
        <v>9967.0318871503096</v>
      </c>
      <c r="F32" s="36">
        <v>10696.366077236977</v>
      </c>
      <c r="G32" s="531">
        <v>11655.825055596739</v>
      </c>
      <c r="H32" s="526">
        <f t="shared" si="8"/>
        <v>10388.228746971608</v>
      </c>
      <c r="J32" s="52" t="s">
        <v>12</v>
      </c>
      <c r="K32" s="534"/>
      <c r="L32" s="534">
        <v>0.185</v>
      </c>
      <c r="M32" s="535">
        <v>0.185</v>
      </c>
      <c r="N32" s="534">
        <v>0.185</v>
      </c>
      <c r="O32" s="534">
        <v>0.185</v>
      </c>
      <c r="P32" s="535">
        <v>0.17749999999999999</v>
      </c>
      <c r="Q32" s="536">
        <f t="shared" si="9"/>
        <v>0.1835</v>
      </c>
      <c r="S32" s="52">
        <v>492</v>
      </c>
      <c r="U32" s="563">
        <f t="shared" si="10"/>
        <v>68.417188094891358</v>
      </c>
      <c r="V32" s="570">
        <v>74.110662924695703</v>
      </c>
      <c r="W32" s="52" t="s">
        <v>12</v>
      </c>
      <c r="Y32" s="36">
        <f t="shared" si="11"/>
        <v>12.061584821428571</v>
      </c>
      <c r="Z32" s="36">
        <f t="shared" si="4"/>
        <v>5.6425056433408578</v>
      </c>
      <c r="AA32" s="36">
        <f t="shared" si="4"/>
        <v>10.599912280701755</v>
      </c>
      <c r="AB32" s="36">
        <f t="shared" si="4"/>
        <v>17.671356673960613</v>
      </c>
      <c r="AC32" s="36">
        <f t="shared" si="4"/>
        <v>12.061199999999999</v>
      </c>
      <c r="AD32" s="222"/>
      <c r="AF32" s="497">
        <f t="shared" si="12"/>
        <v>71.761264876831319</v>
      </c>
      <c r="AG32" s="497">
        <f t="shared" si="13"/>
        <v>33.61864465190655</v>
      </c>
      <c r="AH32" s="497">
        <f t="shared" si="5"/>
        <v>62.162817350906572</v>
      </c>
      <c r="AI32" s="739">
        <f t="shared" si="6"/>
        <v>103.71848292768993</v>
      </c>
      <c r="AJ32" s="498">
        <f t="shared" si="7"/>
        <v>70.824730667122424</v>
      </c>
      <c r="AK32" s="563">
        <f t="shared" si="14"/>
        <v>68.417188094891358</v>
      </c>
    </row>
    <row r="33" spans="2:37" ht="16.5" thickBot="1" x14ac:dyDescent="0.3">
      <c r="B33" s="52" t="s">
        <v>13</v>
      </c>
      <c r="C33" s="502">
        <v>12796.554255714935</v>
      </c>
      <c r="D33" s="36">
        <v>13408.19179732026</v>
      </c>
      <c r="E33" s="502">
        <v>13064.885942760942</v>
      </c>
      <c r="F33" s="36">
        <v>13975.399407609933</v>
      </c>
      <c r="G33" s="531">
        <v>14050.480548187446</v>
      </c>
      <c r="H33" s="526">
        <f t="shared" si="8"/>
        <v>13459.102390318705</v>
      </c>
      <c r="J33" s="52" t="s">
        <v>13</v>
      </c>
      <c r="K33" s="534"/>
      <c r="L33" s="534">
        <v>0.17</v>
      </c>
      <c r="M33" s="535">
        <v>0.16500000000000001</v>
      </c>
      <c r="N33" s="534">
        <v>0.16500000000000001</v>
      </c>
      <c r="O33" s="534">
        <v>0.16500000000000001</v>
      </c>
      <c r="P33" s="535">
        <v>0.16500000000000001</v>
      </c>
      <c r="Q33" s="536">
        <f t="shared" si="9"/>
        <v>0.16600000000000001</v>
      </c>
      <c r="S33" s="52">
        <v>1526</v>
      </c>
      <c r="U33" s="563">
        <f t="shared" si="10"/>
        <v>266.70974715586237</v>
      </c>
      <c r="V33" s="570">
        <v>282.88333209936775</v>
      </c>
      <c r="W33" s="52" t="s">
        <v>13</v>
      </c>
      <c r="Y33" s="36">
        <f t="shared" si="11"/>
        <v>54.303260716795499</v>
      </c>
      <c r="Z33" s="36">
        <f t="shared" si="4"/>
        <v>22.370645848119231</v>
      </c>
      <c r="AA33" s="36">
        <f t="shared" si="4"/>
        <v>42.540645833333329</v>
      </c>
      <c r="AB33" s="36">
        <f t="shared" si="4"/>
        <v>40.831729323308274</v>
      </c>
      <c r="AC33" s="36">
        <f t="shared" si="4"/>
        <v>66.083388594164461</v>
      </c>
      <c r="AD33" s="222"/>
      <c r="AF33" s="497">
        <f t="shared" si="12"/>
        <v>323.08114842839092</v>
      </c>
      <c r="AG33" s="497">
        <f t="shared" si="13"/>
        <v>133.28667101806872</v>
      </c>
      <c r="AH33" s="497">
        <f t="shared" si="5"/>
        <v>249.47813971457052</v>
      </c>
      <c r="AI33" s="739">
        <f t="shared" si="6"/>
        <v>239.653643965437</v>
      </c>
      <c r="AJ33" s="498">
        <f t="shared" si="7"/>
        <v>388.04913265284455</v>
      </c>
      <c r="AK33" s="563">
        <f t="shared" si="14"/>
        <v>266.70974715586237</v>
      </c>
    </row>
    <row r="34" spans="2:37" ht="16.5" thickBot="1" x14ac:dyDescent="0.3">
      <c r="B34" s="52" t="s">
        <v>14</v>
      </c>
      <c r="C34" s="502">
        <v>13829.65444387362</v>
      </c>
      <c r="D34" s="36">
        <v>15005.928504629197</v>
      </c>
      <c r="E34" s="502">
        <v>15106.831383561846</v>
      </c>
      <c r="F34" s="36">
        <v>16073.146181296985</v>
      </c>
      <c r="G34" s="531">
        <v>16800.346194700429</v>
      </c>
      <c r="H34" s="526">
        <f t="shared" si="8"/>
        <v>15363.181341612415</v>
      </c>
      <c r="J34" s="52" t="s">
        <v>14</v>
      </c>
      <c r="K34" s="534"/>
      <c r="L34" s="534">
        <v>0.17</v>
      </c>
      <c r="M34" s="535">
        <v>0.17</v>
      </c>
      <c r="N34" s="534">
        <v>0.17</v>
      </c>
      <c r="O34" s="534">
        <v>0.17</v>
      </c>
      <c r="P34" s="535">
        <v>0.17</v>
      </c>
      <c r="Q34" s="536">
        <f t="shared" si="9"/>
        <v>0.17</v>
      </c>
      <c r="S34" s="52">
        <v>4249</v>
      </c>
      <c r="U34" s="563">
        <f t="shared" si="10"/>
        <v>895.32319426561628</v>
      </c>
      <c r="V34" s="570">
        <v>937.27473349031652</v>
      </c>
      <c r="W34" s="52" t="s">
        <v>14</v>
      </c>
      <c r="Y34" s="36">
        <f t="shared" si="11"/>
        <v>171.54990447598252</v>
      </c>
      <c r="Z34" s="36">
        <f t="shared" si="4"/>
        <v>80.518476417594059</v>
      </c>
      <c r="AA34" s="36">
        <f t="shared" si="4"/>
        <v>163.50435537401074</v>
      </c>
      <c r="AB34" s="36">
        <f t="shared" si="4"/>
        <v>169.46895822973644</v>
      </c>
      <c r="AC34" s="36">
        <f t="shared" si="4"/>
        <v>174.16221815519765</v>
      </c>
      <c r="AD34" s="222"/>
      <c r="AF34" s="497">
        <f t="shared" si="12"/>
        <v>1020.6484733934013</v>
      </c>
      <c r="AG34" s="497">
        <f t="shared" si="13"/>
        <v>479.7375878198107</v>
      </c>
      <c r="AH34" s="497">
        <f t="shared" si="5"/>
        <v>958.86561228405378</v>
      </c>
      <c r="AI34" s="739">
        <f t="shared" si="6"/>
        <v>994.66405297702806</v>
      </c>
      <c r="AJ34" s="498">
        <f t="shared" si="7"/>
        <v>1022.7002448537869</v>
      </c>
      <c r="AK34" s="563">
        <f t="shared" si="14"/>
        <v>895.32319426561628</v>
      </c>
    </row>
    <row r="35" spans="2:37" ht="16.5" thickBot="1" x14ac:dyDescent="0.3">
      <c r="B35" s="52" t="s">
        <v>15</v>
      </c>
      <c r="C35" s="502">
        <v>13852.196040051193</v>
      </c>
      <c r="D35" s="36">
        <v>14451.899424014175</v>
      </c>
      <c r="E35" s="502">
        <v>14824.090840840841</v>
      </c>
      <c r="F35" s="36">
        <v>15029.913978494626</v>
      </c>
      <c r="G35" s="531">
        <v>14831.871398871399</v>
      </c>
      <c r="H35" s="526">
        <f t="shared" si="8"/>
        <v>14597.994336454445</v>
      </c>
      <c r="J35" s="52" t="s">
        <v>15</v>
      </c>
      <c r="K35" s="534"/>
      <c r="L35" s="534">
        <v>0.185</v>
      </c>
      <c r="M35" s="535">
        <v>0.185</v>
      </c>
      <c r="N35" s="534">
        <v>0.185</v>
      </c>
      <c r="O35" s="534">
        <v>0.185</v>
      </c>
      <c r="P35" s="535">
        <v>0.185</v>
      </c>
      <c r="Q35" s="536">
        <f t="shared" si="9"/>
        <v>0.185</v>
      </c>
      <c r="S35" s="52">
        <v>361</v>
      </c>
      <c r="U35" s="563">
        <f t="shared" si="10"/>
        <v>318.75249091279085</v>
      </c>
      <c r="V35" s="570">
        <v>368.17461631525464</v>
      </c>
      <c r="W35" s="52" t="s">
        <v>15</v>
      </c>
      <c r="Y35" s="36">
        <f t="shared" si="11"/>
        <v>50.435348189415045</v>
      </c>
      <c r="Z35" s="36">
        <f t="shared" si="4"/>
        <v>33.747650273224039</v>
      </c>
      <c r="AA35" s="36">
        <f t="shared" si="4"/>
        <v>86.823805555555552</v>
      </c>
      <c r="AB35" s="36">
        <f t="shared" si="4"/>
        <v>65.074301075268821</v>
      </c>
      <c r="AC35" s="36">
        <f t="shared" si="4"/>
        <v>34.315741758241757</v>
      </c>
      <c r="AD35" s="222"/>
      <c r="AF35" s="497">
        <f t="shared" si="12"/>
        <v>300.06872514346406</v>
      </c>
      <c r="AG35" s="497">
        <f t="shared" si="13"/>
        <v>201.07206515802133</v>
      </c>
      <c r="AH35" s="497">
        <f t="shared" si="5"/>
        <v>509.17519159916208</v>
      </c>
      <c r="AI35" s="739">
        <f t="shared" si="6"/>
        <v>381.94055553482895</v>
      </c>
      <c r="AJ35" s="498">
        <f t="shared" si="7"/>
        <v>201.50591712847799</v>
      </c>
      <c r="AK35" s="563">
        <f t="shared" si="14"/>
        <v>318.75249091279085</v>
      </c>
    </row>
    <row r="36" spans="2:37" ht="16.5" thickBot="1" x14ac:dyDescent="0.3">
      <c r="B36" s="52" t="s">
        <v>16</v>
      </c>
      <c r="C36" s="502">
        <v>11674.69671685108</v>
      </c>
      <c r="D36" s="36">
        <v>12243.100114198707</v>
      </c>
      <c r="E36" s="502">
        <v>11961.263255622038</v>
      </c>
      <c r="F36" s="36">
        <v>13401.663042352699</v>
      </c>
      <c r="G36" s="531">
        <v>13502.271105081914</v>
      </c>
      <c r="H36" s="526">
        <f t="shared" si="8"/>
        <v>12556.598846821287</v>
      </c>
      <c r="J36" s="52" t="s">
        <v>16</v>
      </c>
      <c r="K36" s="534"/>
      <c r="L36" s="534">
        <v>0.185</v>
      </c>
      <c r="M36" s="535">
        <v>0.185</v>
      </c>
      <c r="N36" s="534">
        <v>0.185</v>
      </c>
      <c r="O36" s="534">
        <v>0.185</v>
      </c>
      <c r="P36" s="535">
        <v>0.185</v>
      </c>
      <c r="Q36" s="536">
        <f t="shared" si="9"/>
        <v>0.185</v>
      </c>
      <c r="S36" s="52">
        <v>249</v>
      </c>
      <c r="U36" s="563">
        <f t="shared" si="10"/>
        <v>142.49429977602935</v>
      </c>
      <c r="V36" s="570">
        <v>197.69574022104393</v>
      </c>
      <c r="W36" s="52" t="s">
        <v>16</v>
      </c>
      <c r="Y36" s="36">
        <f t="shared" si="11"/>
        <v>16.260637583892617</v>
      </c>
      <c r="Z36" s="36">
        <f t="shared" si="4"/>
        <v>8.2094366197183124</v>
      </c>
      <c r="AA36" s="36">
        <f t="shared" si="4"/>
        <v>26.148053435114505</v>
      </c>
      <c r="AB36" s="36">
        <f t="shared" si="4"/>
        <v>35.234674329501914</v>
      </c>
      <c r="AC36" s="36">
        <f t="shared" si="4"/>
        <v>35.194787644787645</v>
      </c>
      <c r="AD36" s="222"/>
      <c r="AF36" s="497">
        <f t="shared" si="12"/>
        <v>96.743830765157369</v>
      </c>
      <c r="AG36" s="497">
        <f t="shared" si="13"/>
        <v>48.912690559091494</v>
      </c>
      <c r="AH36" s="497">
        <f t="shared" si="5"/>
        <v>153.34435104034256</v>
      </c>
      <c r="AI36" s="739">
        <f t="shared" si="6"/>
        <v>206.80285251059294</v>
      </c>
      <c r="AJ36" s="498">
        <f t="shared" si="7"/>
        <v>206.66777400496247</v>
      </c>
      <c r="AK36" s="563">
        <f t="shared" si="14"/>
        <v>142.49429977602935</v>
      </c>
    </row>
    <row r="37" spans="2:37" ht="16.5" thickBot="1" x14ac:dyDescent="0.3">
      <c r="B37" s="52" t="s">
        <v>17</v>
      </c>
      <c r="C37" s="502">
        <v>13822.729500118938</v>
      </c>
      <c r="D37" s="36">
        <v>14908.320460502304</v>
      </c>
      <c r="E37" s="502">
        <v>14752.789238430292</v>
      </c>
      <c r="F37" s="36">
        <v>16053.454647484949</v>
      </c>
      <c r="G37" s="531">
        <v>16692.817714075707</v>
      </c>
      <c r="H37" s="526">
        <f t="shared" si="8"/>
        <v>15246.022312122437</v>
      </c>
      <c r="J37" s="52" t="s">
        <v>17</v>
      </c>
      <c r="K37" s="534"/>
      <c r="L37" s="534">
        <v>0.17</v>
      </c>
      <c r="M37" s="535">
        <v>0.17</v>
      </c>
      <c r="N37" s="534">
        <v>0.16500000000000001</v>
      </c>
      <c r="O37" s="534">
        <v>0.16500000000000001</v>
      </c>
      <c r="P37" s="535">
        <v>0.16500000000000001</v>
      </c>
      <c r="Q37" s="536">
        <f t="shared" si="9"/>
        <v>0.16700000000000001</v>
      </c>
      <c r="S37" s="52">
        <v>1860</v>
      </c>
      <c r="U37" s="563">
        <f t="shared" si="10"/>
        <v>175.42339066844744</v>
      </c>
      <c r="V37" s="570">
        <v>227.53934713669761</v>
      </c>
      <c r="W37" s="52" t="s">
        <v>17</v>
      </c>
      <c r="Y37" s="36">
        <f t="shared" si="11"/>
        <v>17.044506065857885</v>
      </c>
      <c r="Z37" s="36">
        <f t="shared" si="4"/>
        <v>11.273096446700508</v>
      </c>
      <c r="AA37" s="36">
        <f t="shared" si="4"/>
        <v>40.755720695457093</v>
      </c>
      <c r="AB37" s="36">
        <f t="shared" si="4"/>
        <v>43.757222222222218</v>
      </c>
      <c r="AC37" s="36">
        <f t="shared" si="4"/>
        <v>36.223484013230426</v>
      </c>
      <c r="AD37" s="222"/>
      <c r="AF37" s="497">
        <f t="shared" si="12"/>
        <v>101.40751257776405</v>
      </c>
      <c r="AG37" s="497">
        <f t="shared" si="13"/>
        <v>67.166299428617279</v>
      </c>
      <c r="AH37" s="497">
        <f t="shared" si="5"/>
        <v>239.01050824814328</v>
      </c>
      <c r="AI37" s="739">
        <f t="shared" si="6"/>
        <v>256.82423764929354</v>
      </c>
      <c r="AJ37" s="498">
        <f t="shared" si="7"/>
        <v>212.70839543841907</v>
      </c>
      <c r="AK37" s="563">
        <f t="shared" si="14"/>
        <v>175.42339066844744</v>
      </c>
    </row>
    <row r="38" spans="2:37" ht="16.5" thickBot="1" x14ac:dyDescent="0.3">
      <c r="B38" s="52" t="s">
        <v>18</v>
      </c>
      <c r="C38" s="502">
        <v>13585.691598575318</v>
      </c>
      <c r="D38" s="36">
        <v>14235.597178573924</v>
      </c>
      <c r="E38" s="502">
        <v>14160.846288148614</v>
      </c>
      <c r="F38" s="36">
        <v>15475.618027234395</v>
      </c>
      <c r="G38" s="531">
        <v>16150.293318699409</v>
      </c>
      <c r="H38" s="526">
        <f t="shared" si="8"/>
        <v>14721.609282246331</v>
      </c>
      <c r="J38" s="52" t="s">
        <v>18</v>
      </c>
      <c r="K38" s="534"/>
      <c r="L38" s="534">
        <v>0.185</v>
      </c>
      <c r="M38" s="535">
        <v>0.185</v>
      </c>
      <c r="N38" s="534">
        <v>0.185</v>
      </c>
      <c r="O38" s="534">
        <v>0.185</v>
      </c>
      <c r="P38" s="535">
        <v>0.185</v>
      </c>
      <c r="Q38" s="536">
        <f t="shared" si="9"/>
        <v>0.185</v>
      </c>
      <c r="S38" s="52">
        <v>399</v>
      </c>
      <c r="U38" s="563">
        <f t="shared" si="10"/>
        <v>757.18982895321051</v>
      </c>
      <c r="V38" s="570">
        <v>695.0487708420045</v>
      </c>
      <c r="W38" s="52" t="s">
        <v>18</v>
      </c>
      <c r="Y38" s="36">
        <f t="shared" si="11"/>
        <v>191.02997416020673</v>
      </c>
      <c r="Z38" s="36">
        <f t="shared" si="4"/>
        <v>86.970387596899215</v>
      </c>
      <c r="AA38" s="36">
        <f t="shared" si="4"/>
        <v>133.00974160206718</v>
      </c>
      <c r="AB38" s="36">
        <f t="shared" si="4"/>
        <v>128.83979539641945</v>
      </c>
      <c r="AC38" s="36">
        <f t="shared" si="4"/>
        <v>101.32527918781727</v>
      </c>
      <c r="AD38" s="222"/>
      <c r="AF38" s="497">
        <f t="shared" si="12"/>
        <v>1136.5465465840168</v>
      </c>
      <c r="AG38" s="497">
        <f t="shared" si="13"/>
        <v>518.17875615407877</v>
      </c>
      <c r="AH38" s="497">
        <f t="shared" si="5"/>
        <v>780.03100913899175</v>
      </c>
      <c r="AI38" s="739">
        <f t="shared" si="6"/>
        <v>756.19933238751059</v>
      </c>
      <c r="AJ38" s="498">
        <f t="shared" si="7"/>
        <v>594.99350050145461</v>
      </c>
      <c r="AK38" s="563">
        <f t="shared" si="14"/>
        <v>757.18982895321051</v>
      </c>
    </row>
    <row r="39" spans="2:37" ht="16.5" thickBot="1" x14ac:dyDescent="0.3">
      <c r="B39" s="52" t="s">
        <v>19</v>
      </c>
      <c r="C39" s="502">
        <v>13489.57433970071</v>
      </c>
      <c r="D39" s="36">
        <v>13790.361364753357</v>
      </c>
      <c r="E39" s="502">
        <v>13464.54400248924</v>
      </c>
      <c r="F39" s="36">
        <v>14087.736538461539</v>
      </c>
      <c r="G39" s="531">
        <v>14864.889917186032</v>
      </c>
      <c r="H39" s="526">
        <f t="shared" si="8"/>
        <v>13939.421232518176</v>
      </c>
      <c r="J39" s="52" t="s">
        <v>19</v>
      </c>
      <c r="K39" s="534"/>
      <c r="L39" s="534">
        <v>0.17</v>
      </c>
      <c r="M39" s="535">
        <v>0.16750000000000001</v>
      </c>
      <c r="N39" s="534">
        <v>0.16500000000000001</v>
      </c>
      <c r="O39" s="534">
        <v>0.16250000000000001</v>
      </c>
      <c r="P39" s="535">
        <v>0.16250000000000001</v>
      </c>
      <c r="Q39" s="536">
        <f t="shared" si="9"/>
        <v>0.16550000000000001</v>
      </c>
      <c r="S39" s="52">
        <v>1810</v>
      </c>
      <c r="U39" s="563">
        <f t="shared" si="10"/>
        <v>1313.7243290541858</v>
      </c>
      <c r="V39" s="570">
        <v>1475.5478019042073</v>
      </c>
      <c r="W39" s="52" t="s">
        <v>19</v>
      </c>
      <c r="Y39" s="36">
        <f t="shared" si="11"/>
        <v>268.7886694021102</v>
      </c>
      <c r="Z39" s="36">
        <f t="shared" si="4"/>
        <v>81.302033506643568</v>
      </c>
      <c r="AA39" s="36">
        <f t="shared" si="4"/>
        <v>187.39314318311466</v>
      </c>
      <c r="AB39" s="36">
        <f t="shared" si="4"/>
        <v>272.00762834821427</v>
      </c>
      <c r="AC39" s="36">
        <f t="shared" si="4"/>
        <v>304.75967258601554</v>
      </c>
      <c r="AD39" s="222"/>
      <c r="AF39" s="497">
        <f t="shared" si="12"/>
        <v>1599.1774867418574</v>
      </c>
      <c r="AG39" s="497">
        <f t="shared" si="13"/>
        <v>484.40610372503204</v>
      </c>
      <c r="AH39" s="497">
        <f t="shared" si="5"/>
        <v>1098.9605785429235</v>
      </c>
      <c r="AI39" s="739">
        <f t="shared" si="6"/>
        <v>1596.4942068430671</v>
      </c>
      <c r="AJ39" s="498">
        <f t="shared" si="7"/>
        <v>1789.5832694180485</v>
      </c>
      <c r="AK39" s="563">
        <f t="shared" si="14"/>
        <v>1313.7243290541858</v>
      </c>
    </row>
    <row r="40" spans="2:37" ht="16.5" thickBot="1" x14ac:dyDescent="0.3">
      <c r="B40" s="52" t="s">
        <v>20</v>
      </c>
      <c r="C40" s="502">
        <v>15285.502380952381</v>
      </c>
      <c r="D40" s="36">
        <v>15849.007881773399</v>
      </c>
      <c r="E40" s="502">
        <v>14805.265590062112</v>
      </c>
      <c r="F40" s="36">
        <v>15415.710171428571</v>
      </c>
      <c r="G40" s="531">
        <v>17001.843604108308</v>
      </c>
      <c r="H40" s="526">
        <f t="shared" si="8"/>
        <v>15671.465925664952</v>
      </c>
      <c r="J40" s="52" t="s">
        <v>20</v>
      </c>
      <c r="K40" s="534"/>
      <c r="L40" s="534">
        <v>0.17499999999999999</v>
      </c>
      <c r="M40" s="535">
        <v>0.17499999999999999</v>
      </c>
      <c r="N40" s="534">
        <v>0.17499999999999999</v>
      </c>
      <c r="O40" s="534">
        <v>0.17499999999999999</v>
      </c>
      <c r="P40" s="535">
        <v>0.18</v>
      </c>
      <c r="Q40" s="536">
        <f t="shared" si="9"/>
        <v>0.17599999999999999</v>
      </c>
      <c r="S40" s="52">
        <v>103</v>
      </c>
      <c r="U40" s="563">
        <f t="shared" si="10"/>
        <v>98.019639789628854</v>
      </c>
      <c r="V40" s="570">
        <v>130.38136519269528</v>
      </c>
      <c r="W40" s="52" t="s">
        <v>20</v>
      </c>
      <c r="Y40" s="36">
        <f t="shared" si="11"/>
        <v>18.899000000000001</v>
      </c>
      <c r="Z40" s="36">
        <f t="shared" si="4"/>
        <v>6.6318103448275858</v>
      </c>
      <c r="AA40" s="36">
        <f t="shared" si="4"/>
        <v>12.657913043478262</v>
      </c>
      <c r="AB40" s="36">
        <f t="shared" si="4"/>
        <v>9.8140000000000001</v>
      </c>
      <c r="AC40" s="36">
        <f t="shared" si="4"/>
        <v>35.134033613445375</v>
      </c>
      <c r="AD40" s="222"/>
      <c r="AF40" s="497">
        <f t="shared" si="12"/>
        <v>112.44095738544956</v>
      </c>
      <c r="AG40" s="497">
        <f t="shared" si="13"/>
        <v>39.513026565550597</v>
      </c>
      <c r="AH40" s="497">
        <f t="shared" si="5"/>
        <v>74.231891333472859</v>
      </c>
      <c r="AI40" s="739">
        <f t="shared" si="6"/>
        <v>57.601304202763991</v>
      </c>
      <c r="AJ40" s="498">
        <f t="shared" si="7"/>
        <v>206.31101946090729</v>
      </c>
      <c r="AK40" s="563">
        <f t="shared" si="14"/>
        <v>98.019639789628854</v>
      </c>
    </row>
    <row r="41" spans="2:37" ht="16.5" thickBot="1" x14ac:dyDescent="0.3">
      <c r="B41" s="52" t="s">
        <v>21</v>
      </c>
      <c r="C41" s="502">
        <v>12398.375029434081</v>
      </c>
      <c r="D41" s="36">
        <v>13455.28583907101</v>
      </c>
      <c r="E41" s="502">
        <v>13444.91026817312</v>
      </c>
      <c r="F41" s="36">
        <v>14142.106851037081</v>
      </c>
      <c r="G41" s="531">
        <v>14899.455693180915</v>
      </c>
      <c r="H41" s="526">
        <f t="shared" si="8"/>
        <v>13668.026736179241</v>
      </c>
      <c r="J41" s="52" t="s">
        <v>21</v>
      </c>
      <c r="K41" s="534"/>
      <c r="L41" s="534">
        <v>0.185</v>
      </c>
      <c r="M41" s="535">
        <v>0.185</v>
      </c>
      <c r="N41" s="534">
        <v>0.185</v>
      </c>
      <c r="O41" s="534">
        <v>0.185</v>
      </c>
      <c r="P41" s="535">
        <v>0.185</v>
      </c>
      <c r="Q41" s="536">
        <f t="shared" si="9"/>
        <v>0.185</v>
      </c>
      <c r="S41" s="52">
        <v>1032</v>
      </c>
      <c r="U41" s="563">
        <f t="shared" si="10"/>
        <v>63.426660428350729</v>
      </c>
      <c r="V41" s="570">
        <v>59.529235124053699</v>
      </c>
      <c r="W41" s="52" t="s">
        <v>21</v>
      </c>
      <c r="Y41" s="36">
        <f t="shared" si="11"/>
        <v>15.661297192642788</v>
      </c>
      <c r="Z41" s="36">
        <f t="shared" si="4"/>
        <v>7.4850095057034229</v>
      </c>
      <c r="AA41" s="36">
        <f t="shared" si="4"/>
        <v>12.420446168768185</v>
      </c>
      <c r="AB41" s="36">
        <f t="shared" si="4"/>
        <v>8.6736918604651159</v>
      </c>
      <c r="AC41" s="36">
        <f t="shared" si="4"/>
        <v>9.4703631010794886</v>
      </c>
      <c r="AD41" s="222"/>
      <c r="AF41" s="497">
        <f t="shared" si="12"/>
        <v>93.178012076766422</v>
      </c>
      <c r="AG41" s="497">
        <f t="shared" si="13"/>
        <v>44.596477291141106</v>
      </c>
      <c r="AH41" s="497">
        <f t="shared" si="5"/>
        <v>72.839275095849061</v>
      </c>
      <c r="AI41" s="739">
        <f t="shared" si="6"/>
        <v>50.908494336222653</v>
      </c>
      <c r="AJ41" s="498">
        <f t="shared" si="7"/>
        <v>55.611043341774383</v>
      </c>
      <c r="AK41" s="563">
        <f t="shared" si="14"/>
        <v>63.426660428350729</v>
      </c>
    </row>
    <row r="42" spans="2:37" ht="16.5" thickBot="1" x14ac:dyDescent="0.3">
      <c r="B42" s="52" t="s">
        <v>22</v>
      </c>
      <c r="C42" s="502">
        <v>11970.865832784726</v>
      </c>
      <c r="D42" s="36">
        <v>12042.626512226512</v>
      </c>
      <c r="E42" s="502">
        <v>11254.477251034043</v>
      </c>
      <c r="F42" s="36">
        <v>11997.971621187802</v>
      </c>
      <c r="G42" s="531">
        <v>12419.850442477877</v>
      </c>
      <c r="H42" s="526">
        <f t="shared" si="8"/>
        <v>11937.158331942192</v>
      </c>
      <c r="J42" s="52" t="s">
        <v>22</v>
      </c>
      <c r="K42" s="534"/>
      <c r="L42" s="534">
        <v>0.17499999999999999</v>
      </c>
      <c r="M42" s="535">
        <v>0.17499999999999999</v>
      </c>
      <c r="N42" s="534">
        <v>0.17499999999999999</v>
      </c>
      <c r="O42" s="534">
        <v>0.17499999999999999</v>
      </c>
      <c r="P42" s="535">
        <v>0.17499999999999999</v>
      </c>
      <c r="Q42" s="536">
        <f t="shared" si="9"/>
        <v>0.17499999999999999</v>
      </c>
      <c r="S42" s="52">
        <v>449</v>
      </c>
      <c r="U42" s="563">
        <f t="shared" si="10"/>
        <v>67.647902771265109</v>
      </c>
      <c r="V42" s="570">
        <v>63.69954575164369</v>
      </c>
      <c r="W42" s="52" t="s">
        <v>22</v>
      </c>
      <c r="Y42" s="36">
        <f t="shared" si="11"/>
        <v>17.46884792626728</v>
      </c>
      <c r="Z42" s="36">
        <f t="shared" si="4"/>
        <v>7.2294369369369367</v>
      </c>
      <c r="AA42" s="36">
        <f t="shared" si="4"/>
        <v>13.664276169265033</v>
      </c>
      <c r="AB42" s="36">
        <f t="shared" si="4"/>
        <v>9.5873707865168534</v>
      </c>
      <c r="AC42" s="36">
        <f t="shared" si="4"/>
        <v>9.3371460176991157</v>
      </c>
      <c r="AD42" s="222"/>
      <c r="AF42" s="497">
        <f t="shared" si="12"/>
        <v>103.93216494260639</v>
      </c>
      <c r="AG42" s="497">
        <f t="shared" si="13"/>
        <v>43.073748929801219</v>
      </c>
      <c r="AH42" s="497">
        <f t="shared" si="5"/>
        <v>80.133672925653059</v>
      </c>
      <c r="AI42" s="739">
        <f t="shared" si="6"/>
        <v>56.271149498558181</v>
      </c>
      <c r="AJ42" s="498">
        <f t="shared" si="7"/>
        <v>54.828777559706715</v>
      </c>
      <c r="AK42" s="563">
        <f t="shared" si="14"/>
        <v>67.647902771265109</v>
      </c>
    </row>
    <row r="43" spans="2:37" ht="16.5" thickBot="1" x14ac:dyDescent="0.3">
      <c r="B43" s="504" t="s">
        <v>23</v>
      </c>
      <c r="C43" s="502">
        <v>16836.059174057649</v>
      </c>
      <c r="D43" s="36">
        <v>17461.694465465054</v>
      </c>
      <c r="E43" s="502">
        <v>17513.793636501316</v>
      </c>
      <c r="F43" s="36">
        <v>18166.806927496669</v>
      </c>
      <c r="G43" s="531">
        <v>18694.468221084844</v>
      </c>
      <c r="H43" s="526">
        <f t="shared" si="8"/>
        <v>17734.564484921106</v>
      </c>
      <c r="J43" s="52" t="s">
        <v>23</v>
      </c>
      <c r="K43" s="534"/>
      <c r="L43" s="534">
        <v>0.16</v>
      </c>
      <c r="M43" s="535">
        <v>0.16</v>
      </c>
      <c r="N43" s="534">
        <v>0.16500000000000001</v>
      </c>
      <c r="O43" s="534">
        <v>0.16500000000000001</v>
      </c>
      <c r="P43" s="535">
        <v>0.16500000000000001</v>
      </c>
      <c r="Q43" s="536">
        <f t="shared" si="9"/>
        <v>0.16300000000000001</v>
      </c>
      <c r="S43" s="435">
        <v>11263</v>
      </c>
      <c r="U43" s="563">
        <f t="shared" si="10"/>
        <v>4256.76583861579</v>
      </c>
      <c r="V43" s="572">
        <v>4555.9518171962945</v>
      </c>
      <c r="W43" s="52" t="s">
        <v>23</v>
      </c>
      <c r="Y43" s="36">
        <f t="shared" si="11"/>
        <v>853.97837398373986</v>
      </c>
      <c r="Z43" s="36">
        <f t="shared" si="4"/>
        <v>391.27091542836172</v>
      </c>
      <c r="AA43" s="36">
        <f t="shared" si="4"/>
        <v>890.92542753293958</v>
      </c>
      <c r="AB43" s="36">
        <f t="shared" si="4"/>
        <v>807.86431718061681</v>
      </c>
      <c r="AC43" s="36">
        <f t="shared" si="4"/>
        <v>665.0742689901698</v>
      </c>
      <c r="AD43" s="222"/>
      <c r="AF43" s="497">
        <f t="shared" si="12"/>
        <v>5080.8056488280436</v>
      </c>
      <c r="AG43" s="497">
        <f t="shared" si="13"/>
        <v>2331.23344483249</v>
      </c>
      <c r="AH43" s="497">
        <f t="shared" si="5"/>
        <v>5224.8012208400978</v>
      </c>
      <c r="AI43" s="739">
        <f t="shared" si="6"/>
        <v>4741.5975431504921</v>
      </c>
      <c r="AJ43" s="498">
        <f t="shared" si="7"/>
        <v>3905.3913354278275</v>
      </c>
      <c r="AK43" s="563">
        <f t="shared" si="14"/>
        <v>4256.76583861579</v>
      </c>
    </row>
    <row r="44" spans="2:37" ht="16.5" thickBot="1" x14ac:dyDescent="0.3">
      <c r="B44" s="493" t="s">
        <v>247</v>
      </c>
      <c r="C44" s="510">
        <v>14574.228345766718</v>
      </c>
      <c r="D44" s="511">
        <v>15349.489506099284</v>
      </c>
      <c r="E44" s="510">
        <v>15302.872018123737</v>
      </c>
      <c r="F44" s="511">
        <v>16115.302734596999</v>
      </c>
      <c r="G44" s="539">
        <v>16621.609460050826</v>
      </c>
      <c r="H44" s="526">
        <f t="shared" si="8"/>
        <v>15592.700412927512</v>
      </c>
      <c r="J44" s="493" t="s">
        <v>247</v>
      </c>
      <c r="K44" s="1200"/>
      <c r="L44" s="542">
        <v>0.16807932304608453</v>
      </c>
      <c r="M44" s="543">
        <v>0.16783858188705608</v>
      </c>
      <c r="N44" s="1200">
        <v>0.170518530729804</v>
      </c>
      <c r="O44" s="542">
        <v>0.17037808667410478</v>
      </c>
      <c r="P44" s="543">
        <v>0.17029644710811351</v>
      </c>
      <c r="Q44" s="536">
        <f t="shared" si="9"/>
        <v>0.1694221938890326</v>
      </c>
      <c r="S44" s="435">
        <v>28355</v>
      </c>
      <c r="U44" s="563">
        <f t="shared" si="10"/>
        <v>2096.5178807732764</v>
      </c>
      <c r="V44" s="573">
        <v>2222.1448598962456</v>
      </c>
      <c r="W44" s="493" t="s">
        <v>247</v>
      </c>
      <c r="X44" s="421"/>
      <c r="Y44" s="36">
        <f t="shared" si="11"/>
        <v>422.57324889499682</v>
      </c>
      <c r="Z44" s="36">
        <f t="shared" ref="Z44" si="15">Z23/AI23</f>
        <v>192.49964239678854</v>
      </c>
      <c r="AA44" s="36">
        <f t="shared" ref="AA44" si="16">AA23/AJ23</f>
        <v>428.70426974067595</v>
      </c>
      <c r="AB44" s="36">
        <f t="shared" ref="AB44" si="17">AB23/AK23</f>
        <v>398.45643470108888</v>
      </c>
      <c r="AC44" s="36">
        <f t="shared" ref="AC44" si="18">AC23/AL23</f>
        <v>335.27026350555218</v>
      </c>
      <c r="AD44" s="222"/>
      <c r="AF44" s="497">
        <f t="shared" si="12"/>
        <v>2514.1298836569822</v>
      </c>
      <c r="AG44" s="497">
        <f t="shared" si="13"/>
        <v>1146.9332035129305</v>
      </c>
      <c r="AH44" s="497">
        <f t="shared" si="5"/>
        <v>2514.1212975848443</v>
      </c>
      <c r="AI44" s="739">
        <f t="shared" si="6"/>
        <v>2338.6601086984092</v>
      </c>
      <c r="AJ44" s="498">
        <f t="shared" si="7"/>
        <v>1968.7449104132177</v>
      </c>
      <c r="AK44" s="573">
        <f t="shared" si="14"/>
        <v>2096.5178807732764</v>
      </c>
    </row>
    <row r="45" spans="2:37" x14ac:dyDescent="0.2">
      <c r="K45" s="987"/>
      <c r="L45" s="1">
        <v>16.807932304608453</v>
      </c>
      <c r="M45" s="1">
        <v>16.783858188705608</v>
      </c>
      <c r="N45" s="1">
        <v>17.0518530729804</v>
      </c>
      <c r="O45" s="1">
        <v>17.037808667410477</v>
      </c>
      <c r="P45" s="1">
        <v>17.02964471081135</v>
      </c>
      <c r="S45" s="9"/>
      <c r="T45" s="9"/>
      <c r="U45" s="9"/>
      <c r="V45" s="9"/>
      <c r="AA45" s="1195">
        <f>SUM(AA28:AA43)</f>
        <v>2497.7559987950162</v>
      </c>
      <c r="AB45" s="1195">
        <f t="shared" ref="AB45:AC45" si="19">SUM(AB28:AB43)</f>
        <v>2420.2433950406066</v>
      </c>
      <c r="AC45" s="1195">
        <f t="shared" si="19"/>
        <v>2051.7006885958426</v>
      </c>
      <c r="AG45" s="9"/>
      <c r="AH45" s="9"/>
    </row>
    <row r="46" spans="2:37" ht="15.75" thickBot="1" x14ac:dyDescent="0.25">
      <c r="E46" s="1" t="s">
        <v>559</v>
      </c>
      <c r="J46" s="984" t="s">
        <v>558</v>
      </c>
      <c r="S46" s="988" t="s">
        <v>558</v>
      </c>
      <c r="T46" s="9"/>
      <c r="U46" s="9"/>
      <c r="V46" s="9"/>
      <c r="Y46" s="9"/>
      <c r="Z46" s="9"/>
      <c r="AD46" s="9"/>
      <c r="AE46" s="9"/>
      <c r="AF46" s="9"/>
      <c r="AG46" s="9"/>
    </row>
    <row r="47" spans="2:37" ht="15.75" thickBot="1" x14ac:dyDescent="0.25">
      <c r="B47" s="544"/>
      <c r="C47" s="3"/>
      <c r="D47" s="3"/>
      <c r="E47" s="3"/>
      <c r="F47" s="3"/>
      <c r="G47" s="3"/>
      <c r="H47" s="499"/>
      <c r="I47" s="9"/>
      <c r="P47" s="9"/>
      <c r="Q47" s="9"/>
      <c r="R47" s="9"/>
      <c r="S47" s="9"/>
      <c r="T47" s="9"/>
      <c r="U47" s="9"/>
      <c r="V47" s="9"/>
      <c r="W47" s="9"/>
      <c r="X47" s="9"/>
      <c r="Y47" s="9"/>
      <c r="Z47" s="9"/>
      <c r="AA47" s="9"/>
      <c r="AB47" s="9"/>
      <c r="AC47" s="9"/>
      <c r="AD47" s="9"/>
    </row>
    <row r="48" spans="2:37" ht="16.5" thickBot="1" x14ac:dyDescent="0.3">
      <c r="B48" s="40" t="s">
        <v>248</v>
      </c>
      <c r="C48" s="733"/>
      <c r="D48" s="733"/>
      <c r="E48" s="733"/>
      <c r="F48" s="733"/>
      <c r="G48" s="1008">
        <f>AVERAGE(C44:G44)</f>
        <v>15592.700412927512</v>
      </c>
      <c r="H48" s="419" t="s">
        <v>249</v>
      </c>
      <c r="I48" s="9"/>
      <c r="P48" s="9"/>
      <c r="Q48" s="9"/>
      <c r="R48" s="820"/>
      <c r="S48" s="9"/>
      <c r="T48" s="9"/>
      <c r="U48" s="9"/>
      <c r="V48" s="9"/>
      <c r="W48" s="9"/>
      <c r="X48" s="9"/>
      <c r="Y48" s="9"/>
      <c r="Z48" s="9"/>
      <c r="AA48" s="9"/>
      <c r="AB48" s="36"/>
      <c r="AC48" s="9"/>
      <c r="AD48" s="9"/>
    </row>
    <row r="49" spans="1:30" ht="16.5" thickBot="1" x14ac:dyDescent="0.3">
      <c r="B49" s="40" t="s">
        <v>250</v>
      </c>
      <c r="C49" s="733"/>
      <c r="D49" s="733"/>
      <c r="E49" s="733"/>
      <c r="F49" s="733"/>
      <c r="G49" s="1008">
        <f>G48*1.1</f>
        <v>17151.970454220263</v>
      </c>
      <c r="H49" s="419"/>
      <c r="I49" s="9"/>
      <c r="P49" s="9"/>
      <c r="Q49" s="9"/>
      <c r="R49" s="9"/>
      <c r="S49" s="9"/>
      <c r="T49" s="9"/>
      <c r="U49" s="9"/>
      <c r="V49" s="9"/>
      <c r="W49" s="9"/>
      <c r="X49" s="9"/>
      <c r="Y49" s="9"/>
      <c r="Z49" s="9"/>
      <c r="AA49" s="9"/>
      <c r="AB49" s="9"/>
      <c r="AC49" s="9"/>
      <c r="AD49" s="9"/>
    </row>
    <row r="50" spans="1:30" x14ac:dyDescent="0.2">
      <c r="B50" s="418"/>
      <c r="C50" s="9"/>
      <c r="D50" s="9"/>
      <c r="E50" s="9"/>
      <c r="F50" s="9"/>
      <c r="G50" s="9"/>
      <c r="H50" s="419"/>
      <c r="I50" s="9"/>
      <c r="P50" s="9"/>
      <c r="Q50" s="9"/>
      <c r="R50" s="820"/>
      <c r="S50" s="9"/>
      <c r="T50" s="9"/>
      <c r="U50" s="9"/>
      <c r="V50" s="9"/>
      <c r="W50" s="9"/>
      <c r="X50" s="9"/>
      <c r="Y50" s="9"/>
      <c r="Z50" s="9"/>
      <c r="AA50" s="9"/>
      <c r="AB50" s="36"/>
      <c r="AC50" s="9"/>
      <c r="AD50" s="9"/>
    </row>
    <row r="51" spans="1:30" ht="15.75" thickBot="1" x14ac:dyDescent="0.25">
      <c r="B51" s="418"/>
      <c r="C51" s="9"/>
      <c r="D51" s="9"/>
      <c r="E51" s="9"/>
      <c r="F51" s="9"/>
      <c r="G51" s="9"/>
      <c r="H51" s="419"/>
      <c r="I51" s="9"/>
      <c r="P51" s="9"/>
      <c r="Q51" s="9"/>
      <c r="R51" s="9"/>
      <c r="S51" s="9"/>
      <c r="T51" s="9"/>
      <c r="U51" s="9"/>
      <c r="V51" s="9"/>
      <c r="W51" s="9"/>
      <c r="X51" s="9"/>
      <c r="Y51" s="9"/>
      <c r="Z51" s="9"/>
      <c r="AA51" s="9"/>
      <c r="AB51" s="9"/>
      <c r="AC51" s="9"/>
      <c r="AD51" s="9"/>
    </row>
    <row r="52" spans="1:30" ht="16.5" thickBot="1" x14ac:dyDescent="0.3">
      <c r="B52" s="40" t="s">
        <v>251</v>
      </c>
      <c r="C52" s="733"/>
      <c r="D52" s="733"/>
      <c r="E52" s="733"/>
      <c r="F52" s="733"/>
      <c r="G52" s="1008">
        <f>U44</f>
        <v>2096.5178807732764</v>
      </c>
      <c r="H52" s="419" t="s">
        <v>249</v>
      </c>
      <c r="I52" s="9"/>
      <c r="P52" s="9"/>
      <c r="Q52" s="9"/>
      <c r="R52" s="9"/>
      <c r="S52" s="9"/>
    </row>
    <row r="53" spans="1:30" ht="15.75" thickBot="1" x14ac:dyDescent="0.25">
      <c r="B53" s="418"/>
      <c r="C53" s="9"/>
      <c r="D53" s="9"/>
      <c r="E53" s="9"/>
      <c r="F53" s="9"/>
      <c r="G53" s="9"/>
      <c r="H53" s="419"/>
      <c r="I53" s="9"/>
      <c r="P53" s="9"/>
      <c r="Q53" s="9"/>
      <c r="R53" s="9"/>
      <c r="S53" s="9"/>
    </row>
    <row r="54" spans="1:30" ht="16.5" thickBot="1" x14ac:dyDescent="0.3">
      <c r="B54" s="40" t="s">
        <v>252</v>
      </c>
      <c r="C54" s="733"/>
      <c r="D54" s="733"/>
      <c r="E54" s="733"/>
      <c r="F54" s="733"/>
      <c r="G54" s="1009">
        <f>Q44</f>
        <v>0.1694221938890326</v>
      </c>
      <c r="H54" s="419" t="s">
        <v>249</v>
      </c>
      <c r="I54" s="9"/>
      <c r="P54" s="9"/>
      <c r="Q54" s="9"/>
      <c r="R54" s="9"/>
      <c r="S54" s="9"/>
    </row>
    <row r="55" spans="1:30" ht="15.75" thickBot="1" x14ac:dyDescent="0.25">
      <c r="B55" s="418"/>
      <c r="C55" s="9"/>
      <c r="D55" s="9"/>
      <c r="E55" s="9"/>
      <c r="F55" s="9"/>
      <c r="G55" s="9"/>
      <c r="H55" s="419"/>
      <c r="I55" s="9"/>
      <c r="P55" s="9"/>
      <c r="Q55" s="9"/>
      <c r="R55" s="9"/>
      <c r="S55" s="9"/>
    </row>
    <row r="56" spans="1:30" ht="16.5" thickBot="1" x14ac:dyDescent="0.3">
      <c r="B56" s="40" t="s">
        <v>253</v>
      </c>
      <c r="C56" s="733"/>
      <c r="D56" s="733"/>
      <c r="E56" s="733"/>
      <c r="F56" s="733"/>
      <c r="G56" s="1010">
        <f>H44+U44</f>
        <v>17689.218293700789</v>
      </c>
      <c r="H56" s="419"/>
      <c r="I56" s="9"/>
      <c r="P56" s="9"/>
      <c r="Q56" s="9"/>
      <c r="R56" s="9"/>
      <c r="S56" s="9"/>
    </row>
    <row r="57" spans="1:30" ht="16.5" thickBot="1" x14ac:dyDescent="0.3">
      <c r="B57" s="40" t="s">
        <v>254</v>
      </c>
      <c r="C57" s="733"/>
      <c r="D57" s="733"/>
      <c r="E57" s="733"/>
      <c r="F57" s="733"/>
      <c r="G57" s="1010">
        <f>G56*Kontrollpanel!G15</f>
        <v>21050.169769503937</v>
      </c>
      <c r="H57" s="419"/>
      <c r="I57" s="9"/>
      <c r="P57" s="9"/>
      <c r="Q57" s="9"/>
      <c r="R57" s="9"/>
      <c r="S57" s="9"/>
    </row>
    <row r="58" spans="1:30" ht="16.5" thickBot="1" x14ac:dyDescent="0.3">
      <c r="B58" s="42" t="s">
        <v>109</v>
      </c>
      <c r="C58" s="1007"/>
      <c r="D58" s="1007"/>
      <c r="E58" s="1007"/>
      <c r="F58" s="1007"/>
      <c r="G58" s="1011">
        <f>Kontrollpanel!G16</f>
        <v>0.9</v>
      </c>
      <c r="H58" s="507"/>
      <c r="I58" s="9"/>
      <c r="P58" s="9"/>
      <c r="Q58" s="9"/>
      <c r="R58" s="9"/>
      <c r="S58" s="9"/>
    </row>
    <row r="59" spans="1:30" ht="15.75" thickBot="1" x14ac:dyDescent="0.25">
      <c r="A59" s="9"/>
      <c r="P59" s="9"/>
      <c r="Q59" s="9"/>
      <c r="R59" s="9"/>
      <c r="S59" s="9"/>
    </row>
    <row r="60" spans="1:30" ht="15.75" thickBot="1" x14ac:dyDescent="0.25">
      <c r="A60" s="9"/>
      <c r="F60" s="553" t="s">
        <v>255</v>
      </c>
      <c r="G60" s="554"/>
      <c r="H60" s="554"/>
      <c r="I60" s="554"/>
      <c r="J60" s="554"/>
      <c r="K60" s="554"/>
      <c r="L60" s="554"/>
      <c r="M60" s="554"/>
      <c r="N60" s="554"/>
      <c r="O60" s="555"/>
      <c r="P60" s="9"/>
      <c r="Q60" s="553" t="s">
        <v>256</v>
      </c>
      <c r="R60" s="554"/>
      <c r="S60" s="554"/>
      <c r="T60" s="554"/>
      <c r="U60" s="554"/>
      <c r="V60" s="555"/>
      <c r="W60" s="554"/>
      <c r="X60" s="554"/>
      <c r="Y60" s="555"/>
    </row>
    <row r="61" spans="1:30" ht="15" customHeight="1" x14ac:dyDescent="0.25">
      <c r="A61" s="556"/>
      <c r="B61" s="1371" t="s">
        <v>257</v>
      </c>
      <c r="C61" s="1408"/>
      <c r="D61" s="1408"/>
      <c r="E61" s="1372"/>
      <c r="F61" s="544"/>
      <c r="G61" s="499"/>
      <c r="H61" s="3"/>
      <c r="I61" s="3"/>
      <c r="J61" s="2"/>
      <c r="K61" s="3"/>
      <c r="L61" s="3"/>
      <c r="M61" s="544"/>
      <c r="N61" s="499"/>
      <c r="O61" s="2"/>
      <c r="Q61" s="1410" t="s">
        <v>258</v>
      </c>
      <c r="R61" s="1411"/>
      <c r="S61" s="1416" t="s">
        <v>259</v>
      </c>
      <c r="T61" s="1417"/>
      <c r="U61" s="1410" t="s">
        <v>260</v>
      </c>
      <c r="V61" s="1411"/>
      <c r="W61" s="1416" t="s">
        <v>261</v>
      </c>
      <c r="X61" s="499"/>
      <c r="Y61" s="499"/>
    </row>
    <row r="62" spans="1:30" ht="15" customHeight="1" x14ac:dyDescent="0.25">
      <c r="A62" s="556"/>
      <c r="B62" s="1366"/>
      <c r="C62" s="1364"/>
      <c r="D62" s="1364"/>
      <c r="E62" s="1367"/>
      <c r="F62" s="1366" t="s">
        <v>262</v>
      </c>
      <c r="G62" s="1367"/>
      <c r="H62" s="1364" t="s">
        <v>263</v>
      </c>
      <c r="I62" s="1364"/>
      <c r="J62" s="1368" t="s">
        <v>264</v>
      </c>
      <c r="K62" s="1365" t="s">
        <v>265</v>
      </c>
      <c r="L62" s="1365"/>
      <c r="M62" s="418"/>
      <c r="N62" s="1369" t="s">
        <v>266</v>
      </c>
      <c r="O62" s="1368" t="s">
        <v>267</v>
      </c>
      <c r="Q62" s="1412"/>
      <c r="R62" s="1413"/>
      <c r="S62" s="1418"/>
      <c r="T62" s="1419"/>
      <c r="U62" s="1412"/>
      <c r="V62" s="1413"/>
      <c r="W62" s="1418"/>
      <c r="X62" s="419"/>
      <c r="Y62" s="419"/>
    </row>
    <row r="63" spans="1:30" ht="16.5" customHeight="1" x14ac:dyDescent="0.25">
      <c r="A63" s="556"/>
      <c r="B63" s="1366"/>
      <c r="C63" s="1364"/>
      <c r="D63" s="1364"/>
      <c r="E63" s="1367"/>
      <c r="F63" s="1366"/>
      <c r="G63" s="1367"/>
      <c r="H63" s="1364"/>
      <c r="I63" s="1364"/>
      <c r="J63" s="1368"/>
      <c r="K63" s="1365"/>
      <c r="L63" s="1365"/>
      <c r="M63" s="418"/>
      <c r="N63" s="1369"/>
      <c r="O63" s="1368"/>
      <c r="Q63" s="1412"/>
      <c r="R63" s="1413"/>
      <c r="S63" s="1418"/>
      <c r="T63" s="1419"/>
      <c r="U63" s="1412"/>
      <c r="V63" s="1413"/>
      <c r="W63" s="1418"/>
      <c r="X63" s="1369" t="s">
        <v>268</v>
      </c>
      <c r="Y63" s="1369" t="s">
        <v>269</v>
      </c>
    </row>
    <row r="64" spans="1:30" ht="16.5" customHeight="1" x14ac:dyDescent="0.25">
      <c r="A64" s="138"/>
      <c r="B64" s="1366"/>
      <c r="C64" s="1364"/>
      <c r="D64" s="1364"/>
      <c r="E64" s="1367"/>
      <c r="F64" s="1366"/>
      <c r="G64" s="1367"/>
      <c r="H64" s="1364"/>
      <c r="I64" s="1364"/>
      <c r="J64" s="1368"/>
      <c r="K64" s="709"/>
      <c r="L64" s="709"/>
      <c r="M64" s="418"/>
      <c r="N64" s="1369"/>
      <c r="O64" s="1368"/>
      <c r="Q64" s="1412"/>
      <c r="R64" s="1413"/>
      <c r="S64" s="1418"/>
      <c r="T64" s="1419"/>
      <c r="U64" s="1412"/>
      <c r="V64" s="1413"/>
      <c r="W64" s="1418"/>
      <c r="X64" s="1369"/>
      <c r="Y64" s="1369"/>
    </row>
    <row r="65" spans="1:32" ht="16.5" customHeight="1" thickBot="1" x14ac:dyDescent="0.3">
      <c r="A65" s="138"/>
      <c r="B65" s="1373"/>
      <c r="C65" s="1409"/>
      <c r="D65" s="1409"/>
      <c r="E65" s="1374"/>
      <c r="F65" s="1366"/>
      <c r="G65" s="1367"/>
      <c r="H65" s="1364"/>
      <c r="I65" s="1364"/>
      <c r="J65" s="1368"/>
      <c r="K65" s="709"/>
      <c r="L65" s="709"/>
      <c r="M65" s="418"/>
      <c r="N65" s="1369"/>
      <c r="O65" s="1368"/>
      <c r="Q65" s="1414"/>
      <c r="R65" s="1415"/>
      <c r="S65" s="1420"/>
      <c r="T65" s="1421"/>
      <c r="U65" s="1414"/>
      <c r="V65" s="1415"/>
      <c r="W65" s="557"/>
      <c r="X65" s="1422"/>
      <c r="Y65" s="1422"/>
    </row>
    <row r="66" spans="1:32" ht="16.5" thickBot="1" x14ac:dyDescent="0.3">
      <c r="A66" s="9"/>
      <c r="B66" s="493"/>
      <c r="C66" s="738"/>
      <c r="D66" s="738"/>
      <c r="E66" s="4">
        <v>2013</v>
      </c>
      <c r="F66" s="558"/>
      <c r="G66" s="559"/>
      <c r="H66" s="560"/>
      <c r="I66" s="560"/>
      <c r="J66" s="561"/>
      <c r="K66" s="421"/>
      <c r="L66" s="421"/>
      <c r="M66" s="420"/>
      <c r="N66" s="422"/>
      <c r="O66" s="561"/>
      <c r="Q66" s="420"/>
      <c r="R66" s="422"/>
      <c r="S66" s="420"/>
      <c r="T66" s="422"/>
      <c r="U66" s="544"/>
      <c r="V66" s="499"/>
      <c r="W66" s="420"/>
      <c r="X66" s="422"/>
      <c r="Y66" s="422"/>
    </row>
    <row r="67" spans="1:32" ht="15.75" x14ac:dyDescent="0.25">
      <c r="B67" s="562" t="s">
        <v>8</v>
      </c>
      <c r="C67" s="6"/>
      <c r="D67" s="6"/>
      <c r="E67" s="739">
        <f t="shared" ref="E67:E83" si="20">H28+U28</f>
        <v>14845.881737846532</v>
      </c>
      <c r="F67" s="566"/>
      <c r="G67" s="565">
        <f t="shared" ref="G67:G83" si="21">$G$56-E67</f>
        <v>2843.3365558542573</v>
      </c>
      <c r="H67" s="566"/>
      <c r="I67" s="567">
        <f>$G$57-E67</f>
        <v>6204.2880316574046</v>
      </c>
      <c r="J67" s="568">
        <f t="shared" ref="J67:J82" si="22">IF(G67&gt;0,IF(Q28&lt;$Q$44,Q28,$Q$44)*G67*0.9,0)</f>
        <v>433.55188553194273</v>
      </c>
      <c r="K67" s="9"/>
      <c r="L67" s="569">
        <f t="shared" ref="L67:L82" si="23">IF(I67&gt;0,IF(Q28&lt;$Q$44,Q28,$Q$44)*I67*$G$58,0)</f>
        <v>946.02968085857879</v>
      </c>
      <c r="M67" s="418"/>
      <c r="N67" s="531">
        <f t="shared" ref="N67:N82" si="24">J67*S28</f>
        <v>208104.90505533252</v>
      </c>
      <c r="O67" s="711">
        <f t="shared" ref="O67:O82" si="25">L67*S28</f>
        <v>454094.24681211781</v>
      </c>
      <c r="P67" s="711">
        <v>303739.45425861207</v>
      </c>
      <c r="Q67" s="544"/>
      <c r="R67" s="525">
        <f t="shared" ref="R67:R83" si="26">H28-$H$44</f>
        <v>-1636.5272589486412</v>
      </c>
      <c r="T67" s="22">
        <f>H28-$G$49</f>
        <v>-3195.7973002413928</v>
      </c>
      <c r="U67" s="544"/>
      <c r="V67" s="525">
        <f t="shared" ref="V67:V82" si="27">IF(R67&lt;0,R67*-1*IF(Q28&lt;$Q$44,Q28,$Q$44),0)</f>
        <v>277.26403857028373</v>
      </c>
      <c r="W67" s="525">
        <f t="shared" ref="W67:W82" si="28">IF(T67&lt;0,T67*-1*IF(Q28&lt;$Q$44,Q28,$Q$44),0)</f>
        <v>541.43898983154418</v>
      </c>
      <c r="X67" s="531">
        <f t="shared" ref="X67:X82" si="29">V67*S28</f>
        <v>133086.7385137362</v>
      </c>
      <c r="Y67" s="563">
        <f t="shared" ref="Y67:Y82" si="30">W67*S28</f>
        <v>259890.71511914121</v>
      </c>
      <c r="AA67" s="711">
        <v>458139.89710707014</v>
      </c>
      <c r="AC67" s="1">
        <v>931.96150185363581</v>
      </c>
      <c r="AE67" s="1340"/>
      <c r="AF67" s="115"/>
    </row>
    <row r="68" spans="1:32" ht="15.75" x14ac:dyDescent="0.25">
      <c r="B68" s="562" t="s">
        <v>9</v>
      </c>
      <c r="C68" s="6"/>
      <c r="D68" s="6"/>
      <c r="E68" s="740">
        <f t="shared" si="20"/>
        <v>13424.509356583088</v>
      </c>
      <c r="F68" s="566"/>
      <c r="G68" s="565">
        <f t="shared" si="21"/>
        <v>4264.7089371177008</v>
      </c>
      <c r="H68" s="566"/>
      <c r="I68" s="567">
        <f t="shared" ref="I68:I83" si="31">$G$57-E68</f>
        <v>7625.6604129208481</v>
      </c>
      <c r="J68" s="568">
        <f t="shared" si="22"/>
        <v>650.28270998218068</v>
      </c>
      <c r="K68" s="9"/>
      <c r="L68" s="569">
        <f t="shared" si="23"/>
        <v>1162.7605053088168</v>
      </c>
      <c r="M68" s="418"/>
      <c r="N68" s="531">
        <f t="shared" si="24"/>
        <v>635976.49036257272</v>
      </c>
      <c r="O68" s="711">
        <f t="shared" si="25"/>
        <v>1137179.7741920229</v>
      </c>
      <c r="P68" s="711">
        <v>900307.60464796878</v>
      </c>
      <c r="Q68" s="418"/>
      <c r="R68" s="531">
        <f t="shared" si="26"/>
        <v>-3421.2738826815366</v>
      </c>
      <c r="T68" s="22">
        <f t="shared" ref="T68:T82" si="32">H29-$G$49</f>
        <v>-4980.5439239742882</v>
      </c>
      <c r="U68" s="418"/>
      <c r="V68" s="531">
        <f t="shared" si="27"/>
        <v>579.6397270991547</v>
      </c>
      <c r="W68" s="531">
        <f t="shared" si="28"/>
        <v>843.81467836041509</v>
      </c>
      <c r="X68" s="531">
        <f t="shared" si="29"/>
        <v>566887.65310297324</v>
      </c>
      <c r="Y68" s="570">
        <f t="shared" si="30"/>
        <v>825250.75543648598</v>
      </c>
      <c r="AA68" s="711">
        <v>1161525.3468190744</v>
      </c>
      <c r="AC68" s="1">
        <v>1187.3557588559161</v>
      </c>
      <c r="AE68" s="1340"/>
      <c r="AF68" s="115"/>
    </row>
    <row r="69" spans="1:32" ht="15.75" x14ac:dyDescent="0.25">
      <c r="B69" s="562" t="s">
        <v>10</v>
      </c>
      <c r="C69" s="6"/>
      <c r="D69" s="6"/>
      <c r="E69" s="740">
        <f t="shared" si="20"/>
        <v>14624.2459367143</v>
      </c>
      <c r="F69" s="566"/>
      <c r="G69" s="565">
        <f t="shared" si="21"/>
        <v>3064.9723569864891</v>
      </c>
      <c r="H69" s="566"/>
      <c r="I69" s="567">
        <f t="shared" si="31"/>
        <v>6425.9238327896364</v>
      </c>
      <c r="J69" s="568">
        <f t="shared" si="22"/>
        <v>467.34690683690116</v>
      </c>
      <c r="K69" s="9"/>
      <c r="L69" s="569">
        <f t="shared" si="23"/>
        <v>979.82470216353704</v>
      </c>
      <c r="M69" s="418"/>
      <c r="N69" s="531">
        <f t="shared" si="24"/>
        <v>1180985.6335768492</v>
      </c>
      <c r="O69" s="711">
        <f t="shared" si="25"/>
        <v>2476017.0223672581</v>
      </c>
      <c r="P69" s="711">
        <v>1810673.5384553617</v>
      </c>
      <c r="Q69" s="418"/>
      <c r="R69" s="531">
        <f t="shared" si="26"/>
        <v>-1374.8248381598933</v>
      </c>
      <c r="T69" s="22">
        <f t="shared" si="32"/>
        <v>-2934.0948794526448</v>
      </c>
      <c r="U69" s="418"/>
      <c r="V69" s="531">
        <f t="shared" si="27"/>
        <v>232.9258402941833</v>
      </c>
      <c r="W69" s="531">
        <f t="shared" si="28"/>
        <v>497.10079155544372</v>
      </c>
      <c r="X69" s="531">
        <f t="shared" si="29"/>
        <v>588603.59842340124</v>
      </c>
      <c r="Y69" s="570">
        <f t="shared" si="30"/>
        <v>1256173.7002606064</v>
      </c>
      <c r="AA69" s="711">
        <v>2516662.5064967042</v>
      </c>
      <c r="AC69" s="1">
        <v>398.41312502643314</v>
      </c>
      <c r="AE69" s="1340"/>
      <c r="AF69" s="115"/>
    </row>
    <row r="70" spans="1:32" ht="15.75" x14ac:dyDescent="0.25">
      <c r="B70" s="562" t="s">
        <v>11</v>
      </c>
      <c r="C70" s="6"/>
      <c r="D70" s="6"/>
      <c r="E70" s="740">
        <f t="shared" si="20"/>
        <v>15249.31879860299</v>
      </c>
      <c r="F70" s="566"/>
      <c r="G70" s="565">
        <f t="shared" si="21"/>
        <v>2439.8994950977994</v>
      </c>
      <c r="H70" s="566"/>
      <c r="I70" s="567">
        <f t="shared" si="31"/>
        <v>5800.8509709009468</v>
      </c>
      <c r="J70" s="568">
        <f t="shared" si="22"/>
        <v>372.03581279539088</v>
      </c>
      <c r="K70" s="9"/>
      <c r="L70" s="569">
        <f t="shared" si="23"/>
        <v>884.51360812202688</v>
      </c>
      <c r="M70" s="418"/>
      <c r="N70" s="531">
        <f t="shared" si="24"/>
        <v>214664.66398294055</v>
      </c>
      <c r="O70" s="711">
        <f t="shared" si="25"/>
        <v>510364.35188640951</v>
      </c>
      <c r="P70" s="711">
        <v>358369.95600448636</v>
      </c>
      <c r="Q70" s="418"/>
      <c r="R70" s="531">
        <f t="shared" si="26"/>
        <v>-2049.5688061048677</v>
      </c>
      <c r="T70" s="22">
        <f t="shared" si="32"/>
        <v>-3608.8388473976192</v>
      </c>
      <c r="U70" s="418"/>
      <c r="V70" s="531">
        <f t="shared" si="27"/>
        <v>347.24244365681193</v>
      </c>
      <c r="W70" s="531">
        <f t="shared" si="28"/>
        <v>611.41739491807232</v>
      </c>
      <c r="X70" s="531">
        <f t="shared" si="29"/>
        <v>200358.8899899805</v>
      </c>
      <c r="Y70" s="570">
        <f t="shared" si="30"/>
        <v>352787.83686772775</v>
      </c>
      <c r="AA70" s="711">
        <v>519285.49826306209</v>
      </c>
      <c r="AC70" s="1">
        <v>1702.3171956355657</v>
      </c>
      <c r="AE70" s="1340"/>
      <c r="AF70" s="115"/>
    </row>
    <row r="71" spans="1:32" ht="15.75" x14ac:dyDescent="0.25">
      <c r="B71" s="562" t="s">
        <v>12</v>
      </c>
      <c r="C71" s="6"/>
      <c r="D71" s="6"/>
      <c r="E71" s="740">
        <f t="shared" si="20"/>
        <v>10456.645935066499</v>
      </c>
      <c r="F71" s="566"/>
      <c r="G71" s="565">
        <f t="shared" si="21"/>
        <v>7232.5723586342901</v>
      </c>
      <c r="H71" s="566"/>
      <c r="I71" s="567">
        <f t="shared" si="31"/>
        <v>10593.523834437437</v>
      </c>
      <c r="J71" s="568">
        <f t="shared" si="22"/>
        <v>1102.8224488148969</v>
      </c>
      <c r="K71" s="9"/>
      <c r="L71" s="569">
        <f t="shared" si="23"/>
        <v>1615.3002441415329</v>
      </c>
      <c r="M71" s="418"/>
      <c r="N71" s="531">
        <f t="shared" si="24"/>
        <v>542588.64481692924</v>
      </c>
      <c r="O71" s="711">
        <f t="shared" si="25"/>
        <v>794727.72011763416</v>
      </c>
      <c r="P71" s="711">
        <v>667645.33426925528</v>
      </c>
      <c r="Q71" s="418"/>
      <c r="R71" s="531">
        <f t="shared" si="26"/>
        <v>-5204.4716659559035</v>
      </c>
      <c r="T71" s="22">
        <f t="shared" si="32"/>
        <v>-6763.7417072486551</v>
      </c>
      <c r="U71" s="418"/>
      <c r="V71" s="531">
        <f t="shared" si="27"/>
        <v>881.75300767955753</v>
      </c>
      <c r="W71" s="531">
        <f t="shared" si="28"/>
        <v>1145.9279589408179</v>
      </c>
      <c r="X71" s="531">
        <f t="shared" si="29"/>
        <v>433822.4797783423</v>
      </c>
      <c r="Y71" s="570">
        <f t="shared" si="30"/>
        <v>563796.55579888239</v>
      </c>
      <c r="AA71" s="711">
        <v>802406.52779843344</v>
      </c>
      <c r="AC71" s="1">
        <v>63.5892051717341</v>
      </c>
      <c r="AE71" s="1340"/>
      <c r="AF71" s="115"/>
    </row>
    <row r="72" spans="1:32" ht="15.75" x14ac:dyDescent="0.25">
      <c r="B72" s="562" t="s">
        <v>13</v>
      </c>
      <c r="C72" s="6"/>
      <c r="D72" s="6"/>
      <c r="E72" s="740">
        <f t="shared" si="20"/>
        <v>13725.812137474568</v>
      </c>
      <c r="F72" s="566"/>
      <c r="G72" s="565">
        <f t="shared" si="21"/>
        <v>3963.4061562262214</v>
      </c>
      <c r="H72" s="566"/>
      <c r="I72" s="567">
        <f t="shared" si="31"/>
        <v>7324.3576320293687</v>
      </c>
      <c r="J72" s="568">
        <f t="shared" si="22"/>
        <v>592.1328797401975</v>
      </c>
      <c r="K72" s="9"/>
      <c r="L72" s="569">
        <f t="shared" si="23"/>
        <v>1094.2590302251879</v>
      </c>
      <c r="M72" s="418"/>
      <c r="N72" s="531">
        <f t="shared" si="24"/>
        <v>903594.77448354138</v>
      </c>
      <c r="O72" s="711">
        <f t="shared" si="25"/>
        <v>1669839.2801236366</v>
      </c>
      <c r="P72" s="711">
        <v>1294953.4823903902</v>
      </c>
      <c r="Q72" s="418"/>
      <c r="R72" s="531">
        <f t="shared" si="26"/>
        <v>-2133.5980226088068</v>
      </c>
      <c r="T72" s="22">
        <f t="shared" si="32"/>
        <v>-3692.8680639015583</v>
      </c>
      <c r="U72" s="418"/>
      <c r="V72" s="531">
        <f t="shared" si="27"/>
        <v>354.17727175306197</v>
      </c>
      <c r="W72" s="531">
        <f t="shared" si="28"/>
        <v>613.01609860765871</v>
      </c>
      <c r="X72" s="531">
        <f t="shared" si="29"/>
        <v>540474.51669517253</v>
      </c>
      <c r="Y72" s="570">
        <f t="shared" si="30"/>
        <v>935462.5664752872</v>
      </c>
      <c r="AA72" s="711">
        <v>1694835.4980293834</v>
      </c>
      <c r="AC72" s="1">
        <v>254.59833394875025</v>
      </c>
      <c r="AE72" s="1340"/>
      <c r="AF72" s="115"/>
    </row>
    <row r="73" spans="1:32" ht="15.75" x14ac:dyDescent="0.25">
      <c r="B73" s="562" t="s">
        <v>14</v>
      </c>
      <c r="C73" s="6"/>
      <c r="D73" s="6"/>
      <c r="E73" s="740">
        <f t="shared" si="20"/>
        <v>16258.504535878032</v>
      </c>
      <c r="F73" s="566"/>
      <c r="G73" s="565">
        <f t="shared" si="21"/>
        <v>1430.7137578227575</v>
      </c>
      <c r="H73" s="566"/>
      <c r="I73" s="567">
        <f t="shared" si="31"/>
        <v>4791.6652336259049</v>
      </c>
      <c r="J73" s="568">
        <f t="shared" si="22"/>
        <v>218.1551973097983</v>
      </c>
      <c r="K73" s="9"/>
      <c r="L73" s="569">
        <f t="shared" si="23"/>
        <v>730.63299263643421</v>
      </c>
      <c r="M73" s="418"/>
      <c r="N73" s="531">
        <f t="shared" si="24"/>
        <v>926941.43336933292</v>
      </c>
      <c r="O73" s="711">
        <f t="shared" si="25"/>
        <v>3104459.5857122089</v>
      </c>
      <c r="P73" s="711">
        <v>1796557.8678053559</v>
      </c>
      <c r="Q73" s="418"/>
      <c r="R73" s="531">
        <f t="shared" si="26"/>
        <v>-229.51907131509688</v>
      </c>
      <c r="T73" s="22">
        <f t="shared" si="32"/>
        <v>-1788.7891126078484</v>
      </c>
      <c r="U73" s="418"/>
      <c r="V73" s="531">
        <f t="shared" si="27"/>
        <v>38.885624601577042</v>
      </c>
      <c r="W73" s="531">
        <f t="shared" si="28"/>
        <v>303.06057586283748</v>
      </c>
      <c r="X73" s="531">
        <f t="shared" si="29"/>
        <v>165225.01893210085</v>
      </c>
      <c r="Y73" s="570">
        <f t="shared" si="30"/>
        <v>1287704.3868411966</v>
      </c>
      <c r="AA73" s="711">
        <v>3214108.2455296284</v>
      </c>
      <c r="AC73" s="1">
        <v>823.61151756867275</v>
      </c>
      <c r="AE73" s="1340"/>
      <c r="AF73" s="115"/>
    </row>
    <row r="74" spans="1:32" ht="15.75" x14ac:dyDescent="0.25">
      <c r="B74" s="562" t="s">
        <v>15</v>
      </c>
      <c r="C74" s="6"/>
      <c r="D74" s="6"/>
      <c r="E74" s="740">
        <f t="shared" si="20"/>
        <v>14916.746827367237</v>
      </c>
      <c r="F74" s="566"/>
      <c r="G74" s="565">
        <f t="shared" si="21"/>
        <v>2772.4714663335526</v>
      </c>
      <c r="H74" s="566"/>
      <c r="I74" s="567">
        <f t="shared" si="31"/>
        <v>6133.4229421366999</v>
      </c>
      <c r="J74" s="568">
        <f t="shared" si="22"/>
        <v>422.7463784888763</v>
      </c>
      <c r="K74" s="9"/>
      <c r="L74" s="569">
        <f t="shared" si="23"/>
        <v>935.22417381551236</v>
      </c>
      <c r="M74" s="418"/>
      <c r="N74" s="531">
        <f t="shared" si="24"/>
        <v>152611.44263448435</v>
      </c>
      <c r="O74" s="711">
        <f t="shared" si="25"/>
        <v>337615.92674739996</v>
      </c>
      <c r="P74" s="711">
        <v>245340.16955762499</v>
      </c>
      <c r="Q74" s="418"/>
      <c r="R74" s="531">
        <f t="shared" si="26"/>
        <v>-994.70607647306679</v>
      </c>
      <c r="T74" s="22">
        <f t="shared" si="32"/>
        <v>-2553.9761177658183</v>
      </c>
      <c r="U74" s="418"/>
      <c r="V74" s="531">
        <f t="shared" si="27"/>
        <v>168.5252857508188</v>
      </c>
      <c r="W74" s="531">
        <f t="shared" si="28"/>
        <v>432.70023701207924</v>
      </c>
      <c r="X74" s="531">
        <f t="shared" si="29"/>
        <v>60837.628156045583</v>
      </c>
      <c r="Y74" s="570">
        <f t="shared" si="30"/>
        <v>156204.78556136059</v>
      </c>
      <c r="AA74" s="711">
        <v>342841.02674859401</v>
      </c>
      <c r="AC74" s="1">
        <v>321.35742805748481</v>
      </c>
      <c r="AE74" s="1340"/>
      <c r="AF74" s="115"/>
    </row>
    <row r="75" spans="1:32" ht="15.75" x14ac:dyDescent="0.25">
      <c r="B75" s="562" t="s">
        <v>16</v>
      </c>
      <c r="C75" s="6"/>
      <c r="D75" s="6"/>
      <c r="E75" s="740">
        <f t="shared" si="20"/>
        <v>12699.093146597317</v>
      </c>
      <c r="F75" s="566"/>
      <c r="G75" s="565">
        <f t="shared" si="21"/>
        <v>4990.125147103472</v>
      </c>
      <c r="H75" s="566"/>
      <c r="I75" s="567">
        <f t="shared" si="31"/>
        <v>8351.0766229066194</v>
      </c>
      <c r="J75" s="568">
        <f t="shared" si="22"/>
        <v>760.89415518279156</v>
      </c>
      <c r="K75" s="9"/>
      <c r="L75" s="569">
        <f t="shared" si="23"/>
        <v>1273.3719505094277</v>
      </c>
      <c r="M75" s="418"/>
      <c r="N75" s="531">
        <f t="shared" si="24"/>
        <v>189462.64464051509</v>
      </c>
      <c r="O75" s="711">
        <f t="shared" si="25"/>
        <v>317069.61567684752</v>
      </c>
      <c r="P75" s="711">
        <v>249837.27241862565</v>
      </c>
      <c r="Q75" s="418"/>
      <c r="R75" s="531">
        <f t="shared" si="26"/>
        <v>-3036.1015661062247</v>
      </c>
      <c r="T75" s="22">
        <f t="shared" si="32"/>
        <v>-4595.3716073989763</v>
      </c>
      <c r="U75" s="418"/>
      <c r="V75" s="531">
        <f t="shared" si="27"/>
        <v>514.38298819964427</v>
      </c>
      <c r="W75" s="531">
        <f t="shared" si="28"/>
        <v>778.55793946090478</v>
      </c>
      <c r="X75" s="531">
        <f t="shared" si="29"/>
        <v>128081.36406171143</v>
      </c>
      <c r="Y75" s="570">
        <f t="shared" si="30"/>
        <v>193860.92692576529</v>
      </c>
      <c r="AA75" s="711">
        <v>320376.26454822469</v>
      </c>
      <c r="AC75" s="1">
        <v>152.9313924754367</v>
      </c>
      <c r="AE75" s="1340"/>
      <c r="AF75" s="115"/>
    </row>
    <row r="76" spans="1:32" ht="15.75" x14ac:dyDescent="0.25">
      <c r="B76" s="562" t="s">
        <v>17</v>
      </c>
      <c r="C76" s="6"/>
      <c r="D76" s="6"/>
      <c r="E76" s="740">
        <f t="shared" si="20"/>
        <v>15421.445702790885</v>
      </c>
      <c r="F76" s="566"/>
      <c r="G76" s="565">
        <f t="shared" si="21"/>
        <v>2267.7725909099045</v>
      </c>
      <c r="H76" s="566"/>
      <c r="I76" s="567">
        <f t="shared" si="31"/>
        <v>5628.7240667130518</v>
      </c>
      <c r="J76" s="568">
        <f t="shared" si="22"/>
        <v>340.84622041375866</v>
      </c>
      <c r="K76" s="9"/>
      <c r="L76" s="569">
        <f t="shared" si="23"/>
        <v>845.99722722697175</v>
      </c>
      <c r="M76" s="418"/>
      <c r="N76" s="531">
        <f t="shared" si="24"/>
        <v>633973.96996959113</v>
      </c>
      <c r="O76" s="711">
        <f t="shared" si="25"/>
        <v>1573554.8426421674</v>
      </c>
      <c r="P76" s="711">
        <v>1003658.4447757722</v>
      </c>
      <c r="Q76" s="418"/>
      <c r="R76" s="531">
        <f t="shared" si="26"/>
        <v>-346.67810080507479</v>
      </c>
      <c r="T76" s="22">
        <f t="shared" si="32"/>
        <v>-1905.9481420978263</v>
      </c>
      <c r="U76" s="418"/>
      <c r="V76" s="531">
        <f t="shared" si="27"/>
        <v>57.895242834447494</v>
      </c>
      <c r="W76" s="531">
        <f t="shared" si="28"/>
        <v>318.29333973033704</v>
      </c>
      <c r="X76" s="531">
        <f t="shared" si="29"/>
        <v>107685.15167207234</v>
      </c>
      <c r="Y76" s="570">
        <f t="shared" si="30"/>
        <v>592025.6118984269</v>
      </c>
      <c r="AA76" s="711">
        <v>1602838.1499082537</v>
      </c>
      <c r="AC76" s="1">
        <v>168.20342044965818</v>
      </c>
      <c r="AE76" s="1340"/>
      <c r="AF76" s="115"/>
    </row>
    <row r="77" spans="1:32" ht="15.75" x14ac:dyDescent="0.25">
      <c r="B77" s="562" t="s">
        <v>18</v>
      </c>
      <c r="C77" s="6"/>
      <c r="D77" s="6"/>
      <c r="E77" s="740">
        <f t="shared" si="20"/>
        <v>15478.799111199542</v>
      </c>
      <c r="F77" s="566"/>
      <c r="G77" s="565">
        <f t="shared" si="21"/>
        <v>2210.4191825012476</v>
      </c>
      <c r="H77" s="566"/>
      <c r="I77" s="567">
        <f t="shared" si="31"/>
        <v>5571.370658304395</v>
      </c>
      <c r="J77" s="568">
        <f t="shared" si="22"/>
        <v>337.044660582387</v>
      </c>
      <c r="K77" s="9"/>
      <c r="L77" s="569">
        <f t="shared" si="23"/>
        <v>849.52245590902294</v>
      </c>
      <c r="M77" s="418"/>
      <c r="N77" s="531">
        <f t="shared" si="24"/>
        <v>134480.81957237242</v>
      </c>
      <c r="O77" s="711">
        <f t="shared" si="25"/>
        <v>338959.45990770013</v>
      </c>
      <c r="P77" s="711">
        <v>228702.42699344043</v>
      </c>
      <c r="Q77" s="418"/>
      <c r="R77" s="531">
        <f t="shared" si="26"/>
        <v>-871.09113068118131</v>
      </c>
      <c r="T77" s="22">
        <f t="shared" si="32"/>
        <v>-2430.3611719739329</v>
      </c>
      <c r="U77" s="418"/>
      <c r="V77" s="531">
        <f t="shared" si="27"/>
        <v>147.58217043728374</v>
      </c>
      <c r="W77" s="531">
        <f t="shared" si="28"/>
        <v>411.75712169854415</v>
      </c>
      <c r="X77" s="531">
        <f t="shared" si="29"/>
        <v>58885.286004476213</v>
      </c>
      <c r="Y77" s="570">
        <f t="shared" si="30"/>
        <v>164291.0915577191</v>
      </c>
      <c r="AA77" s="711">
        <v>346059.27032883832</v>
      </c>
      <c r="AC77" s="1">
        <v>738.0210881491339</v>
      </c>
      <c r="AE77" s="1340"/>
      <c r="AF77" s="115"/>
    </row>
    <row r="78" spans="1:32" ht="15.75" x14ac:dyDescent="0.25">
      <c r="B78" s="562" t="s">
        <v>19</v>
      </c>
      <c r="C78" s="6"/>
      <c r="D78" s="6"/>
      <c r="E78" s="740">
        <f t="shared" si="20"/>
        <v>15253.145561572363</v>
      </c>
      <c r="F78" s="566"/>
      <c r="G78" s="565">
        <f t="shared" si="21"/>
        <v>2436.0727321284267</v>
      </c>
      <c r="H78" s="566"/>
      <c r="I78" s="567">
        <f t="shared" si="31"/>
        <v>5797.024207931574</v>
      </c>
      <c r="J78" s="568">
        <f t="shared" si="22"/>
        <v>362.85303345052915</v>
      </c>
      <c r="K78" s="9"/>
      <c r="L78" s="569">
        <f t="shared" si="23"/>
        <v>863.46675577140797</v>
      </c>
      <c r="M78" s="418"/>
      <c r="N78" s="531">
        <f t="shared" si="24"/>
        <v>656763.99054545781</v>
      </c>
      <c r="O78" s="711">
        <f t="shared" si="25"/>
        <v>1562874.8279462485</v>
      </c>
      <c r="P78" s="711">
        <v>1085053.807566036</v>
      </c>
      <c r="Q78" s="418"/>
      <c r="R78" s="531">
        <f t="shared" si="26"/>
        <v>-1653.2791804093358</v>
      </c>
      <c r="T78" s="22">
        <f t="shared" si="32"/>
        <v>-3212.5492217020874</v>
      </c>
      <c r="U78" s="418"/>
      <c r="V78" s="531">
        <f t="shared" si="27"/>
        <v>273.61770435774508</v>
      </c>
      <c r="W78" s="531">
        <f t="shared" si="28"/>
        <v>531.6768961916955</v>
      </c>
      <c r="X78" s="531">
        <f t="shared" si="29"/>
        <v>495248.04488751863</v>
      </c>
      <c r="Y78" s="570">
        <f t="shared" si="30"/>
        <v>962335.18210696883</v>
      </c>
      <c r="AA78" s="711">
        <v>1598411.6435146686</v>
      </c>
      <c r="AC78" s="1">
        <v>1279.4395936209373</v>
      </c>
      <c r="AE78" s="1340"/>
      <c r="AF78" s="115"/>
    </row>
    <row r="79" spans="1:32" ht="15.75" x14ac:dyDescent="0.25">
      <c r="B79" s="562" t="s">
        <v>20</v>
      </c>
      <c r="C79" s="6"/>
      <c r="D79" s="6"/>
      <c r="E79" s="740">
        <f t="shared" si="20"/>
        <v>15769.485565454581</v>
      </c>
      <c r="F79" s="566"/>
      <c r="G79" s="565">
        <f t="shared" si="21"/>
        <v>1919.7327282462084</v>
      </c>
      <c r="H79" s="566"/>
      <c r="I79" s="567">
        <f t="shared" si="31"/>
        <v>5280.6842040493557</v>
      </c>
      <c r="J79" s="568">
        <f t="shared" si="22"/>
        <v>292.72079745004555</v>
      </c>
      <c r="K79" s="9"/>
      <c r="L79" s="569">
        <f t="shared" si="23"/>
        <v>805.19859277668161</v>
      </c>
      <c r="M79" s="418"/>
      <c r="N79" s="531">
        <f t="shared" si="24"/>
        <v>30150.242137354693</v>
      </c>
      <c r="O79" s="711">
        <f t="shared" si="25"/>
        <v>82935.455055998202</v>
      </c>
      <c r="P79" s="711">
        <v>60396.839409862776</v>
      </c>
      <c r="Q79" s="418"/>
      <c r="R79" s="531">
        <f t="shared" si="26"/>
        <v>78.765512737440076</v>
      </c>
      <c r="T79" s="22">
        <f t="shared" si="32"/>
        <v>-1480.5045285553115</v>
      </c>
      <c r="U79" s="418"/>
      <c r="V79" s="531">
        <f t="shared" si="27"/>
        <v>0</v>
      </c>
      <c r="W79" s="531">
        <f t="shared" si="28"/>
        <v>250.83032529048879</v>
      </c>
      <c r="X79" s="531">
        <f t="shared" si="29"/>
        <v>0</v>
      </c>
      <c r="Y79" s="570">
        <f t="shared" si="30"/>
        <v>25835.523504920344</v>
      </c>
      <c r="AA79" s="711">
        <v>84226.749639606627</v>
      </c>
      <c r="AC79" s="1">
        <v>113.32867536388478</v>
      </c>
      <c r="AE79" s="1340"/>
      <c r="AF79" s="115"/>
    </row>
    <row r="80" spans="1:32" ht="15.75" x14ac:dyDescent="0.25">
      <c r="B80" s="562" t="s">
        <v>21</v>
      </c>
      <c r="C80" s="6"/>
      <c r="D80" s="6"/>
      <c r="E80" s="740">
        <f t="shared" si="20"/>
        <v>13731.453396607592</v>
      </c>
      <c r="F80" s="566"/>
      <c r="G80" s="565">
        <f t="shared" si="21"/>
        <v>3957.7648970931969</v>
      </c>
      <c r="H80" s="566"/>
      <c r="I80" s="567">
        <f t="shared" si="31"/>
        <v>7318.7163728963442</v>
      </c>
      <c r="J80" s="568">
        <f t="shared" si="22"/>
        <v>603.47989058627775</v>
      </c>
      <c r="K80" s="9"/>
      <c r="L80" s="569">
        <f t="shared" si="23"/>
        <v>1115.9576859129138</v>
      </c>
      <c r="M80" s="418"/>
      <c r="N80" s="531">
        <f t="shared" si="24"/>
        <v>622791.24708503869</v>
      </c>
      <c r="O80" s="711">
        <f t="shared" si="25"/>
        <v>1151668.3318621269</v>
      </c>
      <c r="P80" s="711">
        <v>866266.73471265205</v>
      </c>
      <c r="Q80" s="418"/>
      <c r="R80" s="531">
        <f t="shared" si="26"/>
        <v>-1924.6736767482707</v>
      </c>
      <c r="T80" s="22">
        <f t="shared" si="32"/>
        <v>-3483.9437180410223</v>
      </c>
      <c r="U80" s="418"/>
      <c r="V80" s="531">
        <f t="shared" si="27"/>
        <v>326.08243683516275</v>
      </c>
      <c r="W80" s="531">
        <f t="shared" si="28"/>
        <v>590.25738809642314</v>
      </c>
      <c r="X80" s="531">
        <f t="shared" si="29"/>
        <v>336517.07481388794</v>
      </c>
      <c r="Y80" s="570">
        <f t="shared" si="30"/>
        <v>609145.62451550865</v>
      </c>
      <c r="AA80" s="711">
        <v>1167009.5973710816</v>
      </c>
      <c r="AC80" s="1">
        <v>63.463351265436124</v>
      </c>
      <c r="AE80" s="1340"/>
      <c r="AF80" s="115"/>
    </row>
    <row r="81" spans="2:32" ht="15.75" x14ac:dyDescent="0.25">
      <c r="B81" s="562" t="s">
        <v>22</v>
      </c>
      <c r="C81" s="6"/>
      <c r="D81" s="6"/>
      <c r="E81" s="740">
        <f t="shared" si="20"/>
        <v>12004.806234713456</v>
      </c>
      <c r="F81" s="566"/>
      <c r="G81" s="565">
        <f t="shared" si="21"/>
        <v>5684.4120589873328</v>
      </c>
      <c r="H81" s="566"/>
      <c r="I81" s="567">
        <f t="shared" si="31"/>
        <v>9045.3635347904801</v>
      </c>
      <c r="J81" s="568">
        <f t="shared" si="22"/>
        <v>866.75900580261623</v>
      </c>
      <c r="K81" s="9"/>
      <c r="L81" s="569">
        <f t="shared" si="23"/>
        <v>1379.2368011292522</v>
      </c>
      <c r="M81" s="418"/>
      <c r="N81" s="531">
        <f t="shared" si="24"/>
        <v>389174.7936053747</v>
      </c>
      <c r="O81" s="711">
        <f t="shared" si="25"/>
        <v>619277.32370703423</v>
      </c>
      <c r="P81" s="711">
        <v>533036.073735671</v>
      </c>
      <c r="Q81" s="418"/>
      <c r="R81" s="531">
        <f t="shared" si="26"/>
        <v>-3655.5420809853204</v>
      </c>
      <c r="T81" s="22">
        <f t="shared" si="32"/>
        <v>-5214.8121222780719</v>
      </c>
      <c r="U81" s="418"/>
      <c r="V81" s="531">
        <f t="shared" si="27"/>
        <v>619.32995921421264</v>
      </c>
      <c r="W81" s="531">
        <f t="shared" si="28"/>
        <v>883.50491047547303</v>
      </c>
      <c r="X81" s="531">
        <f t="shared" si="29"/>
        <v>278079.1516871815</v>
      </c>
      <c r="Y81" s="570">
        <f t="shared" si="30"/>
        <v>396693.7048034874</v>
      </c>
      <c r="AA81" s="711">
        <v>626010.43404236529</v>
      </c>
      <c r="AC81" s="1">
        <v>66.830553335138958</v>
      </c>
      <c r="AE81" s="1340"/>
      <c r="AF81" s="115"/>
    </row>
    <row r="82" spans="2:32" ht="16.5" thickBot="1" x14ac:dyDescent="0.3">
      <c r="B82" s="562" t="s">
        <v>23</v>
      </c>
      <c r="C82" s="6"/>
      <c r="D82" s="6"/>
      <c r="E82" s="741">
        <f t="shared" si="20"/>
        <v>21991.330323536895</v>
      </c>
      <c r="F82" s="566"/>
      <c r="G82" s="565">
        <f t="shared" si="21"/>
        <v>-4302.1120298361056</v>
      </c>
      <c r="H82" s="566"/>
      <c r="I82" s="567">
        <f t="shared" si="31"/>
        <v>-941.16055403295832</v>
      </c>
      <c r="J82" s="568">
        <f t="shared" si="22"/>
        <v>0</v>
      </c>
      <c r="K82" s="9"/>
      <c r="L82" s="569">
        <f t="shared" si="23"/>
        <v>0</v>
      </c>
      <c r="M82" s="418"/>
      <c r="N82" s="531">
        <f t="shared" si="24"/>
        <v>0</v>
      </c>
      <c r="O82" s="711">
        <f t="shared" si="25"/>
        <v>0</v>
      </c>
      <c r="P82" s="711">
        <v>0</v>
      </c>
      <c r="Q82" s="557"/>
      <c r="R82" s="571">
        <f t="shared" si="26"/>
        <v>2141.8640719935938</v>
      </c>
      <c r="T82" s="22">
        <f t="shared" si="32"/>
        <v>582.59403070084227</v>
      </c>
      <c r="U82" s="557"/>
      <c r="V82" s="571">
        <f t="shared" si="27"/>
        <v>0</v>
      </c>
      <c r="W82" s="571">
        <f t="shared" si="28"/>
        <v>0</v>
      </c>
      <c r="X82" s="531">
        <f t="shared" si="29"/>
        <v>0</v>
      </c>
      <c r="Y82" s="572">
        <f t="shared" si="30"/>
        <v>0</v>
      </c>
      <c r="AA82" s="711">
        <v>0</v>
      </c>
      <c r="AC82" s="1">
        <v>4161.4277423372832</v>
      </c>
      <c r="AE82" s="1340"/>
      <c r="AF82" s="115"/>
    </row>
    <row r="83" spans="2:32" ht="16.5" thickBot="1" x14ac:dyDescent="0.3">
      <c r="B83" s="493" t="s">
        <v>247</v>
      </c>
      <c r="C83" s="6"/>
      <c r="D83" s="6"/>
      <c r="E83" s="741">
        <f t="shared" si="20"/>
        <v>17689.218293700789</v>
      </c>
      <c r="F83" s="574"/>
      <c r="G83" s="575">
        <f t="shared" si="21"/>
        <v>0</v>
      </c>
      <c r="H83" s="576"/>
      <c r="I83" s="577">
        <f t="shared" si="31"/>
        <v>3360.9514758031473</v>
      </c>
      <c r="J83" s="435"/>
      <c r="K83" s="494"/>
      <c r="L83" s="494"/>
      <c r="M83" s="420"/>
      <c r="N83" s="539">
        <f>SUM(N67:N82)</f>
        <v>7422265.6958376886</v>
      </c>
      <c r="O83" s="714">
        <f>SUM(O67:O82)</f>
        <v>16130637.764756812</v>
      </c>
      <c r="P83" s="714">
        <v>11404539.007001117</v>
      </c>
      <c r="Q83" s="420"/>
      <c r="R83" s="579">
        <f t="shared" si="26"/>
        <v>0</v>
      </c>
      <c r="S83" s="420"/>
      <c r="T83" s="422"/>
      <c r="U83" s="557"/>
      <c r="V83" s="507"/>
      <c r="W83" s="420"/>
      <c r="X83" s="573">
        <f>SUM(X67:X82)</f>
        <v>4093792.5967186</v>
      </c>
      <c r="Y83" s="571">
        <f>SUM(Y67:Y82)</f>
        <v>8581458.9676734842</v>
      </c>
      <c r="AA83" s="714">
        <v>16454736.656144988</v>
      </c>
      <c r="AC83" s="1">
        <v>2030.3815809540308</v>
      </c>
      <c r="AE83" s="1340"/>
      <c r="AF83" s="115"/>
    </row>
    <row r="85" spans="2:32" x14ac:dyDescent="0.2">
      <c r="Q85" s="569"/>
      <c r="R85" s="37"/>
    </row>
    <row r="86" spans="2:32" x14ac:dyDescent="0.2">
      <c r="F86" s="1" t="s">
        <v>395</v>
      </c>
      <c r="Q86" s="569"/>
      <c r="R86" s="37"/>
    </row>
    <row r="87" spans="2:32" ht="15.75" thickBot="1" x14ac:dyDescent="0.25">
      <c r="Q87" s="569"/>
      <c r="R87" s="37"/>
    </row>
    <row r="88" spans="2:32" ht="15.75" thickBot="1" x14ac:dyDescent="0.25">
      <c r="F88" s="553" t="s">
        <v>255</v>
      </c>
      <c r="G88" s="554"/>
      <c r="H88" s="554"/>
      <c r="I88" s="554"/>
      <c r="J88" s="554"/>
      <c r="K88" s="554"/>
      <c r="L88" s="554"/>
      <c r="M88" s="554"/>
      <c r="N88" s="554"/>
      <c r="O88" s="555"/>
      <c r="Q88" s="569"/>
      <c r="R88" s="37"/>
    </row>
    <row r="89" spans="2:32" x14ac:dyDescent="0.2">
      <c r="B89" s="1371" t="s">
        <v>257</v>
      </c>
      <c r="C89" s="1408"/>
      <c r="D89" s="1408"/>
      <c r="E89" s="1372"/>
      <c r="F89" s="544"/>
      <c r="G89" s="499"/>
      <c r="H89" s="3"/>
      <c r="I89" s="3"/>
      <c r="J89" s="2"/>
      <c r="K89" s="3"/>
      <c r="L89" s="3"/>
      <c r="M89" s="544"/>
      <c r="N89" s="499"/>
      <c r="O89" s="2"/>
      <c r="Q89" s="569"/>
      <c r="R89" s="37"/>
    </row>
    <row r="90" spans="2:32" x14ac:dyDescent="0.2">
      <c r="B90" s="1366"/>
      <c r="C90" s="1364"/>
      <c r="D90" s="1364"/>
      <c r="E90" s="1367"/>
      <c r="F90" s="1366" t="s">
        <v>262</v>
      </c>
      <c r="G90" s="1367"/>
      <c r="H90" s="1364" t="s">
        <v>263</v>
      </c>
      <c r="I90" s="1364"/>
      <c r="J90" s="1368" t="s">
        <v>264</v>
      </c>
      <c r="K90" s="1365" t="s">
        <v>265</v>
      </c>
      <c r="L90" s="1365"/>
      <c r="M90" s="418"/>
      <c r="N90" s="1369" t="s">
        <v>266</v>
      </c>
      <c r="O90" s="1368" t="s">
        <v>267</v>
      </c>
      <c r="Q90" s="569"/>
      <c r="R90" s="37"/>
    </row>
    <row r="91" spans="2:32" x14ac:dyDescent="0.2">
      <c r="B91" s="1366"/>
      <c r="C91" s="1364"/>
      <c r="D91" s="1364"/>
      <c r="E91" s="1367"/>
      <c r="F91" s="1366"/>
      <c r="G91" s="1367"/>
      <c r="H91" s="1364"/>
      <c r="I91" s="1364"/>
      <c r="J91" s="1368"/>
      <c r="K91" s="1365"/>
      <c r="L91" s="1365"/>
      <c r="M91" s="418"/>
      <c r="N91" s="1369"/>
      <c r="O91" s="1368"/>
      <c r="Q91" s="569"/>
      <c r="R91" s="37"/>
    </row>
    <row r="92" spans="2:32" ht="15.75" x14ac:dyDescent="0.25">
      <c r="B92" s="1366"/>
      <c r="C92" s="1364"/>
      <c r="D92" s="1364"/>
      <c r="E92" s="1367"/>
      <c r="F92" s="1366"/>
      <c r="G92" s="1367"/>
      <c r="H92" s="1364"/>
      <c r="I92" s="1364"/>
      <c r="J92" s="1368"/>
      <c r="K92" s="709"/>
      <c r="L92" s="709"/>
      <c r="M92" s="418"/>
      <c r="N92" s="1369"/>
      <c r="O92" s="1368"/>
      <c r="Q92" s="569"/>
      <c r="R92" s="37"/>
    </row>
    <row r="93" spans="2:32" ht="16.5" thickBot="1" x14ac:dyDescent="0.3">
      <c r="B93" s="1373"/>
      <c r="C93" s="1409"/>
      <c r="D93" s="1409"/>
      <c r="E93" s="1374"/>
      <c r="F93" s="1366"/>
      <c r="G93" s="1367"/>
      <c r="H93" s="1364"/>
      <c r="I93" s="1364"/>
      <c r="J93" s="1368"/>
      <c r="K93" s="709"/>
      <c r="L93" s="709"/>
      <c r="M93" s="418"/>
      <c r="N93" s="1369"/>
      <c r="O93" s="1368"/>
      <c r="Q93" s="569"/>
      <c r="R93" s="37"/>
    </row>
    <row r="94" spans="2:32" ht="16.5" thickBot="1" x14ac:dyDescent="0.3">
      <c r="B94" s="493"/>
      <c r="C94" s="494"/>
      <c r="D94" s="494"/>
      <c r="E94" s="495">
        <v>2013</v>
      </c>
      <c r="F94" s="558"/>
      <c r="G94" s="559"/>
      <c r="H94" s="560"/>
      <c r="I94" s="560"/>
      <c r="J94" s="561"/>
      <c r="K94" s="421"/>
      <c r="L94" s="421"/>
      <c r="M94" s="420"/>
      <c r="N94" s="422"/>
      <c r="O94" s="561"/>
      <c r="Q94" s="569"/>
      <c r="R94" s="37"/>
    </row>
    <row r="95" spans="2:32" ht="15.75" x14ac:dyDescent="0.25">
      <c r="B95" s="562" t="s">
        <v>8</v>
      </c>
      <c r="C95" s="562"/>
      <c r="D95" s="562"/>
      <c r="E95" s="563">
        <v>2654.7680644939264</v>
      </c>
      <c r="F95" s="564"/>
      <c r="G95" s="565">
        <v>421.69273965205002</v>
      </c>
      <c r="H95" s="566"/>
      <c r="I95" s="567">
        <v>729.33882006664817</v>
      </c>
      <c r="J95" s="568">
        <v>379.52346568684504</v>
      </c>
      <c r="K95" s="9"/>
      <c r="L95" s="569">
        <v>656.40493805998335</v>
      </c>
      <c r="M95" s="418"/>
      <c r="N95" s="531">
        <v>196593.15522578574</v>
      </c>
      <c r="O95" s="568">
        <v>340017.75791507139</v>
      </c>
      <c r="Q95" s="569"/>
      <c r="R95" s="37"/>
    </row>
    <row r="96" spans="2:32" ht="15.75" x14ac:dyDescent="0.25">
      <c r="B96" s="562" t="s">
        <v>9</v>
      </c>
      <c r="C96" s="562"/>
      <c r="D96" s="562"/>
      <c r="E96" s="570">
        <v>2409.1948955682587</v>
      </c>
      <c r="F96" s="564"/>
      <c r="G96" s="565">
        <v>667.26590857771771</v>
      </c>
      <c r="H96" s="566"/>
      <c r="I96" s="567">
        <v>974.91198899231586</v>
      </c>
      <c r="J96" s="568">
        <v>600.53931771994598</v>
      </c>
      <c r="K96" s="9"/>
      <c r="L96" s="569">
        <v>877.42079009308429</v>
      </c>
      <c r="M96" s="418"/>
      <c r="N96" s="531">
        <v>553096.71162007027</v>
      </c>
      <c r="O96" s="568">
        <v>808104.54767573066</v>
      </c>
      <c r="Q96" s="569"/>
      <c r="R96" s="37"/>
    </row>
    <row r="97" spans="2:18" ht="15.75" x14ac:dyDescent="0.25">
      <c r="B97" s="562" t="s">
        <v>10</v>
      </c>
      <c r="C97" s="562"/>
      <c r="D97" s="562"/>
      <c r="E97" s="570">
        <v>2574.8580789313751</v>
      </c>
      <c r="F97" s="564"/>
      <c r="G97" s="565">
        <v>501.60272521460138</v>
      </c>
      <c r="H97" s="566"/>
      <c r="I97" s="567">
        <v>809.24880562919952</v>
      </c>
      <c r="J97" s="568">
        <v>451.44245269314126</v>
      </c>
      <c r="K97" s="9"/>
      <c r="L97" s="569">
        <v>728.32392506627957</v>
      </c>
      <c r="M97" s="418"/>
      <c r="N97" s="531">
        <v>1120931.6100370698</v>
      </c>
      <c r="O97" s="568">
        <v>1808428.3059395722</v>
      </c>
      <c r="Q97" s="569"/>
      <c r="R97" s="37"/>
    </row>
    <row r="98" spans="2:18" ht="15.75" x14ac:dyDescent="0.25">
      <c r="B98" s="562" t="s">
        <v>11</v>
      </c>
      <c r="C98" s="562"/>
      <c r="D98" s="562"/>
      <c r="E98" s="570">
        <v>2691.4098263892156</v>
      </c>
      <c r="F98" s="564"/>
      <c r="G98" s="565">
        <v>385.05097775676086</v>
      </c>
      <c r="H98" s="566"/>
      <c r="I98" s="567">
        <v>692.697058171359</v>
      </c>
      <c r="J98" s="568">
        <v>346.54587998108479</v>
      </c>
      <c r="K98" s="9"/>
      <c r="L98" s="569">
        <v>623.4273523542231</v>
      </c>
      <c r="M98" s="418"/>
      <c r="N98" s="531">
        <v>199610.42686910485</v>
      </c>
      <c r="O98" s="568">
        <v>359094.15495603252</v>
      </c>
      <c r="Q98" s="569"/>
      <c r="R98" s="37"/>
    </row>
    <row r="99" spans="2:18" ht="15.75" x14ac:dyDescent="0.25">
      <c r="B99" s="562" t="s">
        <v>12</v>
      </c>
      <c r="C99" s="562"/>
      <c r="D99" s="562"/>
      <c r="E99" s="570">
        <v>1850.7581657490268</v>
      </c>
      <c r="F99" s="564"/>
      <c r="G99" s="565">
        <v>1225.7026383969496</v>
      </c>
      <c r="H99" s="566"/>
      <c r="I99" s="567">
        <v>1533.3487188115478</v>
      </c>
      <c r="J99" s="568">
        <v>1103.1323745572547</v>
      </c>
      <c r="K99" s="9"/>
      <c r="L99" s="569">
        <v>1380.0138469303931</v>
      </c>
      <c r="M99" s="418"/>
      <c r="N99" s="531">
        <v>503028.36279810814</v>
      </c>
      <c r="O99" s="568">
        <v>629286.31420025928</v>
      </c>
      <c r="Q99" s="569"/>
      <c r="R99" s="37"/>
    </row>
    <row r="100" spans="2:18" ht="15.75" x14ac:dyDescent="0.25">
      <c r="B100" s="562" t="s">
        <v>13</v>
      </c>
      <c r="C100" s="562"/>
      <c r="D100" s="562"/>
      <c r="E100" s="570">
        <v>2389.6992850613929</v>
      </c>
      <c r="F100" s="564"/>
      <c r="G100" s="565">
        <v>686.7615190845836</v>
      </c>
      <c r="H100" s="566"/>
      <c r="I100" s="567">
        <v>994.40759949918174</v>
      </c>
      <c r="J100" s="568">
        <v>618.08536717612526</v>
      </c>
      <c r="K100" s="9"/>
      <c r="L100" s="569">
        <v>894.96683954926357</v>
      </c>
      <c r="M100" s="418"/>
      <c r="N100" s="531">
        <v>890042.92873362033</v>
      </c>
      <c r="O100" s="568">
        <v>1288752.2489509396</v>
      </c>
      <c r="Q100" s="569"/>
      <c r="R100" s="37"/>
    </row>
    <row r="101" spans="2:18" ht="15.75" x14ac:dyDescent="0.25">
      <c r="B101" s="562" t="s">
        <v>14</v>
      </c>
      <c r="C101" s="562"/>
      <c r="D101" s="562"/>
      <c r="E101" s="570">
        <v>2896.60674794125</v>
      </c>
      <c r="F101" s="564"/>
      <c r="G101" s="565">
        <v>179.85405620472648</v>
      </c>
      <c r="H101" s="566"/>
      <c r="I101" s="567">
        <v>487.50013661932462</v>
      </c>
      <c r="J101" s="568">
        <v>161.86865058425383</v>
      </c>
      <c r="K101" s="9"/>
      <c r="L101" s="569">
        <v>438.75012295739219</v>
      </c>
      <c r="M101" s="418"/>
      <c r="N101" s="531">
        <v>634039.50433852221</v>
      </c>
      <c r="O101" s="568">
        <v>1718584.2316241052</v>
      </c>
      <c r="Q101" s="736"/>
      <c r="R101" s="37"/>
    </row>
    <row r="102" spans="2:18" ht="15.75" x14ac:dyDescent="0.25">
      <c r="B102" s="562" t="s">
        <v>15</v>
      </c>
      <c r="C102" s="562"/>
      <c r="D102" s="562"/>
      <c r="E102" s="570">
        <v>2603.2971501358857</v>
      </c>
      <c r="F102" s="564"/>
      <c r="G102" s="565">
        <v>473.1636540100908</v>
      </c>
      <c r="H102" s="566"/>
      <c r="I102" s="567">
        <v>780.80973442468894</v>
      </c>
      <c r="J102" s="568">
        <v>425.84728860908172</v>
      </c>
      <c r="K102" s="9"/>
      <c r="L102" s="569">
        <v>702.72876098222002</v>
      </c>
      <c r="M102" s="418"/>
      <c r="N102" s="531">
        <v>153305.02389926941</v>
      </c>
      <c r="O102" s="568">
        <v>252982.3539535992</v>
      </c>
      <c r="Q102" s="9"/>
      <c r="R102" s="9"/>
    </row>
    <row r="103" spans="2:18" ht="15.75" x14ac:dyDescent="0.25">
      <c r="B103" s="562" t="s">
        <v>16</v>
      </c>
      <c r="C103" s="562"/>
      <c r="D103" s="562"/>
      <c r="E103" s="570">
        <v>2242.1674788031364</v>
      </c>
      <c r="F103" s="564"/>
      <c r="G103" s="565">
        <v>834.29332534284003</v>
      </c>
      <c r="H103" s="566"/>
      <c r="I103" s="567">
        <v>1141.9394057574382</v>
      </c>
      <c r="J103" s="568">
        <v>750.86399280855608</v>
      </c>
      <c r="K103" s="9"/>
      <c r="L103" s="569">
        <v>1027.7454651816945</v>
      </c>
      <c r="M103" s="418"/>
      <c r="N103" s="531">
        <v>196726.36611584169</v>
      </c>
      <c r="O103" s="568">
        <v>269269.31187760393</v>
      </c>
      <c r="Q103" s="9"/>
      <c r="R103" s="9"/>
    </row>
    <row r="104" spans="2:18" ht="15.75" x14ac:dyDescent="0.25">
      <c r="B104" s="562" t="s">
        <v>17</v>
      </c>
      <c r="C104" s="562"/>
      <c r="D104" s="562"/>
      <c r="E104" s="570">
        <v>2738.7291126646674</v>
      </c>
      <c r="F104" s="564"/>
      <c r="G104" s="565">
        <v>337.7316914813091</v>
      </c>
      <c r="H104" s="566"/>
      <c r="I104" s="567">
        <v>645.37777189590724</v>
      </c>
      <c r="J104" s="568">
        <v>303.95852233317822</v>
      </c>
      <c r="K104" s="9"/>
      <c r="L104" s="569">
        <v>580.83999470631659</v>
      </c>
      <c r="M104" s="418"/>
      <c r="N104" s="531">
        <v>541958.04532005673</v>
      </c>
      <c r="O104" s="568">
        <v>1035637.7105613624</v>
      </c>
      <c r="Q104" s="9"/>
      <c r="R104" s="9"/>
    </row>
    <row r="105" spans="2:18" ht="15.75" x14ac:dyDescent="0.25">
      <c r="B105" s="562" t="s">
        <v>18</v>
      </c>
      <c r="C105" s="562"/>
      <c r="D105" s="562"/>
      <c r="E105" s="570">
        <v>2743.4985147070383</v>
      </c>
      <c r="F105" s="564"/>
      <c r="G105" s="565">
        <v>332.96228943893811</v>
      </c>
      <c r="H105" s="566"/>
      <c r="I105" s="567">
        <v>640.60836985353626</v>
      </c>
      <c r="J105" s="568">
        <v>299.66606049504429</v>
      </c>
      <c r="K105" s="9"/>
      <c r="L105" s="569">
        <v>576.54753286818266</v>
      </c>
      <c r="M105" s="418"/>
      <c r="N105" s="531">
        <v>115970.76541158214</v>
      </c>
      <c r="O105" s="568">
        <v>223123.89521998668</v>
      </c>
    </row>
    <row r="106" spans="2:18" ht="15.75" x14ac:dyDescent="0.25">
      <c r="B106" s="562" t="s">
        <v>19</v>
      </c>
      <c r="C106" s="562"/>
      <c r="D106" s="562"/>
      <c r="E106" s="570">
        <v>2624.570148222665</v>
      </c>
      <c r="F106" s="564"/>
      <c r="G106" s="565">
        <v>451.89065592331144</v>
      </c>
      <c r="H106" s="566"/>
      <c r="I106" s="567">
        <v>759.53673633790959</v>
      </c>
      <c r="J106" s="568">
        <v>406.70159033098031</v>
      </c>
      <c r="K106" s="9"/>
      <c r="L106" s="569">
        <v>683.58306270411867</v>
      </c>
      <c r="M106" s="418"/>
      <c r="N106" s="531">
        <v>712947.88785020844</v>
      </c>
      <c r="O106" s="568">
        <v>1198321.1089203199</v>
      </c>
    </row>
    <row r="107" spans="2:18" ht="15.75" x14ac:dyDescent="0.25">
      <c r="B107" s="562" t="s">
        <v>20</v>
      </c>
      <c r="C107" s="562"/>
      <c r="D107" s="562"/>
      <c r="E107" s="570">
        <v>2701.8196401363634</v>
      </c>
      <c r="F107" s="564"/>
      <c r="G107" s="565">
        <v>374.64116400961302</v>
      </c>
      <c r="H107" s="566"/>
      <c r="I107" s="567">
        <v>682.28724442421117</v>
      </c>
      <c r="J107" s="568">
        <v>337.17704760865172</v>
      </c>
      <c r="K107" s="9"/>
      <c r="L107" s="569">
        <v>614.05851998179003</v>
      </c>
      <c r="M107" s="418"/>
      <c r="N107" s="531">
        <v>38775.360474994945</v>
      </c>
      <c r="O107" s="568">
        <v>70616.729797905849</v>
      </c>
    </row>
    <row r="108" spans="2:18" ht="15.75" x14ac:dyDescent="0.25">
      <c r="B108" s="562" t="s">
        <v>21</v>
      </c>
      <c r="C108" s="562"/>
      <c r="D108" s="562"/>
      <c r="E108" s="570">
        <v>2425.3222016775098</v>
      </c>
      <c r="F108" s="564"/>
      <c r="G108" s="565">
        <v>651.13860246846662</v>
      </c>
      <c r="H108" s="566"/>
      <c r="I108" s="567">
        <v>958.78468288306476</v>
      </c>
      <c r="J108" s="568">
        <v>586.02474222161993</v>
      </c>
      <c r="K108" s="9"/>
      <c r="L108" s="569">
        <v>862.90621459475835</v>
      </c>
      <c r="M108" s="418"/>
      <c r="N108" s="531">
        <v>604191.50923049019</v>
      </c>
      <c r="O108" s="568">
        <v>889656.30724719586</v>
      </c>
    </row>
    <row r="109" spans="2:18" ht="15.75" x14ac:dyDescent="0.25">
      <c r="B109" s="562" t="s">
        <v>22</v>
      </c>
      <c r="C109" s="562"/>
      <c r="D109" s="562"/>
      <c r="E109" s="570">
        <v>2038.0179225503391</v>
      </c>
      <c r="F109" s="564"/>
      <c r="G109" s="565">
        <v>1038.4428815956373</v>
      </c>
      <c r="H109" s="566"/>
      <c r="I109" s="567">
        <v>1346.0889620102355</v>
      </c>
      <c r="J109" s="568">
        <v>934.59859343607366</v>
      </c>
      <c r="K109" s="9"/>
      <c r="L109" s="569">
        <v>1211.480065809212</v>
      </c>
      <c r="M109" s="418"/>
      <c r="N109" s="531">
        <v>419634.76845279709</v>
      </c>
      <c r="O109" s="568">
        <v>543954.54954833619</v>
      </c>
    </row>
    <row r="110" spans="2:18" ht="16.5" thickBot="1" x14ac:dyDescent="0.3">
      <c r="B110" s="562" t="s">
        <v>23</v>
      </c>
      <c r="C110" s="562"/>
      <c r="D110" s="562"/>
      <c r="E110" s="570">
        <v>3770.7159936426542</v>
      </c>
      <c r="F110" s="564"/>
      <c r="G110" s="565">
        <v>-694.25518949667776</v>
      </c>
      <c r="H110" s="566"/>
      <c r="I110" s="567">
        <v>-386.60910908207961</v>
      </c>
      <c r="J110" s="568">
        <v>0</v>
      </c>
      <c r="K110" s="9"/>
      <c r="L110" s="569">
        <v>0</v>
      </c>
      <c r="M110" s="418"/>
      <c r="N110" s="531">
        <v>0</v>
      </c>
      <c r="O110" s="568">
        <v>0</v>
      </c>
    </row>
    <row r="111" spans="2:18" ht="16.5" thickBot="1" x14ac:dyDescent="0.3">
      <c r="B111" s="493" t="s">
        <v>247</v>
      </c>
      <c r="C111" s="493"/>
      <c r="D111" s="493"/>
      <c r="E111" s="573"/>
      <c r="F111" s="574"/>
      <c r="G111" s="575">
        <v>3076.4608041459765</v>
      </c>
      <c r="H111" s="576"/>
      <c r="I111" s="577">
        <v>3384.1068845605746</v>
      </c>
      <c r="J111" s="435"/>
      <c r="K111" s="494"/>
      <c r="L111" s="494"/>
      <c r="M111" s="420"/>
      <c r="N111" s="539">
        <v>6880852.4263775209</v>
      </c>
      <c r="O111" s="578">
        <v>11435829.528388018</v>
      </c>
    </row>
  </sheetData>
  <mergeCells count="20">
    <mergeCell ref="X63:X65"/>
    <mergeCell ref="Y63:Y65"/>
    <mergeCell ref="U61:V65"/>
    <mergeCell ref="W61:W64"/>
    <mergeCell ref="N90:N93"/>
    <mergeCell ref="O90:O93"/>
    <mergeCell ref="B61:E65"/>
    <mergeCell ref="Q61:R65"/>
    <mergeCell ref="S61:T65"/>
    <mergeCell ref="F62:G65"/>
    <mergeCell ref="H62:I65"/>
    <mergeCell ref="J62:J65"/>
    <mergeCell ref="K62:L63"/>
    <mergeCell ref="N62:N65"/>
    <mergeCell ref="O62:O65"/>
    <mergeCell ref="B89:E93"/>
    <mergeCell ref="F90:G93"/>
    <mergeCell ref="H90:I93"/>
    <mergeCell ref="J90:J93"/>
    <mergeCell ref="K90:L9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226"/>
  <sheetViews>
    <sheetView zoomScale="85" zoomScaleNormal="85" workbookViewId="0">
      <selection activeCell="G8" sqref="G8"/>
    </sheetView>
  </sheetViews>
  <sheetFormatPr defaultColWidth="8.88671875" defaultRowHeight="15" x14ac:dyDescent="0.2"/>
  <cols>
    <col min="1" max="1" width="2.21875" style="1" customWidth="1"/>
    <col min="2" max="2" width="2" style="1" customWidth="1"/>
    <col min="3" max="3" width="18" style="1" customWidth="1"/>
    <col min="4" max="4" width="13.77734375" style="1" customWidth="1"/>
    <col min="5" max="8" width="8.88671875" style="1"/>
    <col min="9" max="9" width="13.88671875" style="1" customWidth="1"/>
    <col min="10" max="10" width="8.88671875" style="1"/>
    <col min="11" max="11" width="12.109375" style="1" customWidth="1"/>
    <col min="12" max="12" width="10.6640625" style="1" customWidth="1"/>
    <col min="13" max="13" width="8.33203125" style="1" customWidth="1"/>
    <col min="14" max="18" width="8.88671875" style="1"/>
    <col min="19" max="19" width="11.5546875" style="1" customWidth="1"/>
    <col min="20" max="20" width="10.109375" style="1" customWidth="1"/>
    <col min="21" max="21" width="11.44140625" style="1" customWidth="1"/>
    <col min="22" max="22" width="5.44140625" style="1" customWidth="1"/>
    <col min="23" max="16384" width="8.88671875" style="1"/>
  </cols>
  <sheetData>
    <row r="2" spans="2:23" ht="20.25" thickBot="1" x14ac:dyDescent="0.35">
      <c r="B2" s="34"/>
      <c r="C2" s="1385" t="s">
        <v>46</v>
      </c>
      <c r="D2" s="1385"/>
      <c r="I2" s="1" t="s">
        <v>461</v>
      </c>
    </row>
    <row r="3" spans="2:23" ht="15.75" thickTop="1" x14ac:dyDescent="0.2">
      <c r="I3" s="1" t="s">
        <v>462</v>
      </c>
    </row>
    <row r="4" spans="2:23" ht="15.75" thickBot="1" x14ac:dyDescent="0.25">
      <c r="I4" s="1">
        <v>682</v>
      </c>
      <c r="J4" s="219">
        <v>327.6944457756266</v>
      </c>
    </row>
    <row r="5" spans="2:23" ht="15.75" x14ac:dyDescent="0.25">
      <c r="F5" s="43" t="s">
        <v>109</v>
      </c>
      <c r="G5" s="39"/>
      <c r="H5" s="47"/>
      <c r="J5" s="43" t="s">
        <v>0</v>
      </c>
      <c r="K5" s="39"/>
      <c r="L5" s="47" t="s">
        <v>1</v>
      </c>
      <c r="M5" s="45"/>
    </row>
    <row r="6" spans="2:23" ht="15.75" x14ac:dyDescent="0.25">
      <c r="F6" s="40"/>
      <c r="G6" s="38"/>
      <c r="H6" s="41"/>
      <c r="J6" s="40" t="s">
        <v>49</v>
      </c>
      <c r="K6" s="38"/>
      <c r="L6" s="41"/>
      <c r="M6" s="46"/>
    </row>
    <row r="7" spans="2:23" ht="15.75" x14ac:dyDescent="0.25">
      <c r="F7" s="40"/>
      <c r="G7" s="38">
        <f>Kontrollpanel!G31</f>
        <v>0.14000000000000001</v>
      </c>
      <c r="H7" s="48"/>
      <c r="J7" s="40" t="s">
        <v>3</v>
      </c>
      <c r="K7" s="38"/>
      <c r="L7" s="48">
        <f>Kontrollpanel!M32</f>
        <v>10880</v>
      </c>
      <c r="M7" s="46"/>
    </row>
    <row r="8" spans="2:23" ht="15.75" x14ac:dyDescent="0.25">
      <c r="F8" s="40"/>
      <c r="G8" s="38"/>
      <c r="H8" s="48"/>
      <c r="I8" s="219"/>
      <c r="J8" s="40" t="s">
        <v>4</v>
      </c>
      <c r="K8" s="38"/>
      <c r="L8" s="48">
        <v>0</v>
      </c>
      <c r="M8" s="46"/>
    </row>
    <row r="9" spans="2:23" ht="15.75" x14ac:dyDescent="0.25">
      <c r="F9" s="40"/>
      <c r="G9" s="38"/>
      <c r="H9" s="48"/>
      <c r="J9" s="40" t="s">
        <v>5</v>
      </c>
      <c r="K9" s="38"/>
      <c r="L9" s="48">
        <f>Kontrollpanel!M33</f>
        <v>1410</v>
      </c>
      <c r="M9" s="46"/>
    </row>
    <row r="10" spans="2:23" ht="15.75" x14ac:dyDescent="0.25">
      <c r="F10" s="40"/>
      <c r="G10" s="38"/>
      <c r="H10" s="48"/>
      <c r="J10" s="40" t="s">
        <v>6</v>
      </c>
      <c r="K10" s="38"/>
      <c r="L10" s="48">
        <f>Kontrollpanel!M34</f>
        <v>6691</v>
      </c>
      <c r="M10" s="46"/>
    </row>
    <row r="11" spans="2:23" ht="16.5" thickBot="1" x14ac:dyDescent="0.3">
      <c r="F11" s="42"/>
      <c r="G11" s="44"/>
      <c r="H11" s="49"/>
      <c r="J11" s="42" t="s">
        <v>7</v>
      </c>
      <c r="K11" s="44"/>
      <c r="L11" s="49">
        <f>Kontrollpanel!M35</f>
        <v>21156</v>
      </c>
      <c r="M11" s="46"/>
    </row>
    <row r="12" spans="2:23" x14ac:dyDescent="0.2">
      <c r="M12" s="9"/>
    </row>
    <row r="13" spans="2:23" x14ac:dyDescent="0.2">
      <c r="M13" s="9"/>
    </row>
    <row r="14" spans="2:23" ht="15.75" thickBot="1" x14ac:dyDescent="0.25">
      <c r="V14" s="9"/>
      <c r="W14" s="9"/>
    </row>
    <row r="15" spans="2:23" ht="15.75" x14ac:dyDescent="0.25">
      <c r="C15" s="2"/>
      <c r="D15" s="3"/>
      <c r="E15" s="3"/>
      <c r="F15" s="3"/>
      <c r="G15" s="3"/>
      <c r="H15" s="3"/>
      <c r="I15" s="3"/>
      <c r="J15" s="3"/>
      <c r="K15" s="3"/>
      <c r="L15" s="3"/>
      <c r="M15" s="3"/>
      <c r="N15" s="3"/>
      <c r="O15" s="3"/>
      <c r="P15" s="3"/>
      <c r="Q15" s="3"/>
      <c r="R15" s="3"/>
      <c r="S15" s="3"/>
      <c r="T15" s="3"/>
      <c r="U15" s="4"/>
      <c r="V15" s="6"/>
      <c r="W15" s="9"/>
    </row>
    <row r="16" spans="2:23" ht="16.5" thickBot="1" x14ac:dyDescent="0.3">
      <c r="B16" s="5"/>
      <c r="C16" s="52" t="s">
        <v>463</v>
      </c>
      <c r="D16" s="75"/>
      <c r="E16" s="9"/>
      <c r="F16" s="9"/>
      <c r="G16" s="9"/>
      <c r="H16" s="9"/>
      <c r="I16" s="9"/>
      <c r="J16" s="9"/>
      <c r="K16" s="9"/>
      <c r="L16" s="9"/>
      <c r="M16" s="9"/>
      <c r="N16" s="9"/>
      <c r="O16" s="9"/>
      <c r="P16" s="9"/>
      <c r="Q16" s="9"/>
      <c r="R16" s="9"/>
      <c r="S16" s="9"/>
      <c r="T16" s="9"/>
      <c r="U16" s="108" t="s">
        <v>47</v>
      </c>
      <c r="V16" s="6"/>
      <c r="W16" s="9"/>
    </row>
    <row r="17" spans="1:23" ht="15.75" x14ac:dyDescent="0.25">
      <c r="C17" s="58" t="s">
        <v>2</v>
      </c>
      <c r="D17" s="57" t="s">
        <v>8</v>
      </c>
      <c r="E17" s="57" t="s">
        <v>9</v>
      </c>
      <c r="F17" s="57" t="s">
        <v>10</v>
      </c>
      <c r="G17" s="57" t="s">
        <v>11</v>
      </c>
      <c r="H17" s="57" t="s">
        <v>12</v>
      </c>
      <c r="I17" s="57" t="s">
        <v>13</v>
      </c>
      <c r="J17" s="57" t="s">
        <v>14</v>
      </c>
      <c r="K17" s="57" t="s">
        <v>15</v>
      </c>
      <c r="L17" s="57" t="s">
        <v>16</v>
      </c>
      <c r="M17" s="57" t="s">
        <v>17</v>
      </c>
      <c r="N17" s="57" t="s">
        <v>18</v>
      </c>
      <c r="O17" s="57" t="s">
        <v>19</v>
      </c>
      <c r="P17" s="57" t="s">
        <v>20</v>
      </c>
      <c r="Q17" s="57" t="s">
        <v>21</v>
      </c>
      <c r="R17" s="57" t="s">
        <v>22</v>
      </c>
      <c r="S17" s="57" t="s">
        <v>23</v>
      </c>
      <c r="T17" s="57" t="s">
        <v>24</v>
      </c>
      <c r="U17" s="109"/>
      <c r="V17" s="9"/>
      <c r="W17" s="9"/>
    </row>
    <row r="18" spans="1:23" ht="15.75" x14ac:dyDescent="0.25">
      <c r="B18" s="7"/>
      <c r="C18" s="59" t="s">
        <v>3</v>
      </c>
      <c r="D18" s="54">
        <v>17</v>
      </c>
      <c r="E18" s="54">
        <v>69</v>
      </c>
      <c r="F18" s="54">
        <v>223</v>
      </c>
      <c r="G18" s="54">
        <v>24</v>
      </c>
      <c r="H18" s="54">
        <v>42</v>
      </c>
      <c r="I18" s="54">
        <v>128</v>
      </c>
      <c r="J18" s="54">
        <v>480</v>
      </c>
      <c r="K18" s="54">
        <v>13</v>
      </c>
      <c r="L18" s="54">
        <v>8</v>
      </c>
      <c r="M18" s="54">
        <v>159</v>
      </c>
      <c r="N18" s="54">
        <v>25</v>
      </c>
      <c r="O18" s="54">
        <v>147</v>
      </c>
      <c r="P18" s="54">
        <v>1</v>
      </c>
      <c r="Q18" s="54">
        <v>75</v>
      </c>
      <c r="R18" s="54">
        <v>29</v>
      </c>
      <c r="S18" s="54">
        <v>726</v>
      </c>
      <c r="T18" s="54">
        <f>SUM(D18:S18)</f>
        <v>2166</v>
      </c>
      <c r="U18" s="110">
        <f>T18/$T$27</f>
        <v>7.5994667040909417E-2</v>
      </c>
      <c r="V18" s="37"/>
      <c r="W18" s="9"/>
    </row>
    <row r="19" spans="1:23" ht="15.75" x14ac:dyDescent="0.25">
      <c r="B19" s="7"/>
      <c r="C19" s="59" t="s">
        <v>4</v>
      </c>
      <c r="D19" s="54">
        <v>323</v>
      </c>
      <c r="E19" s="54">
        <v>682</v>
      </c>
      <c r="F19" s="54">
        <v>1840</v>
      </c>
      <c r="G19" s="54">
        <v>402</v>
      </c>
      <c r="H19" s="54">
        <v>342</v>
      </c>
      <c r="I19" s="54">
        <v>1097</v>
      </c>
      <c r="J19" s="54">
        <v>3302</v>
      </c>
      <c r="K19" s="54">
        <v>229</v>
      </c>
      <c r="L19" s="54">
        <v>161</v>
      </c>
      <c r="M19" s="54">
        <v>1432</v>
      </c>
      <c r="N19" s="54">
        <v>269</v>
      </c>
      <c r="O19" s="54">
        <v>1298</v>
      </c>
      <c r="P19" s="54">
        <v>67</v>
      </c>
      <c r="Q19" s="54">
        <v>736</v>
      </c>
      <c r="R19" s="54">
        <v>272</v>
      </c>
      <c r="S19" s="54">
        <v>8357</v>
      </c>
      <c r="T19" s="54">
        <f>SUM(D19:S19)</f>
        <v>20809</v>
      </c>
      <c r="U19" s="110">
        <f>T19/$T$27</f>
        <v>0.73008911655322428</v>
      </c>
      <c r="V19" s="37"/>
      <c r="W19" s="9"/>
    </row>
    <row r="20" spans="1:23" ht="15.75" x14ac:dyDescent="0.25">
      <c r="B20" s="7"/>
      <c r="C20" s="59" t="s">
        <v>5</v>
      </c>
      <c r="D20" s="54">
        <v>75</v>
      </c>
      <c r="E20" s="54">
        <v>111</v>
      </c>
      <c r="F20" s="54">
        <v>271</v>
      </c>
      <c r="G20" s="54">
        <v>76</v>
      </c>
      <c r="H20" s="54">
        <v>60</v>
      </c>
      <c r="I20" s="54">
        <v>172</v>
      </c>
      <c r="J20" s="54">
        <v>360</v>
      </c>
      <c r="K20" s="54">
        <v>40</v>
      </c>
      <c r="L20" s="54">
        <v>44</v>
      </c>
      <c r="M20" s="54">
        <v>191</v>
      </c>
      <c r="N20" s="54">
        <v>64</v>
      </c>
      <c r="O20" s="54">
        <v>196</v>
      </c>
      <c r="P20" s="54">
        <v>13</v>
      </c>
      <c r="Q20" s="54">
        <v>136</v>
      </c>
      <c r="R20" s="54">
        <v>54</v>
      </c>
      <c r="S20" s="54">
        <v>1262</v>
      </c>
      <c r="T20" s="54">
        <f>SUM(D20:S20)</f>
        <v>3125</v>
      </c>
      <c r="U20" s="110">
        <f>T20/$T$27</f>
        <v>0.10964142867167216</v>
      </c>
      <c r="V20" s="37"/>
      <c r="W20" s="9"/>
    </row>
    <row r="21" spans="1:23" ht="15.75" x14ac:dyDescent="0.25">
      <c r="B21" s="7"/>
      <c r="C21" s="59" t="s">
        <v>6</v>
      </c>
      <c r="D21" s="54">
        <v>40</v>
      </c>
      <c r="E21" s="54">
        <v>62</v>
      </c>
      <c r="F21" s="54">
        <v>132</v>
      </c>
      <c r="G21" s="54">
        <v>46</v>
      </c>
      <c r="H21" s="54">
        <v>35</v>
      </c>
      <c r="I21" s="54">
        <v>87</v>
      </c>
      <c r="J21" s="54">
        <v>148</v>
      </c>
      <c r="K21" s="54">
        <v>36</v>
      </c>
      <c r="L21" s="54">
        <v>23</v>
      </c>
      <c r="M21" s="54">
        <v>80</v>
      </c>
      <c r="N21" s="54">
        <v>25</v>
      </c>
      <c r="O21" s="54">
        <v>133</v>
      </c>
      <c r="P21" s="54">
        <v>9</v>
      </c>
      <c r="Q21" s="54">
        <v>62</v>
      </c>
      <c r="R21" s="54">
        <v>51</v>
      </c>
      <c r="S21" s="54">
        <v>664</v>
      </c>
      <c r="T21" s="54">
        <f>SUM(D21:S21)</f>
        <v>1633</v>
      </c>
      <c r="U21" s="110">
        <f>T21/$T$27</f>
        <v>5.7294224966669006E-2</v>
      </c>
      <c r="V21" s="37"/>
      <c r="W21" s="9"/>
    </row>
    <row r="22" spans="1:23" ht="15.75" x14ac:dyDescent="0.25">
      <c r="B22" s="7"/>
      <c r="C22" s="59" t="s">
        <v>7</v>
      </c>
      <c r="D22" s="54">
        <v>21</v>
      </c>
      <c r="E22" s="54">
        <v>36</v>
      </c>
      <c r="F22" s="54">
        <v>65</v>
      </c>
      <c r="G22" s="54">
        <v>30</v>
      </c>
      <c r="H22" s="54">
        <v>16</v>
      </c>
      <c r="I22" s="54">
        <v>38</v>
      </c>
      <c r="J22" s="54">
        <v>65</v>
      </c>
      <c r="K22" s="54">
        <v>20</v>
      </c>
      <c r="L22" s="54">
        <v>9</v>
      </c>
      <c r="M22" s="54">
        <v>21</v>
      </c>
      <c r="N22" s="54">
        <v>9</v>
      </c>
      <c r="O22" s="54">
        <v>49</v>
      </c>
      <c r="P22" s="54">
        <v>11</v>
      </c>
      <c r="Q22" s="54">
        <v>26</v>
      </c>
      <c r="R22" s="54">
        <v>16</v>
      </c>
      <c r="S22" s="54">
        <v>337</v>
      </c>
      <c r="T22" s="54">
        <f>SUM(D22:S22)</f>
        <v>769</v>
      </c>
      <c r="U22" s="110">
        <f>T22/$T$27</f>
        <v>2.6980562767525085E-2</v>
      </c>
      <c r="V22" s="37"/>
      <c r="W22" s="9"/>
    </row>
    <row r="23" spans="1:23" ht="15.75" x14ac:dyDescent="0.25">
      <c r="B23" s="7"/>
      <c r="C23" s="59"/>
      <c r="D23" s="38"/>
      <c r="E23" s="38"/>
      <c r="F23" s="38"/>
      <c r="G23" s="38"/>
      <c r="H23" s="38"/>
      <c r="I23" s="38"/>
      <c r="J23" s="38"/>
      <c r="K23" s="38"/>
      <c r="L23" s="38"/>
      <c r="M23" s="38"/>
      <c r="N23" s="38"/>
      <c r="O23" s="38"/>
      <c r="P23" s="38"/>
      <c r="Q23" s="38"/>
      <c r="R23" s="38"/>
      <c r="S23" s="38"/>
      <c r="T23" s="55"/>
      <c r="U23" s="110"/>
      <c r="V23" s="37"/>
      <c r="W23" s="9"/>
    </row>
    <row r="24" spans="1:23" ht="15.75" x14ac:dyDescent="0.25">
      <c r="B24" s="7"/>
      <c r="C24" s="59" t="s">
        <v>25</v>
      </c>
      <c r="D24" s="38"/>
      <c r="E24" s="38"/>
      <c r="F24" s="38"/>
      <c r="G24" s="38"/>
      <c r="H24" s="38"/>
      <c r="I24" s="38"/>
      <c r="J24" s="38"/>
      <c r="K24" s="38"/>
      <c r="L24" s="38"/>
      <c r="M24" s="38"/>
      <c r="N24" s="38"/>
      <c r="O24" s="38"/>
      <c r="P24" s="38"/>
      <c r="Q24" s="38"/>
      <c r="R24" s="38"/>
      <c r="S24" s="38"/>
      <c r="T24" s="55"/>
      <c r="U24" s="110"/>
      <c r="V24" s="37"/>
      <c r="W24" s="9"/>
    </row>
    <row r="25" spans="1:23" ht="15.75" x14ac:dyDescent="0.25">
      <c r="B25" s="7"/>
      <c r="C25" s="59" t="s">
        <v>26</v>
      </c>
      <c r="D25" s="38"/>
      <c r="E25" s="38"/>
      <c r="F25" s="38"/>
      <c r="G25" s="38"/>
      <c r="H25" s="38"/>
      <c r="I25" s="38"/>
      <c r="J25" s="38"/>
      <c r="K25" s="38"/>
      <c r="L25" s="38"/>
      <c r="M25" s="38"/>
      <c r="N25" s="38"/>
      <c r="O25" s="38"/>
      <c r="P25" s="38"/>
      <c r="Q25" s="38"/>
      <c r="R25" s="38"/>
      <c r="S25" s="38"/>
      <c r="T25" s="55"/>
      <c r="U25" s="110"/>
      <c r="V25" s="37"/>
      <c r="W25" s="9"/>
    </row>
    <row r="26" spans="1:23" ht="15.75" x14ac:dyDescent="0.25">
      <c r="B26" s="7"/>
      <c r="C26" s="59"/>
      <c r="D26" s="38"/>
      <c r="E26" s="38"/>
      <c r="F26" s="38"/>
      <c r="G26" s="38"/>
      <c r="H26" s="38"/>
      <c r="I26" s="38"/>
      <c r="J26" s="38"/>
      <c r="K26" s="38"/>
      <c r="L26" s="38"/>
      <c r="M26" s="38"/>
      <c r="N26" s="38"/>
      <c r="O26" s="38"/>
      <c r="P26" s="38"/>
      <c r="Q26" s="38"/>
      <c r="R26" s="38"/>
      <c r="S26" s="38"/>
      <c r="T26" s="55"/>
      <c r="U26" s="110"/>
      <c r="V26" s="37"/>
      <c r="W26" s="9"/>
    </row>
    <row r="27" spans="1:23" ht="16.5" thickBot="1" x14ac:dyDescent="0.3">
      <c r="A27" s="94" t="s">
        <v>56</v>
      </c>
      <c r="B27" s="95"/>
      <c r="C27" s="60" t="s">
        <v>27</v>
      </c>
      <c r="D27" s="56">
        <f>SUM(D18:D22)</f>
        <v>476</v>
      </c>
      <c r="E27" s="56">
        <f t="shared" ref="E27:S27" si="0">SUM(E18:E22)</f>
        <v>960</v>
      </c>
      <c r="F27" s="56">
        <f t="shared" si="0"/>
        <v>2531</v>
      </c>
      <c r="G27" s="56">
        <f t="shared" si="0"/>
        <v>578</v>
      </c>
      <c r="H27" s="56">
        <f t="shared" si="0"/>
        <v>495</v>
      </c>
      <c r="I27" s="56">
        <f t="shared" si="0"/>
        <v>1522</v>
      </c>
      <c r="J27" s="56">
        <f t="shared" si="0"/>
        <v>4355</v>
      </c>
      <c r="K27" s="56">
        <f t="shared" si="0"/>
        <v>338</v>
      </c>
      <c r="L27" s="56">
        <f t="shared" si="0"/>
        <v>245</v>
      </c>
      <c r="M27" s="56">
        <f t="shared" si="0"/>
        <v>1883</v>
      </c>
      <c r="N27" s="56">
        <f t="shared" si="0"/>
        <v>392</v>
      </c>
      <c r="O27" s="56">
        <f t="shared" si="0"/>
        <v>1823</v>
      </c>
      <c r="P27" s="56">
        <f t="shared" si="0"/>
        <v>101</v>
      </c>
      <c r="Q27" s="56">
        <f t="shared" si="0"/>
        <v>1035</v>
      </c>
      <c r="R27" s="56">
        <f t="shared" si="0"/>
        <v>422</v>
      </c>
      <c r="S27" s="56">
        <f t="shared" si="0"/>
        <v>11346</v>
      </c>
      <c r="T27" s="56">
        <f>SUM(D18:S22)</f>
        <v>28502</v>
      </c>
      <c r="U27" s="111"/>
      <c r="V27" s="37"/>
      <c r="W27" s="9"/>
    </row>
    <row r="28" spans="1:23" ht="15.75" hidden="1" x14ac:dyDescent="0.25">
      <c r="A28" s="94"/>
      <c r="B28" s="95"/>
      <c r="C28" s="61"/>
      <c r="D28" s="9"/>
      <c r="E28" s="9"/>
      <c r="F28" s="9"/>
      <c r="G28" s="9"/>
      <c r="H28" s="9"/>
      <c r="I28" s="9"/>
      <c r="J28" s="9"/>
      <c r="K28" s="9"/>
      <c r="L28" s="9"/>
      <c r="M28" s="9"/>
      <c r="N28" s="9"/>
      <c r="O28" s="9"/>
      <c r="P28" s="9"/>
      <c r="Q28" s="9"/>
      <c r="R28" s="9"/>
      <c r="S28" s="9"/>
      <c r="T28" s="10"/>
      <c r="U28" s="50"/>
      <c r="V28" s="9"/>
      <c r="W28" s="9"/>
    </row>
    <row r="29" spans="1:23" ht="15.75" hidden="1" x14ac:dyDescent="0.25">
      <c r="A29" s="94"/>
      <c r="B29" s="95"/>
      <c r="C29" s="62" t="s">
        <v>28</v>
      </c>
      <c r="D29" s="12"/>
      <c r="E29" s="12"/>
      <c r="F29" s="12"/>
      <c r="G29" s="12"/>
      <c r="H29" s="12"/>
      <c r="I29" s="12"/>
      <c r="J29" s="12"/>
      <c r="K29" s="12"/>
      <c r="L29" s="12"/>
      <c r="M29" s="12"/>
      <c r="N29" s="12"/>
      <c r="O29" s="12"/>
      <c r="P29" s="12"/>
      <c r="Q29" s="12"/>
      <c r="R29" s="12"/>
      <c r="S29" s="12"/>
      <c r="T29" s="13"/>
      <c r="U29" s="51"/>
      <c r="V29" s="9"/>
      <c r="W29" s="9"/>
    </row>
    <row r="30" spans="1:23" ht="15.75" hidden="1" x14ac:dyDescent="0.25">
      <c r="A30" s="94"/>
      <c r="B30" s="95"/>
      <c r="C30" s="63" t="s">
        <v>3</v>
      </c>
      <c r="D30" s="15">
        <f>D18/D$27</f>
        <v>3.5714285714285712E-2</v>
      </c>
      <c r="E30" s="15">
        <f t="shared" ref="E30:S30" si="1">E18/E$27</f>
        <v>7.1874999999999994E-2</v>
      </c>
      <c r="F30" s="15">
        <f t="shared" si="1"/>
        <v>8.8107467404188067E-2</v>
      </c>
      <c r="G30" s="15">
        <f t="shared" si="1"/>
        <v>4.1522491349480967E-2</v>
      </c>
      <c r="H30" s="15">
        <f t="shared" si="1"/>
        <v>8.4848484848484854E-2</v>
      </c>
      <c r="I30" s="15">
        <f t="shared" si="1"/>
        <v>8.4099868593955324E-2</v>
      </c>
      <c r="J30" s="15">
        <f t="shared" si="1"/>
        <v>0.11021814006888633</v>
      </c>
      <c r="K30" s="15">
        <f t="shared" si="1"/>
        <v>3.8461538461538464E-2</v>
      </c>
      <c r="L30" s="15">
        <f t="shared" si="1"/>
        <v>3.2653061224489799E-2</v>
      </c>
      <c r="M30" s="15">
        <f t="shared" si="1"/>
        <v>8.4439723844928302E-2</v>
      </c>
      <c r="N30" s="15">
        <f t="shared" si="1"/>
        <v>6.3775510204081634E-2</v>
      </c>
      <c r="O30" s="15">
        <f t="shared" si="1"/>
        <v>8.0636313768513435E-2</v>
      </c>
      <c r="P30" s="15">
        <f t="shared" si="1"/>
        <v>9.9009900990099011E-3</v>
      </c>
      <c r="Q30" s="15">
        <f t="shared" si="1"/>
        <v>7.2463768115942032E-2</v>
      </c>
      <c r="R30" s="15">
        <f t="shared" si="1"/>
        <v>6.8720379146919433E-2</v>
      </c>
      <c r="S30" s="15">
        <f t="shared" si="1"/>
        <v>6.398730830248546E-2</v>
      </c>
      <c r="T30" s="13"/>
      <c r="U30" s="51"/>
      <c r="V30" s="9"/>
      <c r="W30" s="9"/>
    </row>
    <row r="31" spans="1:23" ht="15.75" hidden="1" x14ac:dyDescent="0.25">
      <c r="A31" s="94"/>
      <c r="B31" s="95"/>
      <c r="C31" s="63" t="s">
        <v>4</v>
      </c>
      <c r="D31" s="15">
        <f t="shared" ref="D31:S34" si="2">D19/D$27</f>
        <v>0.6785714285714286</v>
      </c>
      <c r="E31" s="15">
        <f t="shared" si="2"/>
        <v>0.7104166666666667</v>
      </c>
      <c r="F31" s="15">
        <f t="shared" si="2"/>
        <v>0.72698538127222445</v>
      </c>
      <c r="G31" s="15">
        <f t="shared" si="2"/>
        <v>0.69550173010380623</v>
      </c>
      <c r="H31" s="15">
        <f t="shared" si="2"/>
        <v>0.69090909090909092</v>
      </c>
      <c r="I31" s="15">
        <f t="shared" si="2"/>
        <v>0.72076215505913277</v>
      </c>
      <c r="J31" s="15">
        <f t="shared" si="2"/>
        <v>0.75820895522388054</v>
      </c>
      <c r="K31" s="15">
        <f t="shared" si="2"/>
        <v>0.6775147928994083</v>
      </c>
      <c r="L31" s="15">
        <f t="shared" si="2"/>
        <v>0.65714285714285714</v>
      </c>
      <c r="M31" s="15">
        <f t="shared" si="2"/>
        <v>0.76048858204992031</v>
      </c>
      <c r="N31" s="15">
        <f t="shared" si="2"/>
        <v>0.68622448979591832</v>
      </c>
      <c r="O31" s="15">
        <f t="shared" si="2"/>
        <v>0.71201316511245205</v>
      </c>
      <c r="P31" s="15">
        <f t="shared" si="2"/>
        <v>0.6633663366336634</v>
      </c>
      <c r="Q31" s="15">
        <f t="shared" si="2"/>
        <v>0.71111111111111114</v>
      </c>
      <c r="R31" s="15">
        <f t="shared" si="2"/>
        <v>0.64454976303317535</v>
      </c>
      <c r="S31" s="15">
        <f t="shared" si="2"/>
        <v>0.73655913978494625</v>
      </c>
      <c r="T31" s="13"/>
      <c r="U31" s="51"/>
      <c r="V31" s="9"/>
      <c r="W31" s="9"/>
    </row>
    <row r="32" spans="1:23" ht="15.75" hidden="1" x14ac:dyDescent="0.25">
      <c r="A32" s="94"/>
      <c r="B32" s="95"/>
      <c r="C32" s="63" t="s">
        <v>5</v>
      </c>
      <c r="D32" s="15">
        <f t="shared" si="2"/>
        <v>0.15756302521008403</v>
      </c>
      <c r="E32" s="15">
        <f t="shared" si="2"/>
        <v>0.11562500000000001</v>
      </c>
      <c r="F32" s="15">
        <f t="shared" si="2"/>
        <v>0.10707230343737653</v>
      </c>
      <c r="G32" s="15">
        <f t="shared" si="2"/>
        <v>0.13148788927335639</v>
      </c>
      <c r="H32" s="15">
        <f t="shared" si="2"/>
        <v>0.12121212121212122</v>
      </c>
      <c r="I32" s="15">
        <f t="shared" si="2"/>
        <v>0.11300919842312747</v>
      </c>
      <c r="J32" s="15">
        <f t="shared" si="2"/>
        <v>8.2663605051664757E-2</v>
      </c>
      <c r="K32" s="15">
        <f t="shared" si="2"/>
        <v>0.11834319526627218</v>
      </c>
      <c r="L32" s="15">
        <f t="shared" si="2"/>
        <v>0.17959183673469387</v>
      </c>
      <c r="M32" s="15">
        <f t="shared" si="2"/>
        <v>0.10143388210302709</v>
      </c>
      <c r="N32" s="15">
        <f t="shared" si="2"/>
        <v>0.16326530612244897</v>
      </c>
      <c r="O32" s="15">
        <f t="shared" si="2"/>
        <v>0.10751508502468458</v>
      </c>
      <c r="P32" s="15">
        <f t="shared" si="2"/>
        <v>0.12871287128712872</v>
      </c>
      <c r="Q32" s="15">
        <f t="shared" si="2"/>
        <v>0.13140096618357489</v>
      </c>
      <c r="R32" s="15">
        <f t="shared" si="2"/>
        <v>0.12796208530805686</v>
      </c>
      <c r="S32" s="15">
        <f t="shared" si="2"/>
        <v>0.11122862682883836</v>
      </c>
      <c r="T32" s="13"/>
      <c r="U32" s="51"/>
      <c r="V32" s="9"/>
      <c r="W32" s="9"/>
    </row>
    <row r="33" spans="1:23" ht="15.75" hidden="1" x14ac:dyDescent="0.25">
      <c r="A33" s="94"/>
      <c r="B33" s="95"/>
      <c r="C33" s="63" t="s">
        <v>6</v>
      </c>
      <c r="D33" s="15">
        <f t="shared" si="2"/>
        <v>8.4033613445378158E-2</v>
      </c>
      <c r="E33" s="15">
        <f t="shared" si="2"/>
        <v>6.458333333333334E-2</v>
      </c>
      <c r="F33" s="15">
        <f t="shared" si="2"/>
        <v>5.2153299091268271E-2</v>
      </c>
      <c r="G33" s="15">
        <f t="shared" si="2"/>
        <v>7.9584775086505188E-2</v>
      </c>
      <c r="H33" s="15">
        <f t="shared" si="2"/>
        <v>7.0707070707070704E-2</v>
      </c>
      <c r="I33" s="15">
        <f t="shared" si="2"/>
        <v>5.7161629434954009E-2</v>
      </c>
      <c r="J33" s="15">
        <f t="shared" si="2"/>
        <v>3.3983926521239952E-2</v>
      </c>
      <c r="K33" s="15">
        <f t="shared" si="2"/>
        <v>0.10650887573964497</v>
      </c>
      <c r="L33" s="15">
        <f t="shared" si="2"/>
        <v>9.3877551020408165E-2</v>
      </c>
      <c r="M33" s="15">
        <f t="shared" si="2"/>
        <v>4.2485395645246948E-2</v>
      </c>
      <c r="N33" s="15">
        <f t="shared" si="2"/>
        <v>6.3775510204081634E-2</v>
      </c>
      <c r="O33" s="15">
        <f t="shared" si="2"/>
        <v>7.2956664838178822E-2</v>
      </c>
      <c r="P33" s="15">
        <f t="shared" si="2"/>
        <v>8.9108910891089105E-2</v>
      </c>
      <c r="Q33" s="15">
        <f t="shared" si="2"/>
        <v>5.9903381642512077E-2</v>
      </c>
      <c r="R33" s="15">
        <f t="shared" si="2"/>
        <v>0.12085308056872038</v>
      </c>
      <c r="S33" s="15">
        <f t="shared" si="2"/>
        <v>5.8522827428168521E-2</v>
      </c>
      <c r="T33" s="13"/>
      <c r="U33" s="51"/>
      <c r="V33" s="9"/>
      <c r="W33" s="9"/>
    </row>
    <row r="34" spans="1:23" ht="15.75" hidden="1" x14ac:dyDescent="0.25">
      <c r="A34" s="94"/>
      <c r="B34" s="95"/>
      <c r="C34" s="63" t="s">
        <v>7</v>
      </c>
      <c r="D34" s="15">
        <f t="shared" si="2"/>
        <v>4.4117647058823532E-2</v>
      </c>
      <c r="E34" s="15">
        <f t="shared" si="2"/>
        <v>3.7499999999999999E-2</v>
      </c>
      <c r="F34" s="15">
        <f t="shared" si="2"/>
        <v>2.5681548794942711E-2</v>
      </c>
      <c r="G34" s="15">
        <f t="shared" si="2"/>
        <v>5.1903114186851208E-2</v>
      </c>
      <c r="H34" s="15">
        <f t="shared" si="2"/>
        <v>3.2323232323232323E-2</v>
      </c>
      <c r="I34" s="15">
        <f t="shared" si="2"/>
        <v>2.4967148488830485E-2</v>
      </c>
      <c r="J34" s="15">
        <f t="shared" si="2"/>
        <v>1.4925373134328358E-2</v>
      </c>
      <c r="K34" s="15">
        <f t="shared" si="2"/>
        <v>5.9171597633136092E-2</v>
      </c>
      <c r="L34" s="15">
        <f t="shared" si="2"/>
        <v>3.6734693877551024E-2</v>
      </c>
      <c r="M34" s="15">
        <f t="shared" si="2"/>
        <v>1.1152416356877323E-2</v>
      </c>
      <c r="N34" s="15">
        <f t="shared" si="2"/>
        <v>2.2959183673469389E-2</v>
      </c>
      <c r="O34" s="15">
        <f t="shared" si="2"/>
        <v>2.6878771256171146E-2</v>
      </c>
      <c r="P34" s="15">
        <f t="shared" si="2"/>
        <v>0.10891089108910891</v>
      </c>
      <c r="Q34" s="15">
        <f t="shared" si="2"/>
        <v>2.5120772946859903E-2</v>
      </c>
      <c r="R34" s="15">
        <f t="shared" si="2"/>
        <v>3.7914691943127965E-2</v>
      </c>
      <c r="S34" s="15">
        <f t="shared" si="2"/>
        <v>2.9702097655561432E-2</v>
      </c>
      <c r="T34" s="13"/>
      <c r="U34" s="51"/>
      <c r="V34" s="9"/>
      <c r="W34" s="9"/>
    </row>
    <row r="35" spans="1:23" ht="15.75" hidden="1" x14ac:dyDescent="0.25">
      <c r="A35" s="94"/>
      <c r="B35" s="95"/>
      <c r="C35" s="63"/>
      <c r="D35" s="12"/>
      <c r="E35" s="12"/>
      <c r="F35" s="12"/>
      <c r="G35" s="12"/>
      <c r="H35" s="12"/>
      <c r="I35" s="12"/>
      <c r="J35" s="12"/>
      <c r="K35" s="12"/>
      <c r="L35" s="12"/>
      <c r="M35" s="12"/>
      <c r="N35" s="12"/>
      <c r="O35" s="12"/>
      <c r="P35" s="12"/>
      <c r="Q35" s="12"/>
      <c r="R35" s="12"/>
      <c r="S35" s="12"/>
      <c r="T35" s="13"/>
      <c r="U35" s="51"/>
      <c r="V35" s="9"/>
      <c r="W35" s="9"/>
    </row>
    <row r="36" spans="1:23" ht="15.75" hidden="1" x14ac:dyDescent="0.25">
      <c r="A36" s="94"/>
      <c r="B36" s="95"/>
      <c r="C36" s="63" t="s">
        <v>25</v>
      </c>
      <c r="D36" s="12"/>
      <c r="E36" s="12"/>
      <c r="F36" s="12"/>
      <c r="G36" s="12"/>
      <c r="H36" s="12"/>
      <c r="I36" s="12"/>
      <c r="J36" s="12"/>
      <c r="K36" s="12"/>
      <c r="L36" s="12"/>
      <c r="M36" s="12"/>
      <c r="N36" s="12"/>
      <c r="O36" s="12"/>
      <c r="P36" s="12"/>
      <c r="Q36" s="12"/>
      <c r="R36" s="12"/>
      <c r="S36" s="12"/>
      <c r="T36" s="13"/>
      <c r="U36" s="51"/>
      <c r="V36" s="9"/>
      <c r="W36" s="9"/>
    </row>
    <row r="37" spans="1:23" ht="15.75" hidden="1" x14ac:dyDescent="0.25">
      <c r="A37" s="94"/>
      <c r="B37" s="95"/>
      <c r="C37" s="63" t="s">
        <v>26</v>
      </c>
      <c r="D37" s="12"/>
      <c r="E37" s="12"/>
      <c r="F37" s="12"/>
      <c r="G37" s="12"/>
      <c r="H37" s="12"/>
      <c r="I37" s="12"/>
      <c r="J37" s="12"/>
      <c r="K37" s="12"/>
      <c r="L37" s="12"/>
      <c r="M37" s="12"/>
      <c r="N37" s="12"/>
      <c r="O37" s="12"/>
      <c r="P37" s="12"/>
      <c r="Q37" s="12"/>
      <c r="R37" s="12"/>
      <c r="S37" s="12"/>
      <c r="T37" s="13"/>
      <c r="U37" s="51"/>
      <c r="V37" s="9"/>
      <c r="W37" s="9"/>
    </row>
    <row r="38" spans="1:23" ht="15.75" hidden="1" x14ac:dyDescent="0.25">
      <c r="A38" s="94"/>
      <c r="B38" s="95"/>
      <c r="C38" s="63"/>
      <c r="D38" s="12"/>
      <c r="E38" s="12"/>
      <c r="F38" s="12"/>
      <c r="G38" s="12"/>
      <c r="H38" s="12"/>
      <c r="I38" s="12"/>
      <c r="J38" s="12"/>
      <c r="K38" s="12"/>
      <c r="L38" s="12"/>
      <c r="M38" s="12"/>
      <c r="N38" s="12"/>
      <c r="O38" s="12"/>
      <c r="P38" s="12"/>
      <c r="Q38" s="12"/>
      <c r="R38" s="12"/>
      <c r="S38" s="12"/>
      <c r="T38" s="13"/>
      <c r="U38" s="51"/>
      <c r="V38" s="9"/>
      <c r="W38" s="9"/>
    </row>
    <row r="39" spans="1:23" ht="15.75" hidden="1" x14ac:dyDescent="0.25">
      <c r="A39" s="94"/>
      <c r="B39" s="95"/>
      <c r="C39" s="63" t="s">
        <v>27</v>
      </c>
      <c r="D39" s="12"/>
      <c r="E39" s="12"/>
      <c r="F39" s="12"/>
      <c r="G39" s="12"/>
      <c r="H39" s="12"/>
      <c r="I39" s="12"/>
      <c r="J39" s="12"/>
      <c r="K39" s="12"/>
      <c r="L39" s="12"/>
      <c r="M39" s="12"/>
      <c r="N39" s="12"/>
      <c r="O39" s="12"/>
      <c r="P39" s="12"/>
      <c r="Q39" s="12"/>
      <c r="R39" s="12"/>
      <c r="S39" s="12"/>
      <c r="T39" s="13"/>
      <c r="U39" s="51"/>
      <c r="V39" s="9"/>
      <c r="W39" s="9"/>
    </row>
    <row r="40" spans="1:23" ht="15.75" hidden="1" x14ac:dyDescent="0.25">
      <c r="A40" s="94"/>
      <c r="B40" s="95"/>
      <c r="C40" s="63"/>
      <c r="D40" s="12"/>
      <c r="E40" s="12"/>
      <c r="F40" s="12"/>
      <c r="G40" s="12"/>
      <c r="H40" s="12"/>
      <c r="I40" s="12"/>
      <c r="J40" s="12"/>
      <c r="K40" s="12"/>
      <c r="L40" s="12"/>
      <c r="M40" s="12"/>
      <c r="N40" s="12"/>
      <c r="O40" s="12"/>
      <c r="P40" s="12"/>
      <c r="Q40" s="12"/>
      <c r="R40" s="12"/>
      <c r="S40" s="12"/>
      <c r="T40" s="13"/>
      <c r="U40" s="51"/>
      <c r="V40" s="9"/>
      <c r="W40" s="9"/>
    </row>
    <row r="41" spans="1:23" ht="15.75" hidden="1" x14ac:dyDescent="0.25">
      <c r="A41" s="94"/>
      <c r="B41" s="95"/>
      <c r="C41" s="62" t="s">
        <v>29</v>
      </c>
      <c r="D41" s="12"/>
      <c r="E41" s="12"/>
      <c r="F41" s="12"/>
      <c r="G41" s="12"/>
      <c r="H41" s="12"/>
      <c r="I41" s="12"/>
      <c r="J41" s="12"/>
      <c r="K41" s="12"/>
      <c r="L41" s="12"/>
      <c r="M41" s="12"/>
      <c r="N41" s="12"/>
      <c r="O41" s="12"/>
      <c r="P41" s="12"/>
      <c r="Q41" s="12"/>
      <c r="R41" s="12"/>
      <c r="S41" s="12"/>
      <c r="T41" s="13"/>
      <c r="U41" s="51"/>
      <c r="V41" s="9"/>
      <c r="W41" s="9"/>
    </row>
    <row r="42" spans="1:23" ht="15.75" hidden="1" x14ac:dyDescent="0.25">
      <c r="A42" s="94"/>
      <c r="B42" s="95"/>
      <c r="C42" s="63" t="s">
        <v>3</v>
      </c>
      <c r="D42" s="16">
        <f>$U18-D30</f>
        <v>4.0280381326623704E-2</v>
      </c>
      <c r="E42" s="16">
        <f t="shared" ref="E42:S42" si="3">$U18-E30</f>
        <v>4.1196670409094222E-3</v>
      </c>
      <c r="F42" s="16">
        <f t="shared" si="3"/>
        <v>-1.211280036327865E-2</v>
      </c>
      <c r="G42" s="16">
        <f t="shared" si="3"/>
        <v>3.447217569142845E-2</v>
      </c>
      <c r="H42" s="16">
        <f t="shared" si="3"/>
        <v>-8.853817807575437E-3</v>
      </c>
      <c r="I42" s="16">
        <f t="shared" si="3"/>
        <v>-8.1052015530459071E-3</v>
      </c>
      <c r="J42" s="16">
        <f t="shared" si="3"/>
        <v>-3.4223473027976917E-2</v>
      </c>
      <c r="K42" s="16">
        <f t="shared" si="3"/>
        <v>3.7533128579370953E-2</v>
      </c>
      <c r="L42" s="16">
        <f t="shared" si="3"/>
        <v>4.3341605816419618E-2</v>
      </c>
      <c r="M42" s="16">
        <f t="shared" si="3"/>
        <v>-8.4450568040188856E-3</v>
      </c>
      <c r="N42" s="16">
        <f t="shared" si="3"/>
        <v>1.2219156836827783E-2</v>
      </c>
      <c r="O42" s="16">
        <f t="shared" si="3"/>
        <v>-4.641646727604018E-3</v>
      </c>
      <c r="P42" s="16">
        <f t="shared" si="3"/>
        <v>6.6093676941899521E-2</v>
      </c>
      <c r="Q42" s="16">
        <f t="shared" si="3"/>
        <v>3.530898924967385E-3</v>
      </c>
      <c r="R42" s="16">
        <f t="shared" si="3"/>
        <v>7.2742878939899835E-3</v>
      </c>
      <c r="S42" s="16">
        <f t="shared" si="3"/>
        <v>1.2007358738423957E-2</v>
      </c>
      <c r="T42" s="13"/>
      <c r="U42" s="51"/>
      <c r="V42" s="9"/>
      <c r="W42" s="9"/>
    </row>
    <row r="43" spans="1:23" ht="15.75" hidden="1" x14ac:dyDescent="0.25">
      <c r="A43" s="94"/>
      <c r="B43" s="95"/>
      <c r="C43" s="63" t="s">
        <v>4</v>
      </c>
      <c r="D43" s="16">
        <f t="shared" ref="D43:S46" si="4">$U19-D31</f>
        <v>5.1517687981795679E-2</v>
      </c>
      <c r="E43" s="16">
        <f t="shared" si="4"/>
        <v>1.9672449886557586E-2</v>
      </c>
      <c r="F43" s="16">
        <f t="shared" si="4"/>
        <v>3.1037352809998309E-3</v>
      </c>
      <c r="G43" s="16">
        <f t="shared" si="4"/>
        <v>3.4587386449418056E-2</v>
      </c>
      <c r="H43" s="16">
        <f t="shared" si="4"/>
        <v>3.9180025644133365E-2</v>
      </c>
      <c r="I43" s="16">
        <f t="shared" si="4"/>
        <v>9.3269614940915124E-3</v>
      </c>
      <c r="J43" s="16">
        <f t="shared" si="4"/>
        <v>-2.8119838670656261E-2</v>
      </c>
      <c r="K43" s="16">
        <f t="shared" si="4"/>
        <v>5.257432365381598E-2</v>
      </c>
      <c r="L43" s="16">
        <f t="shared" si="4"/>
        <v>7.2946259410367142E-2</v>
      </c>
      <c r="M43" s="16">
        <f t="shared" si="4"/>
        <v>-3.0399465496696032E-2</v>
      </c>
      <c r="N43" s="16">
        <f t="shared" si="4"/>
        <v>4.3864626757305958E-2</v>
      </c>
      <c r="O43" s="16">
        <f t="shared" si="4"/>
        <v>1.8075951440772231E-2</v>
      </c>
      <c r="P43" s="16">
        <f t="shared" si="4"/>
        <v>6.6722779919560882E-2</v>
      </c>
      <c r="Q43" s="16">
        <f t="shared" si="4"/>
        <v>1.8978005442113144E-2</v>
      </c>
      <c r="R43" s="16">
        <f t="shared" si="4"/>
        <v>8.5539353520048933E-2</v>
      </c>
      <c r="S43" s="16">
        <f t="shared" si="4"/>
        <v>-6.4700232317219664E-3</v>
      </c>
      <c r="T43" s="13"/>
      <c r="U43" s="51"/>
      <c r="V43" s="9"/>
      <c r="W43" s="9"/>
    </row>
    <row r="44" spans="1:23" ht="15.75" hidden="1" x14ac:dyDescent="0.25">
      <c r="A44" s="94"/>
      <c r="B44" s="95"/>
      <c r="C44" s="63" t="s">
        <v>5</v>
      </c>
      <c r="D44" s="16">
        <f t="shared" si="4"/>
        <v>-4.7921596538411868E-2</v>
      </c>
      <c r="E44" s="16">
        <f t="shared" si="4"/>
        <v>-5.9835713283278441E-3</v>
      </c>
      <c r="F44" s="16">
        <f t="shared" si="4"/>
        <v>2.56912523429563E-3</v>
      </c>
      <c r="G44" s="16">
        <f t="shared" si="4"/>
        <v>-2.1846460601684228E-2</v>
      </c>
      <c r="H44" s="16">
        <f t="shared" si="4"/>
        <v>-1.1570692540449054E-2</v>
      </c>
      <c r="I44" s="16">
        <f t="shared" si="4"/>
        <v>-3.3677697514553073E-3</v>
      </c>
      <c r="J44" s="16">
        <f t="shared" si="4"/>
        <v>2.6977823620007405E-2</v>
      </c>
      <c r="K44" s="16">
        <f t="shared" si="4"/>
        <v>-8.7017665946000217E-3</v>
      </c>
      <c r="L44" s="16">
        <f t="shared" si="4"/>
        <v>-6.9950408063021705E-2</v>
      </c>
      <c r="M44" s="16">
        <f t="shared" si="4"/>
        <v>8.2075465686450716E-3</v>
      </c>
      <c r="N44" s="16">
        <f t="shared" si="4"/>
        <v>-5.3623877450776805E-2</v>
      </c>
      <c r="O44" s="16">
        <f t="shared" si="4"/>
        <v>2.1263436469875774E-3</v>
      </c>
      <c r="P44" s="16">
        <f t="shared" si="4"/>
        <v>-1.9071442615456555E-2</v>
      </c>
      <c r="Q44" s="16">
        <f t="shared" si="4"/>
        <v>-2.1759537511902724E-2</v>
      </c>
      <c r="R44" s="16">
        <f t="shared" si="4"/>
        <v>-1.83206566363847E-2</v>
      </c>
      <c r="S44" s="16">
        <f t="shared" si="4"/>
        <v>-1.5871981571661947E-3</v>
      </c>
      <c r="T44" s="13"/>
      <c r="U44" s="51"/>
      <c r="V44" s="9"/>
      <c r="W44" s="9"/>
    </row>
    <row r="45" spans="1:23" ht="15.75" hidden="1" x14ac:dyDescent="0.25">
      <c r="A45" s="94"/>
      <c r="B45" s="95"/>
      <c r="C45" s="63" t="s">
        <v>6</v>
      </c>
      <c r="D45" s="16">
        <f t="shared" si="4"/>
        <v>-2.6739388478709152E-2</v>
      </c>
      <c r="E45" s="16">
        <f t="shared" si="4"/>
        <v>-7.2891083666643333E-3</v>
      </c>
      <c r="F45" s="16">
        <f t="shared" si="4"/>
        <v>5.1409258754007356E-3</v>
      </c>
      <c r="G45" s="16">
        <f t="shared" si="4"/>
        <v>-2.2290550119836182E-2</v>
      </c>
      <c r="H45" s="16">
        <f t="shared" si="4"/>
        <v>-1.3412845740401698E-2</v>
      </c>
      <c r="I45" s="16">
        <f t="shared" si="4"/>
        <v>1.3259553171499766E-4</v>
      </c>
      <c r="J45" s="16">
        <f t="shared" si="4"/>
        <v>2.3310298445429055E-2</v>
      </c>
      <c r="K45" s="16">
        <f t="shared" si="4"/>
        <v>-4.9214650772975967E-2</v>
      </c>
      <c r="L45" s="16">
        <f t="shared" si="4"/>
        <v>-3.6583326053739158E-2</v>
      </c>
      <c r="M45" s="16">
        <f t="shared" si="4"/>
        <v>1.4808829321422058E-2</v>
      </c>
      <c r="N45" s="16">
        <f t="shared" si="4"/>
        <v>-6.4812852374126276E-3</v>
      </c>
      <c r="O45" s="16">
        <f t="shared" si="4"/>
        <v>-1.5662439871509816E-2</v>
      </c>
      <c r="P45" s="16">
        <f t="shared" si="4"/>
        <v>-3.1814685924420098E-2</v>
      </c>
      <c r="Q45" s="16">
        <f t="shared" si="4"/>
        <v>-2.6091566758430704E-3</v>
      </c>
      <c r="R45" s="16">
        <f t="shared" si="4"/>
        <v>-6.3558855602051378E-2</v>
      </c>
      <c r="S45" s="16">
        <f t="shared" si="4"/>
        <v>-1.2286024614995145E-3</v>
      </c>
      <c r="T45" s="13"/>
      <c r="U45" s="51"/>
      <c r="V45" s="9"/>
      <c r="W45" s="9"/>
    </row>
    <row r="46" spans="1:23" ht="15.75" hidden="1" x14ac:dyDescent="0.25">
      <c r="A46" s="94"/>
      <c r="B46" s="95"/>
      <c r="C46" s="63" t="s">
        <v>7</v>
      </c>
      <c r="D46" s="16">
        <f t="shared" si="4"/>
        <v>-1.7137084291298448E-2</v>
      </c>
      <c r="E46" s="16">
        <f t="shared" si="4"/>
        <v>-1.0519437232474914E-2</v>
      </c>
      <c r="F46" s="16">
        <f t="shared" si="4"/>
        <v>1.2990139725823739E-3</v>
      </c>
      <c r="G46" s="16">
        <f t="shared" si="4"/>
        <v>-2.4922551419326124E-2</v>
      </c>
      <c r="H46" s="16">
        <f t="shared" si="4"/>
        <v>-5.3426695557072384E-3</v>
      </c>
      <c r="I46" s="16">
        <f t="shared" si="4"/>
        <v>2.0134142786946002E-3</v>
      </c>
      <c r="J46" s="16">
        <f t="shared" si="4"/>
        <v>1.2055189633196727E-2</v>
      </c>
      <c r="K46" s="16">
        <f t="shared" si="4"/>
        <v>-3.2191034865611007E-2</v>
      </c>
      <c r="L46" s="16">
        <f t="shared" si="4"/>
        <v>-9.754131110025939E-3</v>
      </c>
      <c r="M46" s="16">
        <f t="shared" si="4"/>
        <v>1.582814641064776E-2</v>
      </c>
      <c r="N46" s="16">
        <f t="shared" si="4"/>
        <v>4.0213790940556958E-3</v>
      </c>
      <c r="O46" s="16">
        <f t="shared" si="4"/>
        <v>1.0179151135393874E-4</v>
      </c>
      <c r="P46" s="16">
        <f t="shared" si="4"/>
        <v>-8.1930328321583826E-2</v>
      </c>
      <c r="Q46" s="16">
        <f t="shared" si="4"/>
        <v>1.8597898206651822E-3</v>
      </c>
      <c r="R46" s="16">
        <f t="shared" si="4"/>
        <v>-1.093412917560288E-2</v>
      </c>
      <c r="S46" s="16">
        <f t="shared" si="4"/>
        <v>-2.721534888036347E-3</v>
      </c>
      <c r="T46" s="13"/>
      <c r="U46" s="51"/>
      <c r="V46" s="9"/>
      <c r="W46" s="9"/>
    </row>
    <row r="47" spans="1:23" ht="15.75" hidden="1" x14ac:dyDescent="0.25">
      <c r="A47" s="94"/>
      <c r="B47" s="95"/>
      <c r="C47" s="63"/>
      <c r="D47" s="17"/>
      <c r="E47" s="17"/>
      <c r="F47" s="17"/>
      <c r="G47" s="17"/>
      <c r="H47" s="17"/>
      <c r="I47" s="17"/>
      <c r="J47" s="17"/>
      <c r="K47" s="17"/>
      <c r="L47" s="17"/>
      <c r="M47" s="17"/>
      <c r="N47" s="17"/>
      <c r="O47" s="17"/>
      <c r="P47" s="17"/>
      <c r="Q47" s="17"/>
      <c r="R47" s="17"/>
      <c r="S47" s="17"/>
      <c r="T47" s="13"/>
      <c r="U47" s="51"/>
      <c r="V47" s="9"/>
      <c r="W47" s="9"/>
    </row>
    <row r="48" spans="1:23" ht="15.75" hidden="1" x14ac:dyDescent="0.25">
      <c r="A48" s="94"/>
      <c r="B48" s="95"/>
      <c r="C48" s="63" t="s">
        <v>30</v>
      </c>
      <c r="D48" s="17"/>
      <c r="E48" s="17"/>
      <c r="F48" s="17"/>
      <c r="G48" s="17"/>
      <c r="H48" s="17"/>
      <c r="I48" s="17"/>
      <c r="J48" s="17"/>
      <c r="K48" s="17"/>
      <c r="L48" s="17"/>
      <c r="M48" s="17"/>
      <c r="N48" s="17"/>
      <c r="O48" s="17"/>
      <c r="P48" s="17"/>
      <c r="Q48" s="17"/>
      <c r="R48" s="17"/>
      <c r="S48" s="17"/>
      <c r="T48" s="13"/>
      <c r="U48" s="51"/>
      <c r="V48" s="9"/>
      <c r="W48" s="9"/>
    </row>
    <row r="49" spans="1:23" ht="15.75" hidden="1" x14ac:dyDescent="0.25">
      <c r="A49" s="94"/>
      <c r="B49" s="95"/>
      <c r="C49" s="63" t="s">
        <v>3</v>
      </c>
      <c r="D49" s="16">
        <f>IF(D42&gt;0,-1*((D$27*$U18)-D18),(D18-(D$27*$U18)))</f>
        <v>-19.17346151147288</v>
      </c>
      <c r="E49" s="16">
        <f t="shared" ref="E49:S49" si="5">IF(E42&gt;0,-1*((E$27*$U18)-E18),(E18-(E$27*$U18)))</f>
        <v>-3.9548803592730337</v>
      </c>
      <c r="F49" s="16">
        <f t="shared" si="5"/>
        <v>30.657497719458263</v>
      </c>
      <c r="G49" s="16">
        <f t="shared" si="5"/>
        <v>-19.924917549645642</v>
      </c>
      <c r="H49" s="16">
        <f t="shared" si="5"/>
        <v>4.3826398147498367</v>
      </c>
      <c r="I49" s="16">
        <f t="shared" si="5"/>
        <v>12.336116763735873</v>
      </c>
      <c r="J49" s="16">
        <f t="shared" si="5"/>
        <v>149.04322503683949</v>
      </c>
      <c r="K49" s="16">
        <f t="shared" si="5"/>
        <v>-12.686197459827383</v>
      </c>
      <c r="L49" s="16">
        <f t="shared" si="5"/>
        <v>-10.618693425022808</v>
      </c>
      <c r="M49" s="16">
        <f t="shared" si="5"/>
        <v>15.902041961967569</v>
      </c>
      <c r="N49" s="16">
        <f t="shared" si="5"/>
        <v>-4.7899094800364921</v>
      </c>
      <c r="O49" s="16">
        <f t="shared" si="5"/>
        <v>8.4617219844221268</v>
      </c>
      <c r="P49" s="16">
        <f t="shared" si="5"/>
        <v>-6.6754613711318509</v>
      </c>
      <c r="Q49" s="16">
        <f t="shared" si="5"/>
        <v>-3.6544803873412519</v>
      </c>
      <c r="R49" s="16">
        <f t="shared" si="5"/>
        <v>-3.0697494912637708</v>
      </c>
      <c r="S49" s="16">
        <f t="shared" si="5"/>
        <v>-136.23549224615829</v>
      </c>
      <c r="T49" s="13"/>
      <c r="U49" s="51"/>
      <c r="V49" s="9"/>
      <c r="W49" s="9"/>
    </row>
    <row r="50" spans="1:23" ht="15.75" hidden="1" x14ac:dyDescent="0.25">
      <c r="A50" s="94"/>
      <c r="B50" s="95"/>
      <c r="C50" s="63" t="s">
        <v>4</v>
      </c>
      <c r="D50" s="16">
        <f t="shared" ref="D50:S53" si="6">IF(D43&gt;0,-1*((D$27*$U19)-D19),(D19-(D$27*$U19)))</f>
        <v>-24.522419479334758</v>
      </c>
      <c r="E50" s="16">
        <f t="shared" si="6"/>
        <v>-18.885551891095361</v>
      </c>
      <c r="F50" s="16">
        <f t="shared" si="6"/>
        <v>-7.855553996210574</v>
      </c>
      <c r="G50" s="16">
        <f t="shared" si="6"/>
        <v>-19.991509367763626</v>
      </c>
      <c r="H50" s="16">
        <f t="shared" si="6"/>
        <v>-19.394112693846012</v>
      </c>
      <c r="I50" s="16">
        <f t="shared" si="6"/>
        <v>-14.195635394007468</v>
      </c>
      <c r="J50" s="16">
        <f t="shared" si="6"/>
        <v>122.46189741070839</v>
      </c>
      <c r="K50" s="16">
        <f t="shared" si="6"/>
        <v>-17.770121394989815</v>
      </c>
      <c r="L50" s="16">
        <f t="shared" si="6"/>
        <v>-17.871833555539951</v>
      </c>
      <c r="M50" s="16">
        <f t="shared" si="6"/>
        <v>57.242193530278655</v>
      </c>
      <c r="N50" s="16">
        <f t="shared" si="6"/>
        <v>-17.194933688863898</v>
      </c>
      <c r="O50" s="16">
        <f t="shared" si="6"/>
        <v>-32.952459476527793</v>
      </c>
      <c r="P50" s="16">
        <f t="shared" si="6"/>
        <v>-6.7390007718756522</v>
      </c>
      <c r="Q50" s="16">
        <f t="shared" si="6"/>
        <v>-19.642235632587131</v>
      </c>
      <c r="R50" s="16">
        <f t="shared" si="6"/>
        <v>-36.097607185460674</v>
      </c>
      <c r="S50" s="16">
        <f t="shared" si="6"/>
        <v>73.408883587117089</v>
      </c>
      <c r="T50" s="13"/>
      <c r="U50" s="51"/>
      <c r="V50" s="9"/>
      <c r="W50" s="9"/>
    </row>
    <row r="51" spans="1:23" ht="15.75" hidden="1" x14ac:dyDescent="0.25">
      <c r="A51" s="94"/>
      <c r="B51" s="95"/>
      <c r="C51" s="63" t="s">
        <v>5</v>
      </c>
      <c r="D51" s="16">
        <f t="shared" si="6"/>
        <v>22.810679952284055</v>
      </c>
      <c r="E51" s="16">
        <f t="shared" si="6"/>
        <v>5.7442284751947312</v>
      </c>
      <c r="F51" s="16">
        <f t="shared" si="6"/>
        <v>-6.5024559680022662</v>
      </c>
      <c r="G51" s="16">
        <f t="shared" si="6"/>
        <v>12.627254227773491</v>
      </c>
      <c r="H51" s="16">
        <f t="shared" si="6"/>
        <v>5.7274928075222817</v>
      </c>
      <c r="I51" s="16">
        <f t="shared" si="6"/>
        <v>5.1257455617149787</v>
      </c>
      <c r="J51" s="16">
        <f t="shared" si="6"/>
        <v>-117.48842186513224</v>
      </c>
      <c r="K51" s="16">
        <f t="shared" si="6"/>
        <v>2.9411971089748121</v>
      </c>
      <c r="L51" s="16">
        <f t="shared" si="6"/>
        <v>17.137849975440322</v>
      </c>
      <c r="M51" s="16">
        <f t="shared" si="6"/>
        <v>-15.454810188758671</v>
      </c>
      <c r="N51" s="16">
        <f t="shared" si="6"/>
        <v>21.02055996070451</v>
      </c>
      <c r="O51" s="16">
        <f t="shared" si="6"/>
        <v>-3.876324468458364</v>
      </c>
      <c r="P51" s="16">
        <f t="shared" si="6"/>
        <v>1.9262157041611125</v>
      </c>
      <c r="Q51" s="16">
        <f t="shared" si="6"/>
        <v>22.521121324819319</v>
      </c>
      <c r="R51" s="16">
        <f t="shared" si="6"/>
        <v>7.7313171005543495</v>
      </c>
      <c r="S51" s="16">
        <f t="shared" si="6"/>
        <v>18.008350291207762</v>
      </c>
      <c r="T51" s="13"/>
      <c r="U51" s="51"/>
      <c r="V51" s="9"/>
      <c r="W51" s="9"/>
    </row>
    <row r="52" spans="1:23" ht="15.75" hidden="1" x14ac:dyDescent="0.25">
      <c r="A52" s="94"/>
      <c r="B52" s="95"/>
      <c r="C52" s="63" t="s">
        <v>6</v>
      </c>
      <c r="D52" s="16">
        <f t="shared" si="6"/>
        <v>12.727948915865554</v>
      </c>
      <c r="E52" s="16">
        <f t="shared" si="6"/>
        <v>6.9975440319977551</v>
      </c>
      <c r="F52" s="16">
        <f t="shared" si="6"/>
        <v>-13.011683390639263</v>
      </c>
      <c r="G52" s="16">
        <f t="shared" si="6"/>
        <v>12.883937969265311</v>
      </c>
      <c r="H52" s="16">
        <f t="shared" si="6"/>
        <v>6.6393586414988413</v>
      </c>
      <c r="I52" s="16">
        <f t="shared" si="6"/>
        <v>-0.20181039927022937</v>
      </c>
      <c r="J52" s="16">
        <f t="shared" si="6"/>
        <v>-101.51634972984351</v>
      </c>
      <c r="K52" s="16">
        <f t="shared" si="6"/>
        <v>16.634551961265874</v>
      </c>
      <c r="L52" s="16">
        <f t="shared" si="6"/>
        <v>8.9629148831660927</v>
      </c>
      <c r="M52" s="16">
        <f t="shared" si="6"/>
        <v>-27.88502561223774</v>
      </c>
      <c r="N52" s="16">
        <f t="shared" si="6"/>
        <v>2.5406638130657484</v>
      </c>
      <c r="O52" s="16">
        <f t="shared" si="6"/>
        <v>28.552627885762405</v>
      </c>
      <c r="P52" s="16">
        <f t="shared" si="6"/>
        <v>3.21328327836643</v>
      </c>
      <c r="Q52" s="16">
        <f t="shared" si="6"/>
        <v>2.7004771594975807</v>
      </c>
      <c r="R52" s="16">
        <f t="shared" si="6"/>
        <v>26.821837064065679</v>
      </c>
      <c r="S52" s="16">
        <f t="shared" si="6"/>
        <v>13.939723528173431</v>
      </c>
      <c r="T52" s="13"/>
      <c r="U52" s="51"/>
      <c r="V52" s="9"/>
      <c r="W52" s="9"/>
    </row>
    <row r="53" spans="1:23" ht="15.75" hidden="1" x14ac:dyDescent="0.25">
      <c r="A53" s="94"/>
      <c r="B53" s="95"/>
      <c r="C53" s="63" t="s">
        <v>7</v>
      </c>
      <c r="D53" s="16">
        <f t="shared" si="6"/>
        <v>8.1572521226580594</v>
      </c>
      <c r="E53" s="16">
        <f t="shared" si="6"/>
        <v>10.098659743175919</v>
      </c>
      <c r="F53" s="16">
        <f t="shared" si="6"/>
        <v>-3.2878043646059893</v>
      </c>
      <c r="G53" s="16">
        <f t="shared" si="6"/>
        <v>14.405234720370501</v>
      </c>
      <c r="H53" s="16">
        <f t="shared" si="6"/>
        <v>2.6446214300750839</v>
      </c>
      <c r="I53" s="16">
        <f t="shared" si="6"/>
        <v>-3.0644165321731762</v>
      </c>
      <c r="J53" s="16">
        <f t="shared" si="6"/>
        <v>-52.500350852571742</v>
      </c>
      <c r="K53" s="16">
        <f t="shared" si="6"/>
        <v>10.880569784576521</v>
      </c>
      <c r="L53" s="16">
        <f t="shared" si="6"/>
        <v>2.3897621219563545</v>
      </c>
      <c r="M53" s="16">
        <f t="shared" si="6"/>
        <v>-29.804399691249735</v>
      </c>
      <c r="N53" s="16">
        <f t="shared" si="6"/>
        <v>-1.5763806048698328</v>
      </c>
      <c r="O53" s="16">
        <f t="shared" si="6"/>
        <v>-0.18556592519822601</v>
      </c>
      <c r="P53" s="16">
        <f t="shared" si="6"/>
        <v>8.2749631604799667</v>
      </c>
      <c r="Q53" s="16">
        <f t="shared" si="6"/>
        <v>-1.9248824643884639</v>
      </c>
      <c r="R53" s="16">
        <f t="shared" si="6"/>
        <v>4.6142025121044146</v>
      </c>
      <c r="S53" s="16">
        <f t="shared" si="6"/>
        <v>30.878534839660404</v>
      </c>
      <c r="T53" s="13"/>
      <c r="U53" s="51"/>
      <c r="V53" s="9"/>
      <c r="W53" s="9"/>
    </row>
    <row r="54" spans="1:23" ht="21.75" hidden="1" customHeight="1" x14ac:dyDescent="0.2">
      <c r="A54" s="94"/>
      <c r="B54" s="95"/>
      <c r="C54" s="67"/>
      <c r="D54" s="67"/>
      <c r="E54" s="68"/>
      <c r="F54" s="68"/>
      <c r="G54" s="68"/>
      <c r="H54" s="68"/>
      <c r="I54" s="68"/>
      <c r="J54" s="68"/>
      <c r="K54" s="68"/>
      <c r="L54" s="68"/>
      <c r="M54" s="68"/>
      <c r="N54" s="68"/>
      <c r="O54" s="68"/>
      <c r="P54" s="68"/>
      <c r="Q54" s="68"/>
      <c r="R54" s="68"/>
      <c r="S54" s="68"/>
      <c r="T54" s="76"/>
      <c r="U54" s="69"/>
      <c r="V54" s="9"/>
      <c r="W54" s="9"/>
    </row>
    <row r="55" spans="1:23" ht="21.75" customHeight="1" thickTop="1" thickBot="1" x14ac:dyDescent="0.3">
      <c r="B55" s="7"/>
      <c r="C55" s="70" t="s">
        <v>31</v>
      </c>
      <c r="D55" s="77" t="s">
        <v>464</v>
      </c>
      <c r="E55" s="65"/>
      <c r="F55" s="65"/>
      <c r="G55" s="65"/>
      <c r="H55" s="97"/>
      <c r="I55" s="65"/>
      <c r="J55" s="65"/>
      <c r="K55" s="65"/>
      <c r="L55" s="65"/>
      <c r="M55" s="65"/>
      <c r="N55" s="97"/>
      <c r="O55" s="972"/>
      <c r="P55" s="65"/>
      <c r="Q55" s="65"/>
      <c r="R55" s="65"/>
      <c r="S55" s="65"/>
      <c r="T55" s="78"/>
      <c r="U55" s="71"/>
      <c r="V55" s="9"/>
      <c r="W55" s="9"/>
    </row>
    <row r="56" spans="1:23" ht="21.75" customHeight="1" thickTop="1" x14ac:dyDescent="0.25">
      <c r="B56" s="7"/>
      <c r="C56" s="70" t="s">
        <v>3</v>
      </c>
      <c r="D56" s="79">
        <f>$G$7*$L7*D18</f>
        <v>25894.400000000001</v>
      </c>
      <c r="E56" s="79">
        <f t="shared" ref="E56:S56" si="7">$G$7*$L7*E18</f>
        <v>105100.8</v>
      </c>
      <c r="F56" s="79">
        <f t="shared" si="7"/>
        <v>339673.60000000003</v>
      </c>
      <c r="G56" s="79">
        <f t="shared" si="7"/>
        <v>36556.800000000003</v>
      </c>
      <c r="H56" s="79">
        <f t="shared" si="7"/>
        <v>63974.400000000001</v>
      </c>
      <c r="I56" s="79">
        <f t="shared" si="7"/>
        <v>194969.60000000001</v>
      </c>
      <c r="J56" s="79">
        <f t="shared" si="7"/>
        <v>731136</v>
      </c>
      <c r="K56" s="79">
        <f t="shared" si="7"/>
        <v>19801.600000000002</v>
      </c>
      <c r="L56" s="79">
        <f t="shared" si="7"/>
        <v>12185.6</v>
      </c>
      <c r="M56" s="79">
        <f t="shared" si="7"/>
        <v>242188.80000000002</v>
      </c>
      <c r="N56" s="79">
        <f t="shared" si="7"/>
        <v>38080</v>
      </c>
      <c r="O56" s="79">
        <f t="shared" si="7"/>
        <v>223910.39999999999</v>
      </c>
      <c r="P56" s="79">
        <f t="shared" si="7"/>
        <v>1523.2</v>
      </c>
      <c r="Q56" s="79">
        <f t="shared" si="7"/>
        <v>114240</v>
      </c>
      <c r="R56" s="79">
        <f t="shared" si="7"/>
        <v>44172.800000000003</v>
      </c>
      <c r="S56" s="79">
        <f t="shared" si="7"/>
        <v>1105843.2</v>
      </c>
      <c r="T56" s="78"/>
      <c r="U56" s="71"/>
      <c r="V56" s="9"/>
      <c r="W56" s="9"/>
    </row>
    <row r="57" spans="1:23" ht="21.75" customHeight="1" x14ac:dyDescent="0.25">
      <c r="B57" s="7"/>
      <c r="C57" s="70" t="s">
        <v>4</v>
      </c>
      <c r="D57" s="79">
        <f t="shared" ref="D57:S60" si="8">$G$7*$L8*D19</f>
        <v>0</v>
      </c>
      <c r="E57" s="79">
        <f t="shared" si="8"/>
        <v>0</v>
      </c>
      <c r="F57" s="79">
        <f t="shared" si="8"/>
        <v>0</v>
      </c>
      <c r="G57" s="79">
        <f t="shared" si="8"/>
        <v>0</v>
      </c>
      <c r="H57" s="79">
        <f t="shared" si="8"/>
        <v>0</v>
      </c>
      <c r="I57" s="79">
        <f t="shared" si="8"/>
        <v>0</v>
      </c>
      <c r="J57" s="79">
        <f t="shared" si="8"/>
        <v>0</v>
      </c>
      <c r="K57" s="79">
        <f t="shared" si="8"/>
        <v>0</v>
      </c>
      <c r="L57" s="79">
        <f t="shared" si="8"/>
        <v>0</v>
      </c>
      <c r="M57" s="79">
        <f t="shared" si="8"/>
        <v>0</v>
      </c>
      <c r="N57" s="79">
        <f t="shared" si="8"/>
        <v>0</v>
      </c>
      <c r="O57" s="79">
        <f t="shared" si="8"/>
        <v>0</v>
      </c>
      <c r="P57" s="79">
        <f t="shared" si="8"/>
        <v>0</v>
      </c>
      <c r="Q57" s="79">
        <f t="shared" si="8"/>
        <v>0</v>
      </c>
      <c r="R57" s="79">
        <f t="shared" si="8"/>
        <v>0</v>
      </c>
      <c r="S57" s="79">
        <f t="shared" si="8"/>
        <v>0</v>
      </c>
      <c r="T57" s="71"/>
      <c r="U57" s="71"/>
      <c r="V57" s="9"/>
      <c r="W57" s="9"/>
    </row>
    <row r="58" spans="1:23" ht="21.75" customHeight="1" x14ac:dyDescent="0.25">
      <c r="B58" s="7"/>
      <c r="C58" s="70" t="s">
        <v>5</v>
      </c>
      <c r="D58" s="79">
        <f t="shared" si="8"/>
        <v>14805</v>
      </c>
      <c r="E58" s="79">
        <f t="shared" si="8"/>
        <v>21911.4</v>
      </c>
      <c r="F58" s="79">
        <f t="shared" si="8"/>
        <v>53495.4</v>
      </c>
      <c r="G58" s="79">
        <f t="shared" si="8"/>
        <v>15002.4</v>
      </c>
      <c r="H58" s="79">
        <f t="shared" si="8"/>
        <v>11844</v>
      </c>
      <c r="I58" s="79">
        <f t="shared" si="8"/>
        <v>33952.800000000003</v>
      </c>
      <c r="J58" s="79">
        <f t="shared" si="8"/>
        <v>71064</v>
      </c>
      <c r="K58" s="79">
        <f t="shared" si="8"/>
        <v>7896</v>
      </c>
      <c r="L58" s="79">
        <f t="shared" si="8"/>
        <v>8685.6</v>
      </c>
      <c r="M58" s="79">
        <f t="shared" si="8"/>
        <v>37703.4</v>
      </c>
      <c r="N58" s="79">
        <f t="shared" si="8"/>
        <v>12633.6</v>
      </c>
      <c r="O58" s="79">
        <f t="shared" si="8"/>
        <v>38690.400000000001</v>
      </c>
      <c r="P58" s="79">
        <f t="shared" si="8"/>
        <v>2566.2000000000003</v>
      </c>
      <c r="Q58" s="79">
        <f t="shared" si="8"/>
        <v>26846.400000000001</v>
      </c>
      <c r="R58" s="79">
        <f t="shared" si="8"/>
        <v>10659.6</v>
      </c>
      <c r="S58" s="79">
        <f t="shared" si="8"/>
        <v>249118.80000000002</v>
      </c>
      <c r="T58" s="78"/>
      <c r="U58" s="71"/>
      <c r="V58" s="9"/>
      <c r="W58" s="9"/>
    </row>
    <row r="59" spans="1:23" ht="15.75" x14ac:dyDescent="0.25">
      <c r="B59" s="7"/>
      <c r="C59" s="70" t="s">
        <v>6</v>
      </c>
      <c r="D59" s="79">
        <f t="shared" si="8"/>
        <v>37469.600000000006</v>
      </c>
      <c r="E59" s="79">
        <f t="shared" si="8"/>
        <v>58077.880000000005</v>
      </c>
      <c r="F59" s="79">
        <f t="shared" si="8"/>
        <v>123649.68000000002</v>
      </c>
      <c r="G59" s="79">
        <f t="shared" si="8"/>
        <v>43090.040000000008</v>
      </c>
      <c r="H59" s="79">
        <f t="shared" si="8"/>
        <v>32785.9</v>
      </c>
      <c r="I59" s="79">
        <f t="shared" si="8"/>
        <v>81496.38</v>
      </c>
      <c r="J59" s="79">
        <f t="shared" si="8"/>
        <v>138637.52000000002</v>
      </c>
      <c r="K59" s="79">
        <f t="shared" si="8"/>
        <v>33722.640000000007</v>
      </c>
      <c r="L59" s="79">
        <f t="shared" si="8"/>
        <v>21545.020000000004</v>
      </c>
      <c r="M59" s="79">
        <f t="shared" si="8"/>
        <v>74939.200000000012</v>
      </c>
      <c r="N59" s="79">
        <f t="shared" si="8"/>
        <v>23418.500000000004</v>
      </c>
      <c r="O59" s="79">
        <f t="shared" si="8"/>
        <v>124586.42000000001</v>
      </c>
      <c r="P59" s="79">
        <f t="shared" si="8"/>
        <v>8430.6600000000017</v>
      </c>
      <c r="Q59" s="79">
        <f t="shared" si="8"/>
        <v>58077.880000000005</v>
      </c>
      <c r="R59" s="79">
        <f t="shared" si="8"/>
        <v>47773.740000000005</v>
      </c>
      <c r="S59" s="79">
        <f t="shared" si="8"/>
        <v>621995.3600000001</v>
      </c>
      <c r="T59" s="78"/>
      <c r="U59" s="71"/>
      <c r="V59" s="9"/>
      <c r="W59" s="9"/>
    </row>
    <row r="60" spans="1:23" ht="16.5" thickBot="1" x14ac:dyDescent="0.3">
      <c r="B60" s="7"/>
      <c r="C60" s="72" t="s">
        <v>7</v>
      </c>
      <c r="D60" s="79">
        <f t="shared" si="8"/>
        <v>62198.64</v>
      </c>
      <c r="E60" s="79">
        <f t="shared" si="8"/>
        <v>106626.24000000001</v>
      </c>
      <c r="F60" s="79">
        <f t="shared" si="8"/>
        <v>192519.6</v>
      </c>
      <c r="G60" s="79">
        <f t="shared" si="8"/>
        <v>88855.200000000012</v>
      </c>
      <c r="H60" s="79">
        <f t="shared" si="8"/>
        <v>47389.440000000002</v>
      </c>
      <c r="I60" s="79">
        <f t="shared" si="8"/>
        <v>112549.92000000001</v>
      </c>
      <c r="J60" s="79">
        <f t="shared" si="8"/>
        <v>192519.6</v>
      </c>
      <c r="K60" s="79">
        <f t="shared" si="8"/>
        <v>59236.800000000003</v>
      </c>
      <c r="L60" s="79">
        <f t="shared" si="8"/>
        <v>26656.560000000001</v>
      </c>
      <c r="M60" s="79">
        <f t="shared" si="8"/>
        <v>62198.64</v>
      </c>
      <c r="N60" s="79">
        <f t="shared" si="8"/>
        <v>26656.560000000001</v>
      </c>
      <c r="O60" s="79">
        <f t="shared" si="8"/>
        <v>145130.16</v>
      </c>
      <c r="P60" s="79">
        <f t="shared" si="8"/>
        <v>32580.240000000002</v>
      </c>
      <c r="Q60" s="79">
        <f t="shared" si="8"/>
        <v>77007.839999999997</v>
      </c>
      <c r="R60" s="79">
        <f t="shared" si="8"/>
        <v>47389.440000000002</v>
      </c>
      <c r="S60" s="79">
        <f t="shared" si="8"/>
        <v>998140.08000000007</v>
      </c>
      <c r="T60" s="80"/>
      <c r="U60" s="73"/>
      <c r="V60" s="9"/>
      <c r="W60" s="9"/>
    </row>
    <row r="61" spans="1:23" ht="17.25" customHeight="1" x14ac:dyDescent="0.25">
      <c r="B61" s="64"/>
      <c r="C61" s="9"/>
      <c r="D61" s="53"/>
      <c r="E61" s="53"/>
      <c r="F61" s="53"/>
      <c r="G61" s="53"/>
      <c r="H61" s="53"/>
      <c r="I61" s="53"/>
      <c r="J61" s="53"/>
      <c r="K61" s="53"/>
      <c r="L61" s="53"/>
      <c r="M61" s="53"/>
      <c r="N61" s="53"/>
      <c r="O61" s="53"/>
      <c r="P61" s="53"/>
      <c r="Q61" s="53"/>
      <c r="R61" s="53"/>
      <c r="S61" s="53"/>
      <c r="T61" s="53"/>
      <c r="U61" s="9"/>
      <c r="V61" s="9"/>
      <c r="W61" s="9"/>
    </row>
    <row r="62" spans="1:23" ht="16.5" thickBot="1" x14ac:dyDescent="0.3">
      <c r="B62" s="64"/>
      <c r="C62" s="9"/>
      <c r="D62" s="53" t="s">
        <v>8</v>
      </c>
      <c r="E62" s="53" t="s">
        <v>9</v>
      </c>
      <c r="F62" s="53" t="s">
        <v>10</v>
      </c>
      <c r="G62" s="53" t="s">
        <v>11</v>
      </c>
      <c r="H62" s="53" t="s">
        <v>12</v>
      </c>
      <c r="I62" s="53" t="s">
        <v>13</v>
      </c>
      <c r="J62" s="53" t="s">
        <v>14</v>
      </c>
      <c r="K62" s="53" t="s">
        <v>15</v>
      </c>
      <c r="L62" s="53" t="s">
        <v>16</v>
      </c>
      <c r="M62" s="53" t="s">
        <v>17</v>
      </c>
      <c r="N62" s="53" t="s">
        <v>18</v>
      </c>
      <c r="O62" s="53" t="s">
        <v>19</v>
      </c>
      <c r="P62" s="53" t="s">
        <v>20</v>
      </c>
      <c r="Q62" s="53" t="s">
        <v>21</v>
      </c>
      <c r="R62" s="53" t="s">
        <v>22</v>
      </c>
      <c r="S62" s="53" t="s">
        <v>23</v>
      </c>
      <c r="T62" s="53"/>
      <c r="U62" s="53" t="s">
        <v>24</v>
      </c>
      <c r="V62" s="9"/>
      <c r="W62" s="9"/>
    </row>
    <row r="63" spans="1:23" ht="15.75" x14ac:dyDescent="0.25">
      <c r="B63" s="7"/>
      <c r="C63" s="89" t="s">
        <v>33</v>
      </c>
      <c r="D63" s="85">
        <f t="shared" ref="D63:S63" si="9">SUM(D56:D60)</f>
        <v>140367.64000000001</v>
      </c>
      <c r="E63" s="85">
        <f t="shared" si="9"/>
        <v>291716.32</v>
      </c>
      <c r="F63" s="85">
        <f t="shared" si="9"/>
        <v>709338.28</v>
      </c>
      <c r="G63" s="85">
        <f t="shared" si="9"/>
        <v>183504.44000000003</v>
      </c>
      <c r="H63" s="85">
        <f t="shared" si="9"/>
        <v>155993.74</v>
      </c>
      <c r="I63" s="85">
        <f t="shared" si="9"/>
        <v>422968.70000000007</v>
      </c>
      <c r="J63" s="85">
        <f t="shared" si="9"/>
        <v>1133357.1200000001</v>
      </c>
      <c r="K63" s="85">
        <f t="shared" si="9"/>
        <v>120657.04000000001</v>
      </c>
      <c r="L63" s="85">
        <f t="shared" si="9"/>
        <v>69072.78</v>
      </c>
      <c r="M63" s="85">
        <f t="shared" si="9"/>
        <v>417030.04000000004</v>
      </c>
      <c r="N63" s="85">
        <f t="shared" si="9"/>
        <v>100788.66</v>
      </c>
      <c r="O63" s="85">
        <f t="shared" si="9"/>
        <v>532317.38</v>
      </c>
      <c r="P63" s="85">
        <f t="shared" si="9"/>
        <v>45100.3</v>
      </c>
      <c r="Q63" s="85">
        <f t="shared" si="9"/>
        <v>276172.12</v>
      </c>
      <c r="R63" s="85">
        <f t="shared" si="9"/>
        <v>149995.58000000002</v>
      </c>
      <c r="S63" s="85">
        <f t="shared" si="9"/>
        <v>2975097.4400000004</v>
      </c>
      <c r="T63" s="86"/>
      <c r="U63" s="89"/>
      <c r="V63" s="9"/>
      <c r="W63" s="9"/>
    </row>
    <row r="64" spans="1:23" x14ac:dyDescent="0.2">
      <c r="B64" s="7"/>
      <c r="C64" s="90"/>
      <c r="D64" s="82"/>
      <c r="E64" s="82"/>
      <c r="F64" s="82"/>
      <c r="G64" s="82"/>
      <c r="H64" s="82"/>
      <c r="I64" s="82"/>
      <c r="J64" s="82"/>
      <c r="K64" s="82"/>
      <c r="L64" s="82"/>
      <c r="M64" s="82"/>
      <c r="N64" s="82"/>
      <c r="O64" s="82"/>
      <c r="P64" s="82"/>
      <c r="Q64" s="82"/>
      <c r="R64" s="82"/>
      <c r="S64" s="82"/>
      <c r="T64" s="82"/>
      <c r="U64" s="90"/>
      <c r="V64" s="9"/>
      <c r="W64" s="9"/>
    </row>
    <row r="65" spans="2:23" x14ac:dyDescent="0.2">
      <c r="B65" s="7"/>
      <c r="C65" s="90"/>
      <c r="D65" s="82"/>
      <c r="E65" s="82"/>
      <c r="F65" s="82"/>
      <c r="G65" s="82"/>
      <c r="H65" s="82"/>
      <c r="I65" s="82"/>
      <c r="J65" s="82"/>
      <c r="K65" s="82"/>
      <c r="L65" s="82"/>
      <c r="M65" s="82"/>
      <c r="N65" s="82"/>
      <c r="O65" s="82"/>
      <c r="P65" s="82"/>
      <c r="Q65" s="82"/>
      <c r="R65" s="82"/>
      <c r="S65" s="82"/>
      <c r="T65" s="82"/>
      <c r="U65" s="90"/>
      <c r="V65" s="9"/>
      <c r="W65" s="9"/>
    </row>
    <row r="66" spans="2:23" x14ac:dyDescent="0.2">
      <c r="B66" s="7"/>
      <c r="C66" s="90"/>
      <c r="D66" s="82"/>
      <c r="E66" s="82"/>
      <c r="F66" s="82"/>
      <c r="G66" s="82"/>
      <c r="H66" s="82"/>
      <c r="I66" s="82"/>
      <c r="J66" s="82"/>
      <c r="K66" s="82"/>
      <c r="L66" s="82"/>
      <c r="M66" s="82"/>
      <c r="N66" s="82"/>
      <c r="O66" s="82"/>
      <c r="P66" s="82"/>
      <c r="Q66" s="82"/>
      <c r="R66" s="82"/>
      <c r="S66" s="82"/>
      <c r="T66" s="82"/>
      <c r="U66" s="90"/>
      <c r="V66" s="9"/>
      <c r="W66" s="9"/>
    </row>
    <row r="67" spans="2:23" ht="15.75" x14ac:dyDescent="0.25">
      <c r="B67" s="7"/>
      <c r="C67" s="74" t="s">
        <v>34</v>
      </c>
      <c r="D67" s="81">
        <f t="shared" ref="D67:S67" si="10">SUM(D63:D66)</f>
        <v>140367.64000000001</v>
      </c>
      <c r="E67" s="81">
        <f t="shared" si="10"/>
        <v>291716.32</v>
      </c>
      <c r="F67" s="81">
        <f t="shared" si="10"/>
        <v>709338.28</v>
      </c>
      <c r="G67" s="81">
        <f t="shared" si="10"/>
        <v>183504.44000000003</v>
      </c>
      <c r="H67" s="81">
        <f t="shared" si="10"/>
        <v>155993.74</v>
      </c>
      <c r="I67" s="81">
        <f t="shared" si="10"/>
        <v>422968.70000000007</v>
      </c>
      <c r="J67" s="81">
        <f t="shared" si="10"/>
        <v>1133357.1200000001</v>
      </c>
      <c r="K67" s="81">
        <f t="shared" si="10"/>
        <v>120657.04000000001</v>
      </c>
      <c r="L67" s="81">
        <f t="shared" si="10"/>
        <v>69072.78</v>
      </c>
      <c r="M67" s="81">
        <f t="shared" si="10"/>
        <v>417030.04000000004</v>
      </c>
      <c r="N67" s="81">
        <f t="shared" si="10"/>
        <v>100788.66</v>
      </c>
      <c r="O67" s="81">
        <f t="shared" si="10"/>
        <v>532317.38</v>
      </c>
      <c r="P67" s="81">
        <f t="shared" si="10"/>
        <v>45100.3</v>
      </c>
      <c r="Q67" s="81">
        <f t="shared" si="10"/>
        <v>276172.12</v>
      </c>
      <c r="R67" s="81">
        <f t="shared" si="10"/>
        <v>149995.58000000002</v>
      </c>
      <c r="S67" s="81">
        <f t="shared" si="10"/>
        <v>2975097.4400000004</v>
      </c>
      <c r="T67" s="81"/>
      <c r="U67" s="92">
        <f>SUM(D67:S67)</f>
        <v>7723477.580000001</v>
      </c>
      <c r="V67" s="9"/>
      <c r="W67" s="9"/>
    </row>
    <row r="68" spans="2:23" ht="15.75" x14ac:dyDescent="0.25">
      <c r="B68" s="7"/>
      <c r="C68" s="74" t="s">
        <v>35</v>
      </c>
      <c r="D68" s="81">
        <f t="shared" ref="D68:S68" si="11">D67/D27</f>
        <v>294.89000000000004</v>
      </c>
      <c r="E68" s="81">
        <f t="shared" si="11"/>
        <v>303.87116666666668</v>
      </c>
      <c r="F68" s="81">
        <f t="shared" si="11"/>
        <v>280.26008692216516</v>
      </c>
      <c r="G68" s="81">
        <f t="shared" si="11"/>
        <v>317.48173010380629</v>
      </c>
      <c r="H68" s="81">
        <f t="shared" si="11"/>
        <v>315.13886868686865</v>
      </c>
      <c r="I68" s="81">
        <f t="shared" si="11"/>
        <v>277.90321944809466</v>
      </c>
      <c r="J68" s="81">
        <f t="shared" si="11"/>
        <v>260.24273708381173</v>
      </c>
      <c r="K68" s="81">
        <f t="shared" si="11"/>
        <v>356.97349112426036</v>
      </c>
      <c r="L68" s="81">
        <f t="shared" si="11"/>
        <v>281.92971428571428</v>
      </c>
      <c r="M68" s="81">
        <f t="shared" si="11"/>
        <v>221.47107806691452</v>
      </c>
      <c r="N68" s="81">
        <f t="shared" si="11"/>
        <v>257.11392857142857</v>
      </c>
      <c r="O68" s="81">
        <f t="shared" si="11"/>
        <v>292.00075699396598</v>
      </c>
      <c r="P68" s="81">
        <f t="shared" si="11"/>
        <v>446.53762376237626</v>
      </c>
      <c r="Q68" s="81">
        <f t="shared" si="11"/>
        <v>266.83296618357485</v>
      </c>
      <c r="R68" s="81">
        <f t="shared" si="11"/>
        <v>355.43976303317538</v>
      </c>
      <c r="S68" s="81">
        <f t="shared" si="11"/>
        <v>262.21553322756921</v>
      </c>
      <c r="T68" s="81"/>
      <c r="U68" s="92">
        <f>U67/T27</f>
        <v>270.98019717914536</v>
      </c>
      <c r="V68" s="9"/>
      <c r="W68" s="9"/>
    </row>
    <row r="69" spans="2:23" x14ac:dyDescent="0.2">
      <c r="B69" s="7"/>
      <c r="C69" s="90"/>
      <c r="D69" s="83"/>
      <c r="E69" s="83"/>
      <c r="F69" s="83"/>
      <c r="G69" s="83"/>
      <c r="H69" s="83"/>
      <c r="I69" s="83"/>
      <c r="J69" s="83"/>
      <c r="K69" s="83"/>
      <c r="L69" s="83"/>
      <c r="M69" s="83"/>
      <c r="N69" s="83"/>
      <c r="O69" s="83"/>
      <c r="P69" s="83"/>
      <c r="Q69" s="83"/>
      <c r="R69" s="83"/>
      <c r="S69" s="83"/>
      <c r="T69" s="83"/>
      <c r="U69" s="93"/>
      <c r="V69" s="9"/>
      <c r="W69" s="9"/>
    </row>
    <row r="70" spans="2:23" x14ac:dyDescent="0.2">
      <c r="B70" s="7"/>
      <c r="C70" s="90"/>
      <c r="D70" s="83"/>
      <c r="E70" s="83"/>
      <c r="F70" s="83"/>
      <c r="G70" s="83"/>
      <c r="H70" s="83"/>
      <c r="I70" s="83"/>
      <c r="J70" s="83"/>
      <c r="K70" s="83"/>
      <c r="L70" s="83"/>
      <c r="M70" s="83"/>
      <c r="N70" s="83"/>
      <c r="O70" s="83"/>
      <c r="P70" s="83"/>
      <c r="Q70" s="83"/>
      <c r="R70" s="83"/>
      <c r="S70" s="83"/>
      <c r="T70" s="83"/>
      <c r="U70" s="93"/>
      <c r="V70" s="9"/>
      <c r="W70" s="9"/>
    </row>
    <row r="71" spans="2:23" x14ac:dyDescent="0.2">
      <c r="B71" s="7"/>
      <c r="C71" s="90"/>
      <c r="D71" s="83"/>
      <c r="E71" s="82"/>
      <c r="F71" s="82"/>
      <c r="G71" s="82"/>
      <c r="H71" s="82"/>
      <c r="I71" s="82"/>
      <c r="J71" s="82"/>
      <c r="K71" s="82"/>
      <c r="L71" s="82"/>
      <c r="M71" s="82"/>
      <c r="N71" s="82"/>
      <c r="O71" s="82"/>
      <c r="P71" s="82"/>
      <c r="Q71" s="82"/>
      <c r="R71" s="82"/>
      <c r="S71" s="82"/>
      <c r="T71" s="82"/>
      <c r="U71" s="90"/>
      <c r="V71" s="9"/>
      <c r="W71" s="9"/>
    </row>
    <row r="72" spans="2:23" hidden="1" x14ac:dyDescent="0.2">
      <c r="B72" s="7">
        <v>2012</v>
      </c>
      <c r="C72" s="90" t="s">
        <v>2</v>
      </c>
      <c r="D72" s="82"/>
      <c r="E72" s="82"/>
      <c r="F72" s="82"/>
      <c r="G72" s="82"/>
      <c r="H72" s="82"/>
      <c r="I72" s="82"/>
      <c r="J72" s="82"/>
      <c r="K72" s="82"/>
      <c r="L72" s="82"/>
      <c r="M72" s="82"/>
      <c r="N72" s="82"/>
      <c r="O72" s="82"/>
      <c r="P72" s="82"/>
      <c r="Q72" s="82"/>
      <c r="R72" s="82"/>
      <c r="S72" s="82"/>
      <c r="T72" s="82" t="s">
        <v>24</v>
      </c>
      <c r="U72" s="90"/>
      <c r="V72" s="18"/>
    </row>
    <row r="73" spans="2:23" hidden="1" x14ac:dyDescent="0.2">
      <c r="B73" s="7"/>
      <c r="C73" s="90" t="s">
        <v>3</v>
      </c>
      <c r="D73" s="82"/>
      <c r="E73" s="82"/>
      <c r="F73" s="82"/>
      <c r="G73" s="82"/>
      <c r="H73" s="82"/>
      <c r="I73" s="82"/>
      <c r="J73" s="82"/>
      <c r="K73" s="82"/>
      <c r="L73" s="82"/>
      <c r="M73" s="82"/>
      <c r="N73" s="82"/>
      <c r="O73" s="82"/>
      <c r="P73" s="82"/>
      <c r="Q73" s="82"/>
      <c r="R73" s="82"/>
      <c r="S73" s="82"/>
      <c r="T73" s="82">
        <v>2166</v>
      </c>
      <c r="U73" s="90"/>
      <c r="V73" s="18"/>
    </row>
    <row r="74" spans="2:23" hidden="1" x14ac:dyDescent="0.2">
      <c r="B74" s="7"/>
      <c r="C74" s="90" t="s">
        <v>4</v>
      </c>
      <c r="D74" s="82"/>
      <c r="E74" s="82"/>
      <c r="F74" s="82"/>
      <c r="G74" s="82"/>
      <c r="H74" s="82"/>
      <c r="I74" s="82"/>
      <c r="J74" s="82"/>
      <c r="K74" s="82"/>
      <c r="L74" s="82"/>
      <c r="M74" s="82"/>
      <c r="N74" s="82"/>
      <c r="O74" s="82"/>
      <c r="P74" s="82"/>
      <c r="Q74" s="82"/>
      <c r="R74" s="82"/>
      <c r="S74" s="82"/>
      <c r="T74" s="82">
        <v>20809</v>
      </c>
      <c r="U74" s="90"/>
      <c r="V74" s="18"/>
    </row>
    <row r="75" spans="2:23" hidden="1" x14ac:dyDescent="0.2">
      <c r="B75" s="7"/>
      <c r="C75" s="90" t="s">
        <v>5</v>
      </c>
      <c r="D75" s="82"/>
      <c r="E75" s="82"/>
      <c r="F75" s="82"/>
      <c r="G75" s="82"/>
      <c r="H75" s="82"/>
      <c r="I75" s="82"/>
      <c r="J75" s="82"/>
      <c r="K75" s="82"/>
      <c r="L75" s="82"/>
      <c r="M75" s="82"/>
      <c r="N75" s="82"/>
      <c r="O75" s="82"/>
      <c r="P75" s="82"/>
      <c r="Q75" s="82"/>
      <c r="R75" s="82"/>
      <c r="S75" s="82"/>
      <c r="T75" s="82">
        <v>3125</v>
      </c>
      <c r="U75" s="90"/>
      <c r="V75" s="18"/>
    </row>
    <row r="76" spans="2:23" hidden="1" x14ac:dyDescent="0.2">
      <c r="B76" s="7"/>
      <c r="C76" s="90" t="s">
        <v>6</v>
      </c>
      <c r="D76" s="82"/>
      <c r="E76" s="82"/>
      <c r="F76" s="82"/>
      <c r="G76" s="82"/>
      <c r="H76" s="82"/>
      <c r="I76" s="82"/>
      <c r="J76" s="82"/>
      <c r="K76" s="82"/>
      <c r="L76" s="82"/>
      <c r="M76" s="82"/>
      <c r="N76" s="82"/>
      <c r="O76" s="82"/>
      <c r="P76" s="82"/>
      <c r="Q76" s="82"/>
      <c r="R76" s="82"/>
      <c r="S76" s="82"/>
      <c r="T76" s="82">
        <v>1633</v>
      </c>
      <c r="U76" s="90"/>
      <c r="V76" s="18"/>
    </row>
    <row r="77" spans="2:23" hidden="1" x14ac:dyDescent="0.2">
      <c r="B77" s="7"/>
      <c r="C77" s="90" t="s">
        <v>7</v>
      </c>
      <c r="D77" s="82"/>
      <c r="E77" s="82"/>
      <c r="F77" s="82"/>
      <c r="G77" s="82"/>
      <c r="H77" s="82"/>
      <c r="I77" s="82"/>
      <c r="J77" s="82"/>
      <c r="K77" s="82"/>
      <c r="L77" s="82"/>
      <c r="M77" s="82"/>
      <c r="N77" s="82"/>
      <c r="O77" s="82"/>
      <c r="P77" s="82"/>
      <c r="Q77" s="82"/>
      <c r="R77" s="82"/>
      <c r="S77" s="82"/>
      <c r="T77" s="82">
        <v>769</v>
      </c>
      <c r="U77" s="90"/>
      <c r="V77" s="18"/>
    </row>
    <row r="78" spans="2:23" hidden="1" x14ac:dyDescent="0.2">
      <c r="B78" s="7"/>
      <c r="C78" s="90"/>
      <c r="D78" s="82"/>
      <c r="E78" s="82"/>
      <c r="F78" s="82"/>
      <c r="G78" s="82"/>
      <c r="H78" s="82"/>
      <c r="I78" s="82"/>
      <c r="J78" s="82"/>
      <c r="K78" s="82"/>
      <c r="L78" s="82"/>
      <c r="M78" s="82"/>
      <c r="N78" s="82"/>
      <c r="O78" s="82"/>
      <c r="P78" s="82"/>
      <c r="Q78" s="82"/>
      <c r="R78" s="82"/>
      <c r="S78" s="82"/>
      <c r="T78" s="82"/>
      <c r="U78" s="90"/>
      <c r="V78" s="18"/>
    </row>
    <row r="79" spans="2:23" hidden="1" x14ac:dyDescent="0.2">
      <c r="B79" s="7"/>
      <c r="C79" s="90" t="s">
        <v>25</v>
      </c>
      <c r="D79" s="82"/>
      <c r="E79" s="82"/>
      <c r="F79" s="82"/>
      <c r="G79" s="82"/>
      <c r="H79" s="82"/>
      <c r="I79" s="82"/>
      <c r="J79" s="82"/>
      <c r="K79" s="82"/>
      <c r="L79" s="82"/>
      <c r="M79" s="82"/>
      <c r="N79" s="82"/>
      <c r="O79" s="82"/>
      <c r="P79" s="82"/>
      <c r="Q79" s="82"/>
      <c r="R79" s="82"/>
      <c r="S79" s="82"/>
      <c r="T79" s="82">
        <v>17279</v>
      </c>
      <c r="U79" s="90"/>
      <c r="V79" s="18"/>
    </row>
    <row r="80" spans="2:23" hidden="1" x14ac:dyDescent="0.2">
      <c r="B80" s="7"/>
      <c r="C80" s="90" t="s">
        <v>26</v>
      </c>
      <c r="D80" s="82"/>
      <c r="E80" s="82"/>
      <c r="F80" s="82"/>
      <c r="G80" s="82"/>
      <c r="H80" s="82"/>
      <c r="I80" s="82"/>
      <c r="J80" s="82"/>
      <c r="K80" s="82"/>
      <c r="L80" s="82"/>
      <c r="M80" s="82"/>
      <c r="N80" s="82"/>
      <c r="O80" s="82"/>
      <c r="P80" s="82"/>
      <c r="Q80" s="82"/>
      <c r="R80" s="82"/>
      <c r="S80" s="82"/>
      <c r="T80" s="82">
        <v>16634</v>
      </c>
      <c r="U80" s="90"/>
      <c r="V80" s="18"/>
    </row>
    <row r="81" spans="2:22" hidden="1" x14ac:dyDescent="0.2">
      <c r="B81" s="7"/>
      <c r="C81" s="90"/>
      <c r="D81" s="82"/>
      <c r="E81" s="82"/>
      <c r="F81" s="82"/>
      <c r="G81" s="82"/>
      <c r="H81" s="82"/>
      <c r="I81" s="82"/>
      <c r="J81" s="82"/>
      <c r="K81" s="82"/>
      <c r="L81" s="82"/>
      <c r="M81" s="82"/>
      <c r="N81" s="82"/>
      <c r="O81" s="82"/>
      <c r="P81" s="82"/>
      <c r="Q81" s="82"/>
      <c r="R81" s="82"/>
      <c r="S81" s="82"/>
      <c r="T81" s="82"/>
      <c r="U81" s="90"/>
      <c r="V81" s="18"/>
    </row>
    <row r="82" spans="2:22" hidden="1" x14ac:dyDescent="0.2">
      <c r="B82" s="7"/>
      <c r="C82" s="90" t="s">
        <v>27</v>
      </c>
      <c r="D82" s="82"/>
      <c r="E82" s="82"/>
      <c r="F82" s="82"/>
      <c r="G82" s="82"/>
      <c r="H82" s="82"/>
      <c r="I82" s="82"/>
      <c r="J82" s="82"/>
      <c r="K82" s="82"/>
      <c r="L82" s="82"/>
      <c r="M82" s="82"/>
      <c r="N82" s="82"/>
      <c r="O82" s="82"/>
      <c r="P82" s="82"/>
      <c r="Q82" s="82"/>
      <c r="R82" s="82"/>
      <c r="S82" s="82"/>
      <c r="T82" s="82">
        <f>SUM(D73:S77)</f>
        <v>0</v>
      </c>
      <c r="U82" s="90"/>
      <c r="V82" s="19"/>
    </row>
    <row r="83" spans="2:22" hidden="1" x14ac:dyDescent="0.2">
      <c r="B83" s="7"/>
      <c r="C83" s="90"/>
      <c r="D83" s="82"/>
      <c r="E83" s="82"/>
      <c r="F83" s="82"/>
      <c r="G83" s="82"/>
      <c r="H83" s="82"/>
      <c r="I83" s="82"/>
      <c r="J83" s="82"/>
      <c r="K83" s="82"/>
      <c r="L83" s="82"/>
      <c r="M83" s="82"/>
      <c r="N83" s="82"/>
      <c r="O83" s="82"/>
      <c r="P83" s="82"/>
      <c r="Q83" s="82"/>
      <c r="R83" s="82"/>
      <c r="S83" s="82"/>
      <c r="T83" s="82"/>
      <c r="U83" s="90"/>
      <c r="V83" s="11"/>
    </row>
    <row r="84" spans="2:22" hidden="1" x14ac:dyDescent="0.2">
      <c r="B84" s="7"/>
      <c r="C84" s="90" t="s">
        <v>28</v>
      </c>
      <c r="D84" s="82"/>
      <c r="E84" s="82"/>
      <c r="F84" s="82"/>
      <c r="G84" s="82"/>
      <c r="H84" s="82"/>
      <c r="I84" s="82"/>
      <c r="J84" s="82"/>
      <c r="K84" s="82"/>
      <c r="L84" s="82"/>
      <c r="M84" s="82"/>
      <c r="N84" s="82"/>
      <c r="O84" s="82"/>
      <c r="P84" s="82"/>
      <c r="Q84" s="82"/>
      <c r="R84" s="82"/>
      <c r="S84" s="82"/>
      <c r="T84" s="82"/>
      <c r="U84" s="90"/>
      <c r="V84" s="14"/>
    </row>
    <row r="85" spans="2:22" hidden="1" x14ac:dyDescent="0.2">
      <c r="B85" s="7"/>
      <c r="C85" s="90" t="s">
        <v>3</v>
      </c>
      <c r="D85" s="82"/>
      <c r="E85" s="82"/>
      <c r="F85" s="82"/>
      <c r="G85" s="82"/>
      <c r="H85" s="82"/>
      <c r="I85" s="82"/>
      <c r="J85" s="82"/>
      <c r="K85" s="82"/>
      <c r="L85" s="82"/>
      <c r="M85" s="82"/>
      <c r="N85" s="82"/>
      <c r="O85" s="82"/>
      <c r="P85" s="82"/>
      <c r="Q85" s="82"/>
      <c r="R85" s="82"/>
      <c r="S85" s="82"/>
      <c r="T85" s="82"/>
      <c r="U85" s="90"/>
      <c r="V85" s="14"/>
    </row>
    <row r="86" spans="2:22" hidden="1" x14ac:dyDescent="0.2">
      <c r="B86" s="7"/>
      <c r="C86" s="90" t="s">
        <v>4</v>
      </c>
      <c r="D86" s="82"/>
      <c r="E86" s="82"/>
      <c r="F86" s="82"/>
      <c r="G86" s="82"/>
      <c r="H86" s="82"/>
      <c r="I86" s="82"/>
      <c r="J86" s="82"/>
      <c r="K86" s="82"/>
      <c r="L86" s="82"/>
      <c r="M86" s="82"/>
      <c r="N86" s="82"/>
      <c r="O86" s="82"/>
      <c r="P86" s="82"/>
      <c r="Q86" s="82"/>
      <c r="R86" s="82"/>
      <c r="S86" s="82"/>
      <c r="T86" s="82"/>
      <c r="U86" s="90"/>
      <c r="V86" s="14"/>
    </row>
    <row r="87" spans="2:22" hidden="1" x14ac:dyDescent="0.2">
      <c r="B87" s="7"/>
      <c r="C87" s="90" t="s">
        <v>5</v>
      </c>
      <c r="D87" s="82"/>
      <c r="E87" s="82"/>
      <c r="F87" s="82"/>
      <c r="G87" s="82"/>
      <c r="H87" s="82"/>
      <c r="I87" s="82"/>
      <c r="J87" s="82"/>
      <c r="K87" s="82"/>
      <c r="L87" s="82"/>
      <c r="M87" s="82"/>
      <c r="N87" s="82"/>
      <c r="O87" s="82"/>
      <c r="P87" s="82"/>
      <c r="Q87" s="82"/>
      <c r="R87" s="82"/>
      <c r="S87" s="82"/>
      <c r="T87" s="82"/>
      <c r="U87" s="90"/>
      <c r="V87" s="14"/>
    </row>
    <row r="88" spans="2:22" hidden="1" x14ac:dyDescent="0.2">
      <c r="B88" s="7"/>
      <c r="C88" s="90" t="s">
        <v>6</v>
      </c>
      <c r="D88" s="82"/>
      <c r="E88" s="82"/>
      <c r="F88" s="82"/>
      <c r="G88" s="82"/>
      <c r="H88" s="82"/>
      <c r="I88" s="82"/>
      <c r="J88" s="82"/>
      <c r="K88" s="82"/>
      <c r="L88" s="82"/>
      <c r="M88" s="82"/>
      <c r="N88" s="82"/>
      <c r="O88" s="82"/>
      <c r="P88" s="82"/>
      <c r="Q88" s="82"/>
      <c r="R88" s="82"/>
      <c r="S88" s="82"/>
      <c r="T88" s="82"/>
      <c r="U88" s="90"/>
      <c r="V88" s="14"/>
    </row>
    <row r="89" spans="2:22" hidden="1" x14ac:dyDescent="0.2">
      <c r="B89" s="7"/>
      <c r="C89" s="90" t="s">
        <v>7</v>
      </c>
      <c r="D89" s="82"/>
      <c r="E89" s="82"/>
      <c r="F89" s="82"/>
      <c r="G89" s="82"/>
      <c r="H89" s="82"/>
      <c r="I89" s="82"/>
      <c r="J89" s="82"/>
      <c r="K89" s="82"/>
      <c r="L89" s="82"/>
      <c r="M89" s="82"/>
      <c r="N89" s="82"/>
      <c r="O89" s="82"/>
      <c r="P89" s="82"/>
      <c r="Q89" s="82"/>
      <c r="R89" s="82"/>
      <c r="S89" s="82"/>
      <c r="T89" s="82"/>
      <c r="U89" s="90"/>
      <c r="V89" s="14"/>
    </row>
    <row r="90" spans="2:22" hidden="1" x14ac:dyDescent="0.2">
      <c r="B90" s="7"/>
      <c r="C90" s="90"/>
      <c r="D90" s="82"/>
      <c r="E90" s="82"/>
      <c r="F90" s="82"/>
      <c r="G90" s="82"/>
      <c r="H90" s="82"/>
      <c r="I90" s="82"/>
      <c r="J90" s="82"/>
      <c r="K90" s="82"/>
      <c r="L90" s="82"/>
      <c r="M90" s="82"/>
      <c r="N90" s="82"/>
      <c r="O90" s="82"/>
      <c r="P90" s="82"/>
      <c r="Q90" s="82"/>
      <c r="R90" s="82"/>
      <c r="S90" s="82"/>
      <c r="T90" s="82"/>
      <c r="U90" s="90"/>
      <c r="V90" s="14"/>
    </row>
    <row r="91" spans="2:22" hidden="1" x14ac:dyDescent="0.2">
      <c r="B91" s="7"/>
      <c r="C91" s="90" t="s">
        <v>25</v>
      </c>
      <c r="D91" s="82"/>
      <c r="E91" s="82"/>
      <c r="F91" s="82"/>
      <c r="G91" s="82"/>
      <c r="H91" s="82"/>
      <c r="I91" s="82"/>
      <c r="J91" s="82"/>
      <c r="K91" s="82"/>
      <c r="L91" s="82"/>
      <c r="M91" s="82"/>
      <c r="N91" s="82"/>
      <c r="O91" s="82"/>
      <c r="P91" s="82"/>
      <c r="Q91" s="82"/>
      <c r="R91" s="82"/>
      <c r="S91" s="82"/>
      <c r="T91" s="82"/>
      <c r="U91" s="90"/>
      <c r="V91" s="14"/>
    </row>
    <row r="92" spans="2:22" hidden="1" x14ac:dyDescent="0.2">
      <c r="B92" s="7"/>
      <c r="C92" s="90" t="s">
        <v>26</v>
      </c>
      <c r="D92" s="82"/>
      <c r="E92" s="82"/>
      <c r="F92" s="82"/>
      <c r="G92" s="82"/>
      <c r="H92" s="82"/>
      <c r="I92" s="82"/>
      <c r="J92" s="82"/>
      <c r="K92" s="82"/>
      <c r="L92" s="82"/>
      <c r="M92" s="82"/>
      <c r="N92" s="82"/>
      <c r="O92" s="82"/>
      <c r="P92" s="82"/>
      <c r="Q92" s="82"/>
      <c r="R92" s="82"/>
      <c r="S92" s="82"/>
      <c r="T92" s="82"/>
      <c r="U92" s="90"/>
      <c r="V92" s="14"/>
    </row>
    <row r="93" spans="2:22" hidden="1" x14ac:dyDescent="0.2">
      <c r="B93" s="7"/>
      <c r="C93" s="90"/>
      <c r="D93" s="82"/>
      <c r="E93" s="82"/>
      <c r="F93" s="82"/>
      <c r="G93" s="82"/>
      <c r="H93" s="82"/>
      <c r="I93" s="82"/>
      <c r="J93" s="82"/>
      <c r="K93" s="82"/>
      <c r="L93" s="82"/>
      <c r="M93" s="82"/>
      <c r="N93" s="82"/>
      <c r="O93" s="82"/>
      <c r="P93" s="82"/>
      <c r="Q93" s="82"/>
      <c r="R93" s="82"/>
      <c r="S93" s="82"/>
      <c r="T93" s="82"/>
      <c r="U93" s="90"/>
      <c r="V93" s="14"/>
    </row>
    <row r="94" spans="2:22" hidden="1" x14ac:dyDescent="0.2">
      <c r="B94" s="7"/>
      <c r="C94" s="90" t="s">
        <v>27</v>
      </c>
      <c r="D94" s="82"/>
      <c r="E94" s="82"/>
      <c r="F94" s="82"/>
      <c r="G94" s="82"/>
      <c r="H94" s="82"/>
      <c r="I94" s="82"/>
      <c r="J94" s="82"/>
      <c r="K94" s="82"/>
      <c r="L94" s="82"/>
      <c r="M94" s="82"/>
      <c r="N94" s="82"/>
      <c r="O94" s="82"/>
      <c r="P94" s="82"/>
      <c r="Q94" s="82"/>
      <c r="R94" s="82"/>
      <c r="S94" s="82"/>
      <c r="T94" s="82"/>
      <c r="U94" s="90"/>
      <c r="V94" s="14"/>
    </row>
    <row r="95" spans="2:22" hidden="1" x14ac:dyDescent="0.2">
      <c r="B95" s="7"/>
      <c r="C95" s="90"/>
      <c r="D95" s="82"/>
      <c r="E95" s="82"/>
      <c r="F95" s="82"/>
      <c r="G95" s="82"/>
      <c r="H95" s="82"/>
      <c r="I95" s="82"/>
      <c r="J95" s="82"/>
      <c r="K95" s="82"/>
      <c r="L95" s="82"/>
      <c r="M95" s="82"/>
      <c r="N95" s="82"/>
      <c r="O95" s="82"/>
      <c r="P95" s="82"/>
      <c r="Q95" s="82"/>
      <c r="R95" s="82"/>
      <c r="S95" s="82"/>
      <c r="T95" s="82"/>
      <c r="U95" s="90"/>
      <c r="V95" s="14"/>
    </row>
    <row r="96" spans="2:22" hidden="1" x14ac:dyDescent="0.2">
      <c r="B96" s="7"/>
      <c r="C96" s="90"/>
      <c r="D96" s="82"/>
      <c r="E96" s="82"/>
      <c r="F96" s="82"/>
      <c r="G96" s="82"/>
      <c r="H96" s="82"/>
      <c r="I96" s="82"/>
      <c r="J96" s="82"/>
      <c r="K96" s="82"/>
      <c r="L96" s="82"/>
      <c r="M96" s="82"/>
      <c r="N96" s="82"/>
      <c r="O96" s="82"/>
      <c r="P96" s="82"/>
      <c r="Q96" s="82"/>
      <c r="R96" s="82"/>
      <c r="S96" s="82"/>
      <c r="T96" s="82"/>
      <c r="U96" s="90"/>
      <c r="V96" s="14"/>
    </row>
    <row r="97" spans="2:22" hidden="1" x14ac:dyDescent="0.2">
      <c r="B97" s="7"/>
      <c r="C97" s="90"/>
      <c r="D97" s="82"/>
      <c r="E97" s="82"/>
      <c r="F97" s="82"/>
      <c r="G97" s="82"/>
      <c r="H97" s="82"/>
      <c r="I97" s="82"/>
      <c r="J97" s="82"/>
      <c r="K97" s="82"/>
      <c r="L97" s="82"/>
      <c r="M97" s="82"/>
      <c r="N97" s="82"/>
      <c r="O97" s="82"/>
      <c r="P97" s="82"/>
      <c r="Q97" s="82"/>
      <c r="R97" s="82"/>
      <c r="S97" s="82"/>
      <c r="T97" s="82"/>
      <c r="U97" s="90"/>
      <c r="V97" s="11"/>
    </row>
    <row r="98" spans="2:22" hidden="1" x14ac:dyDescent="0.2">
      <c r="B98" s="7"/>
      <c r="C98" s="90"/>
      <c r="D98" s="82"/>
      <c r="E98" s="82"/>
      <c r="F98" s="82"/>
      <c r="G98" s="82"/>
      <c r="H98" s="82"/>
      <c r="I98" s="82"/>
      <c r="J98" s="82"/>
      <c r="K98" s="82"/>
      <c r="L98" s="82"/>
      <c r="M98" s="82"/>
      <c r="N98" s="82"/>
      <c r="O98" s="82"/>
      <c r="P98" s="82"/>
      <c r="Q98" s="82"/>
      <c r="R98" s="82"/>
      <c r="S98" s="82"/>
      <c r="T98" s="82"/>
      <c r="U98" s="90"/>
      <c r="V98" s="11"/>
    </row>
    <row r="99" spans="2:22" hidden="1" x14ac:dyDescent="0.2">
      <c r="B99" s="7"/>
      <c r="C99" s="90"/>
      <c r="D99" s="82"/>
      <c r="E99" s="82"/>
      <c r="F99" s="82"/>
      <c r="G99" s="82"/>
      <c r="H99" s="82"/>
      <c r="I99" s="82"/>
      <c r="J99" s="82"/>
      <c r="K99" s="82"/>
      <c r="L99" s="82"/>
      <c r="M99" s="82"/>
      <c r="N99" s="82"/>
      <c r="O99" s="82"/>
      <c r="P99" s="82"/>
      <c r="Q99" s="82"/>
      <c r="R99" s="82"/>
      <c r="S99" s="82"/>
      <c r="T99" s="82"/>
      <c r="U99" s="90"/>
      <c r="V99" s="11"/>
    </row>
    <row r="100" spans="2:22" hidden="1" x14ac:dyDescent="0.2">
      <c r="B100" s="7">
        <v>2011</v>
      </c>
      <c r="C100" s="90" t="s">
        <v>2</v>
      </c>
      <c r="D100" s="82"/>
      <c r="E100" s="82"/>
      <c r="F100" s="82"/>
      <c r="G100" s="82"/>
      <c r="H100" s="82"/>
      <c r="I100" s="82"/>
      <c r="J100" s="82"/>
      <c r="K100" s="82"/>
      <c r="L100" s="82"/>
      <c r="M100" s="82"/>
      <c r="N100" s="82"/>
      <c r="O100" s="82"/>
      <c r="P100" s="82"/>
      <c r="Q100" s="82"/>
      <c r="R100" s="82"/>
      <c r="S100" s="82"/>
      <c r="T100" s="82" t="s">
        <v>24</v>
      </c>
      <c r="U100" s="90"/>
      <c r="V100" s="8"/>
    </row>
    <row r="101" spans="2:22" hidden="1" x14ac:dyDescent="0.2">
      <c r="B101" s="7"/>
      <c r="C101" s="90" t="s">
        <v>3</v>
      </c>
      <c r="D101" s="82"/>
      <c r="E101" s="82"/>
      <c r="F101" s="82"/>
      <c r="G101" s="82"/>
      <c r="H101" s="82"/>
      <c r="I101" s="82"/>
      <c r="J101" s="82"/>
      <c r="K101" s="82"/>
      <c r="L101" s="82"/>
      <c r="M101" s="82"/>
      <c r="N101" s="82"/>
      <c r="O101" s="82"/>
      <c r="P101" s="82"/>
      <c r="Q101" s="82"/>
      <c r="R101" s="82"/>
      <c r="S101" s="82"/>
      <c r="T101" s="82">
        <v>2130</v>
      </c>
      <c r="U101" s="90"/>
      <c r="V101" s="18"/>
    </row>
    <row r="102" spans="2:22" hidden="1" x14ac:dyDescent="0.2">
      <c r="B102" s="7"/>
      <c r="C102" s="90" t="s">
        <v>4</v>
      </c>
      <c r="D102" s="82"/>
      <c r="E102" s="82"/>
      <c r="F102" s="82"/>
      <c r="G102" s="82"/>
      <c r="H102" s="82"/>
      <c r="I102" s="82"/>
      <c r="J102" s="82"/>
      <c r="K102" s="82"/>
      <c r="L102" s="82"/>
      <c r="M102" s="82"/>
      <c r="N102" s="82"/>
      <c r="O102" s="82"/>
      <c r="P102" s="82"/>
      <c r="Q102" s="82"/>
      <c r="R102" s="82"/>
      <c r="S102" s="82"/>
      <c r="T102" s="82">
        <v>20867</v>
      </c>
      <c r="U102" s="90"/>
      <c r="V102" s="18"/>
    </row>
    <row r="103" spans="2:22" hidden="1" x14ac:dyDescent="0.2">
      <c r="B103" s="7"/>
      <c r="C103" s="90" t="s">
        <v>5</v>
      </c>
      <c r="D103" s="82"/>
      <c r="E103" s="82"/>
      <c r="F103" s="82"/>
      <c r="G103" s="82"/>
      <c r="H103" s="82"/>
      <c r="I103" s="82"/>
      <c r="J103" s="82"/>
      <c r="K103" s="82"/>
      <c r="L103" s="82"/>
      <c r="M103" s="82"/>
      <c r="N103" s="82"/>
      <c r="O103" s="82"/>
      <c r="P103" s="82"/>
      <c r="Q103" s="82"/>
      <c r="R103" s="82"/>
      <c r="S103" s="82"/>
      <c r="T103" s="82">
        <v>2981</v>
      </c>
      <c r="U103" s="90"/>
      <c r="V103" s="18"/>
    </row>
    <row r="104" spans="2:22" hidden="1" x14ac:dyDescent="0.2">
      <c r="B104" s="7"/>
      <c r="C104" s="90" t="s">
        <v>6</v>
      </c>
      <c r="D104" s="82"/>
      <c r="E104" s="82"/>
      <c r="F104" s="82"/>
      <c r="G104" s="82"/>
      <c r="H104" s="82"/>
      <c r="I104" s="82"/>
      <c r="J104" s="82"/>
      <c r="K104" s="82"/>
      <c r="L104" s="82"/>
      <c r="M104" s="82"/>
      <c r="N104" s="82"/>
      <c r="O104" s="82"/>
      <c r="P104" s="82"/>
      <c r="Q104" s="82"/>
      <c r="R104" s="82"/>
      <c r="S104" s="82"/>
      <c r="T104" s="82">
        <v>1619</v>
      </c>
      <c r="U104" s="90"/>
      <c r="V104" s="18"/>
    </row>
    <row r="105" spans="2:22" hidden="1" x14ac:dyDescent="0.2">
      <c r="B105" s="7"/>
      <c r="C105" s="90" t="s">
        <v>7</v>
      </c>
      <c r="D105" s="82"/>
      <c r="E105" s="82"/>
      <c r="F105" s="82"/>
      <c r="G105" s="82"/>
      <c r="H105" s="82"/>
      <c r="I105" s="82"/>
      <c r="J105" s="82"/>
      <c r="K105" s="82"/>
      <c r="L105" s="82"/>
      <c r="M105" s="82"/>
      <c r="N105" s="82"/>
      <c r="O105" s="82"/>
      <c r="P105" s="82"/>
      <c r="Q105" s="82"/>
      <c r="R105" s="82"/>
      <c r="S105" s="82"/>
      <c r="T105" s="82">
        <v>758</v>
      </c>
      <c r="U105" s="90"/>
      <c r="V105" s="18"/>
    </row>
    <row r="106" spans="2:22" hidden="1" x14ac:dyDescent="0.2">
      <c r="B106" s="7"/>
      <c r="C106" s="90"/>
      <c r="D106" s="82"/>
      <c r="E106" s="82"/>
      <c r="F106" s="82"/>
      <c r="G106" s="82"/>
      <c r="H106" s="82"/>
      <c r="I106" s="82"/>
      <c r="J106" s="82"/>
      <c r="K106" s="82"/>
      <c r="L106" s="82"/>
      <c r="M106" s="82"/>
      <c r="N106" s="82"/>
      <c r="O106" s="82"/>
      <c r="P106" s="82"/>
      <c r="Q106" s="82"/>
      <c r="R106" s="82"/>
      <c r="S106" s="82"/>
      <c r="T106" s="82"/>
      <c r="U106" s="90"/>
      <c r="V106" s="18"/>
    </row>
    <row r="107" spans="2:22" hidden="1" x14ac:dyDescent="0.2">
      <c r="B107" s="7"/>
      <c r="C107" s="90" t="s">
        <v>25</v>
      </c>
      <c r="D107" s="82"/>
      <c r="E107" s="82"/>
      <c r="F107" s="82"/>
      <c r="G107" s="82"/>
      <c r="H107" s="82"/>
      <c r="I107" s="82"/>
      <c r="J107" s="82"/>
      <c r="K107" s="82"/>
      <c r="L107" s="82"/>
      <c r="M107" s="82"/>
      <c r="N107" s="82"/>
      <c r="O107" s="82"/>
      <c r="P107" s="82"/>
      <c r="Q107" s="82"/>
      <c r="R107" s="82"/>
      <c r="S107" s="82"/>
      <c r="T107" s="82">
        <v>17328</v>
      </c>
      <c r="U107" s="90"/>
      <c r="V107" s="18"/>
    </row>
    <row r="108" spans="2:22" hidden="1" x14ac:dyDescent="0.2">
      <c r="B108" s="7"/>
      <c r="C108" s="90" t="s">
        <v>26</v>
      </c>
      <c r="D108" s="82"/>
      <c r="E108" s="82"/>
      <c r="F108" s="82"/>
      <c r="G108" s="82"/>
      <c r="H108" s="82"/>
      <c r="I108" s="82"/>
      <c r="J108" s="82"/>
      <c r="K108" s="82"/>
      <c r="L108" s="82"/>
      <c r="M108" s="82"/>
      <c r="N108" s="82"/>
      <c r="O108" s="82"/>
      <c r="P108" s="82"/>
      <c r="Q108" s="82"/>
      <c r="R108" s="82"/>
      <c r="S108" s="82"/>
      <c r="T108" s="82">
        <v>16639</v>
      </c>
      <c r="U108" s="90"/>
      <c r="V108" s="18"/>
    </row>
    <row r="109" spans="2:22" hidden="1" x14ac:dyDescent="0.2">
      <c r="B109" s="7"/>
      <c r="C109" s="90"/>
      <c r="D109" s="82"/>
      <c r="E109" s="82"/>
      <c r="F109" s="82"/>
      <c r="G109" s="82"/>
      <c r="H109" s="82"/>
      <c r="I109" s="82"/>
      <c r="J109" s="82"/>
      <c r="K109" s="82"/>
      <c r="L109" s="82"/>
      <c r="M109" s="82"/>
      <c r="N109" s="82"/>
      <c r="O109" s="82"/>
      <c r="P109" s="82"/>
      <c r="Q109" s="82"/>
      <c r="R109" s="82"/>
      <c r="S109" s="82"/>
      <c r="T109" s="82"/>
      <c r="U109" s="90"/>
      <c r="V109" s="18"/>
    </row>
    <row r="110" spans="2:22" ht="25.5" hidden="1" customHeight="1" x14ac:dyDescent="0.2">
      <c r="B110" s="7"/>
      <c r="C110" s="90" t="s">
        <v>27</v>
      </c>
      <c r="D110" s="82"/>
      <c r="E110" s="82"/>
      <c r="F110" s="82"/>
      <c r="G110" s="82"/>
      <c r="H110" s="82"/>
      <c r="I110" s="82"/>
      <c r="J110" s="82"/>
      <c r="K110" s="82"/>
      <c r="L110" s="82"/>
      <c r="M110" s="82"/>
      <c r="N110" s="82"/>
      <c r="O110" s="82"/>
      <c r="P110" s="82"/>
      <c r="Q110" s="82"/>
      <c r="R110" s="82"/>
      <c r="S110" s="82"/>
      <c r="T110" s="82">
        <f>SUM(D101:S105)</f>
        <v>0</v>
      </c>
      <c r="U110" s="90"/>
      <c r="V110" s="19"/>
    </row>
    <row r="111" spans="2:22" ht="22.5" hidden="1" customHeight="1" x14ac:dyDescent="0.2">
      <c r="B111" s="7"/>
      <c r="C111" s="90"/>
      <c r="D111" s="82"/>
      <c r="E111" s="82"/>
      <c r="F111" s="82"/>
      <c r="G111" s="82"/>
      <c r="H111" s="82"/>
      <c r="I111" s="82"/>
      <c r="J111" s="82"/>
      <c r="K111" s="82"/>
      <c r="L111" s="82"/>
      <c r="M111" s="82"/>
      <c r="N111" s="82"/>
      <c r="O111" s="82"/>
      <c r="P111" s="82"/>
      <c r="Q111" s="82"/>
      <c r="R111" s="82"/>
      <c r="S111" s="82"/>
      <c r="T111" s="82"/>
      <c r="U111" s="90"/>
      <c r="V111" s="11"/>
    </row>
    <row r="112" spans="2:22" ht="21.75" hidden="1" customHeight="1" x14ac:dyDescent="0.2">
      <c r="B112" s="7"/>
      <c r="C112" s="90" t="s">
        <v>28</v>
      </c>
      <c r="D112" s="82"/>
      <c r="E112" s="82"/>
      <c r="F112" s="82"/>
      <c r="G112" s="82"/>
      <c r="H112" s="82"/>
      <c r="I112" s="82"/>
      <c r="J112" s="82"/>
      <c r="K112" s="82"/>
      <c r="L112" s="82"/>
      <c r="M112" s="82"/>
      <c r="N112" s="82"/>
      <c r="O112" s="82"/>
      <c r="P112" s="82"/>
      <c r="Q112" s="82"/>
      <c r="R112" s="82"/>
      <c r="S112" s="82"/>
      <c r="T112" s="82"/>
      <c r="U112" s="90"/>
      <c r="V112" s="14"/>
    </row>
    <row r="113" spans="2:22" ht="21.75" hidden="1" customHeight="1" x14ac:dyDescent="0.2">
      <c r="B113" s="7"/>
      <c r="C113" s="90" t="s">
        <v>3</v>
      </c>
      <c r="D113" s="82"/>
      <c r="E113" s="82"/>
      <c r="F113" s="82"/>
      <c r="G113" s="82"/>
      <c r="H113" s="82"/>
      <c r="I113" s="82"/>
      <c r="J113" s="82"/>
      <c r="K113" s="82"/>
      <c r="L113" s="82"/>
      <c r="M113" s="82"/>
      <c r="N113" s="82"/>
      <c r="O113" s="82"/>
      <c r="P113" s="82"/>
      <c r="Q113" s="82"/>
      <c r="R113" s="82"/>
      <c r="S113" s="82"/>
      <c r="T113" s="82"/>
      <c r="U113" s="90"/>
      <c r="V113" s="14"/>
    </row>
    <row r="114" spans="2:22" ht="21.75" hidden="1" customHeight="1" x14ac:dyDescent="0.2">
      <c r="B114" s="7"/>
      <c r="C114" s="90" t="s">
        <v>4</v>
      </c>
      <c r="D114" s="82"/>
      <c r="E114" s="82"/>
      <c r="F114" s="82"/>
      <c r="G114" s="82"/>
      <c r="H114" s="82"/>
      <c r="I114" s="82"/>
      <c r="J114" s="82"/>
      <c r="K114" s="82"/>
      <c r="L114" s="82"/>
      <c r="M114" s="82"/>
      <c r="N114" s="82"/>
      <c r="O114" s="82"/>
      <c r="P114" s="82"/>
      <c r="Q114" s="82"/>
      <c r="R114" s="82"/>
      <c r="S114" s="82"/>
      <c r="T114" s="82"/>
      <c r="U114" s="90"/>
      <c r="V114" s="14"/>
    </row>
    <row r="115" spans="2:22" ht="20.25" hidden="1" customHeight="1" x14ac:dyDescent="0.2">
      <c r="B115" s="7"/>
      <c r="C115" s="90" t="s">
        <v>5</v>
      </c>
      <c r="D115" s="82"/>
      <c r="E115" s="82"/>
      <c r="F115" s="82"/>
      <c r="G115" s="82"/>
      <c r="H115" s="82"/>
      <c r="I115" s="82"/>
      <c r="J115" s="82"/>
      <c r="K115" s="82"/>
      <c r="L115" s="82"/>
      <c r="M115" s="82"/>
      <c r="N115" s="82"/>
      <c r="O115" s="82"/>
      <c r="P115" s="82"/>
      <c r="Q115" s="82"/>
      <c r="R115" s="82"/>
      <c r="S115" s="82"/>
      <c r="T115" s="82"/>
      <c r="U115" s="90"/>
      <c r="V115" s="14"/>
    </row>
    <row r="116" spans="2:22" ht="18.75" hidden="1" customHeight="1" x14ac:dyDescent="0.2">
      <c r="B116" s="7"/>
      <c r="C116" s="90" t="s">
        <v>6</v>
      </c>
      <c r="D116" s="82"/>
      <c r="E116" s="82"/>
      <c r="F116" s="82"/>
      <c r="G116" s="82"/>
      <c r="H116" s="82"/>
      <c r="I116" s="82"/>
      <c r="J116" s="82"/>
      <c r="K116" s="82"/>
      <c r="L116" s="82"/>
      <c r="M116" s="82"/>
      <c r="N116" s="82"/>
      <c r="O116" s="82"/>
      <c r="P116" s="82"/>
      <c r="Q116" s="82"/>
      <c r="R116" s="82"/>
      <c r="S116" s="82"/>
      <c r="T116" s="82"/>
      <c r="U116" s="90"/>
      <c r="V116" s="14"/>
    </row>
    <row r="117" spans="2:22" ht="18.75" hidden="1" customHeight="1" x14ac:dyDescent="0.2">
      <c r="B117" s="7"/>
      <c r="C117" s="90" t="s">
        <v>7</v>
      </c>
      <c r="D117" s="82"/>
      <c r="E117" s="82"/>
      <c r="F117" s="82"/>
      <c r="G117" s="82"/>
      <c r="H117" s="82"/>
      <c r="I117" s="82"/>
      <c r="J117" s="82"/>
      <c r="K117" s="82"/>
      <c r="L117" s="82"/>
      <c r="M117" s="82"/>
      <c r="N117" s="82"/>
      <c r="O117" s="82"/>
      <c r="P117" s="82"/>
      <c r="Q117" s="82"/>
      <c r="R117" s="82"/>
      <c r="S117" s="82"/>
      <c r="T117" s="82"/>
      <c r="U117" s="90"/>
      <c r="V117" s="14"/>
    </row>
    <row r="118" spans="2:22" ht="19.5" hidden="1" customHeight="1" x14ac:dyDescent="0.2">
      <c r="B118" s="7"/>
      <c r="C118" s="90"/>
      <c r="D118" s="82"/>
      <c r="E118" s="82"/>
      <c r="F118" s="82"/>
      <c r="G118" s="82"/>
      <c r="H118" s="82"/>
      <c r="I118" s="82"/>
      <c r="J118" s="82"/>
      <c r="K118" s="82"/>
      <c r="L118" s="82"/>
      <c r="M118" s="82"/>
      <c r="N118" s="82"/>
      <c r="O118" s="82"/>
      <c r="P118" s="82"/>
      <c r="Q118" s="82"/>
      <c r="R118" s="82"/>
      <c r="S118" s="82"/>
      <c r="T118" s="82"/>
      <c r="U118" s="90"/>
      <c r="V118" s="14"/>
    </row>
    <row r="119" spans="2:22" ht="21" hidden="1" customHeight="1" x14ac:dyDescent="0.2">
      <c r="B119" s="7"/>
      <c r="C119" s="90" t="s">
        <v>25</v>
      </c>
      <c r="D119" s="82"/>
      <c r="E119" s="82"/>
      <c r="F119" s="82"/>
      <c r="G119" s="82"/>
      <c r="H119" s="82"/>
      <c r="I119" s="82"/>
      <c r="J119" s="82"/>
      <c r="K119" s="82"/>
      <c r="L119" s="82"/>
      <c r="M119" s="82"/>
      <c r="N119" s="82"/>
      <c r="O119" s="82"/>
      <c r="P119" s="82"/>
      <c r="Q119" s="82"/>
      <c r="R119" s="82"/>
      <c r="S119" s="82"/>
      <c r="T119" s="82"/>
      <c r="U119" s="90"/>
      <c r="V119" s="14"/>
    </row>
    <row r="120" spans="2:22" ht="19.5" hidden="1" customHeight="1" x14ac:dyDescent="0.2">
      <c r="B120" s="7"/>
      <c r="C120" s="90" t="s">
        <v>26</v>
      </c>
      <c r="D120" s="82"/>
      <c r="E120" s="82"/>
      <c r="F120" s="82"/>
      <c r="G120" s="82"/>
      <c r="H120" s="82"/>
      <c r="I120" s="82"/>
      <c r="J120" s="82"/>
      <c r="K120" s="82"/>
      <c r="L120" s="82"/>
      <c r="M120" s="82"/>
      <c r="N120" s="82"/>
      <c r="O120" s="82"/>
      <c r="P120" s="82"/>
      <c r="Q120" s="82"/>
      <c r="R120" s="82"/>
      <c r="S120" s="82"/>
      <c r="T120" s="82"/>
      <c r="U120" s="90"/>
      <c r="V120" s="14"/>
    </row>
    <row r="121" spans="2:22" ht="21" hidden="1" customHeight="1" x14ac:dyDescent="0.2">
      <c r="B121" s="7"/>
      <c r="C121" s="90"/>
      <c r="D121" s="82"/>
      <c r="E121" s="82"/>
      <c r="F121" s="82"/>
      <c r="G121" s="82"/>
      <c r="H121" s="82"/>
      <c r="I121" s="82"/>
      <c r="J121" s="82"/>
      <c r="K121" s="82"/>
      <c r="L121" s="82"/>
      <c r="M121" s="82"/>
      <c r="N121" s="82"/>
      <c r="O121" s="82"/>
      <c r="P121" s="82"/>
      <c r="Q121" s="82"/>
      <c r="R121" s="82"/>
      <c r="S121" s="82"/>
      <c r="T121" s="82"/>
      <c r="U121" s="90"/>
      <c r="V121" s="14"/>
    </row>
    <row r="122" spans="2:22" hidden="1" x14ac:dyDescent="0.2">
      <c r="B122" s="7"/>
      <c r="C122" s="90" t="s">
        <v>27</v>
      </c>
      <c r="D122" s="82"/>
      <c r="E122" s="82"/>
      <c r="F122" s="82"/>
      <c r="G122" s="82"/>
      <c r="H122" s="82"/>
      <c r="I122" s="82"/>
      <c r="J122" s="82"/>
      <c r="K122" s="82"/>
      <c r="L122" s="82"/>
      <c r="M122" s="82"/>
      <c r="N122" s="82"/>
      <c r="O122" s="82"/>
      <c r="P122" s="82"/>
      <c r="Q122" s="82"/>
      <c r="R122" s="82"/>
      <c r="S122" s="82"/>
      <c r="T122" s="82"/>
      <c r="U122" s="90"/>
      <c r="V122" s="14"/>
    </row>
    <row r="123" spans="2:22" hidden="1" x14ac:dyDescent="0.2">
      <c r="B123" s="7"/>
      <c r="C123" s="90"/>
      <c r="D123" s="82"/>
      <c r="E123" s="82"/>
      <c r="F123" s="82"/>
      <c r="G123" s="82"/>
      <c r="H123" s="82"/>
      <c r="I123" s="82"/>
      <c r="J123" s="82"/>
      <c r="K123" s="82"/>
      <c r="L123" s="82"/>
      <c r="M123" s="82"/>
      <c r="N123" s="82"/>
      <c r="O123" s="82"/>
      <c r="P123" s="82"/>
      <c r="Q123" s="82"/>
      <c r="R123" s="82"/>
      <c r="S123" s="82"/>
      <c r="T123" s="82"/>
      <c r="U123" s="90"/>
      <c r="V123" s="11"/>
    </row>
    <row r="124" spans="2:22" hidden="1" x14ac:dyDescent="0.2">
      <c r="B124" s="7"/>
      <c r="C124" s="90"/>
      <c r="D124" s="82"/>
      <c r="E124" s="82"/>
      <c r="F124" s="82"/>
      <c r="G124" s="82"/>
      <c r="H124" s="82"/>
      <c r="I124" s="82"/>
      <c r="J124" s="82"/>
      <c r="K124" s="82"/>
      <c r="L124" s="82"/>
      <c r="M124" s="82"/>
      <c r="N124" s="82"/>
      <c r="O124" s="82"/>
      <c r="P124" s="82"/>
      <c r="Q124" s="82"/>
      <c r="R124" s="82"/>
      <c r="S124" s="82"/>
      <c r="T124" s="82"/>
      <c r="U124" s="90"/>
      <c r="V124" s="11"/>
    </row>
    <row r="125" spans="2:22" hidden="1" x14ac:dyDescent="0.2">
      <c r="B125" s="7"/>
      <c r="C125" s="90"/>
      <c r="D125" s="82"/>
      <c r="E125" s="82"/>
      <c r="F125" s="82"/>
      <c r="G125" s="82"/>
      <c r="H125" s="82"/>
      <c r="I125" s="82"/>
      <c r="J125" s="82"/>
      <c r="K125" s="82"/>
      <c r="L125" s="82"/>
      <c r="M125" s="82"/>
      <c r="N125" s="82"/>
      <c r="O125" s="82"/>
      <c r="P125" s="82"/>
      <c r="Q125" s="82"/>
      <c r="R125" s="82"/>
      <c r="S125" s="82"/>
      <c r="T125" s="82"/>
      <c r="U125" s="90"/>
      <c r="V125" s="11"/>
    </row>
    <row r="126" spans="2:22" hidden="1" x14ac:dyDescent="0.2">
      <c r="B126" s="7"/>
      <c r="C126" s="90"/>
      <c r="D126" s="82"/>
      <c r="E126" s="82"/>
      <c r="F126" s="82"/>
      <c r="G126" s="82"/>
      <c r="H126" s="82"/>
      <c r="I126" s="82"/>
      <c r="J126" s="82"/>
      <c r="K126" s="82"/>
      <c r="L126" s="82"/>
      <c r="M126" s="82"/>
      <c r="N126" s="82"/>
      <c r="O126" s="82"/>
      <c r="P126" s="82"/>
      <c r="Q126" s="82"/>
      <c r="R126" s="82"/>
      <c r="S126" s="82"/>
      <c r="T126" s="82"/>
      <c r="U126" s="90"/>
      <c r="V126" s="11"/>
    </row>
    <row r="127" spans="2:22" hidden="1" x14ac:dyDescent="0.2">
      <c r="B127" s="7">
        <v>2010</v>
      </c>
      <c r="C127" s="90" t="s">
        <v>2</v>
      </c>
      <c r="D127" s="82"/>
      <c r="E127" s="82"/>
      <c r="F127" s="82"/>
      <c r="G127" s="82"/>
      <c r="H127" s="82"/>
      <c r="I127" s="82"/>
      <c r="J127" s="82"/>
      <c r="K127" s="82"/>
      <c r="L127" s="82"/>
      <c r="M127" s="82"/>
      <c r="N127" s="82"/>
      <c r="O127" s="82"/>
      <c r="P127" s="82"/>
      <c r="Q127" s="82"/>
      <c r="R127" s="82"/>
      <c r="S127" s="82"/>
      <c r="T127" s="82" t="s">
        <v>24</v>
      </c>
      <c r="U127" s="90"/>
      <c r="V127" s="8"/>
    </row>
    <row r="128" spans="2:22" hidden="1" x14ac:dyDescent="0.2">
      <c r="B128" s="7"/>
      <c r="C128" s="90" t="s">
        <v>3</v>
      </c>
      <c r="D128" s="82"/>
      <c r="E128" s="82"/>
      <c r="F128" s="82"/>
      <c r="G128" s="82"/>
      <c r="H128" s="82"/>
      <c r="I128" s="82"/>
      <c r="J128" s="82"/>
      <c r="K128" s="82"/>
      <c r="L128" s="82"/>
      <c r="M128" s="82"/>
      <c r="N128" s="82"/>
      <c r="O128" s="82"/>
      <c r="P128" s="82"/>
      <c r="Q128" s="82"/>
      <c r="R128" s="82"/>
      <c r="S128" s="82"/>
      <c r="T128" s="82">
        <v>2097</v>
      </c>
      <c r="U128" s="90"/>
      <c r="V128" s="18"/>
    </row>
    <row r="129" spans="2:22" hidden="1" x14ac:dyDescent="0.2">
      <c r="B129" s="7"/>
      <c r="C129" s="90" t="s">
        <v>4</v>
      </c>
      <c r="D129" s="82"/>
      <c r="E129" s="82"/>
      <c r="F129" s="82"/>
      <c r="G129" s="82"/>
      <c r="H129" s="82"/>
      <c r="I129" s="82"/>
      <c r="J129" s="82"/>
      <c r="K129" s="82"/>
      <c r="L129" s="82"/>
      <c r="M129" s="82"/>
      <c r="N129" s="82"/>
      <c r="O129" s="82"/>
      <c r="P129" s="82"/>
      <c r="Q129" s="82"/>
      <c r="R129" s="82"/>
      <c r="S129" s="82"/>
      <c r="T129" s="82">
        <v>20765</v>
      </c>
      <c r="U129" s="90"/>
      <c r="V129" s="18"/>
    </row>
    <row r="130" spans="2:22" hidden="1" x14ac:dyDescent="0.2">
      <c r="B130" s="7"/>
      <c r="C130" s="90" t="s">
        <v>5</v>
      </c>
      <c r="D130" s="82"/>
      <c r="E130" s="82"/>
      <c r="F130" s="82"/>
      <c r="G130" s="82"/>
      <c r="H130" s="82"/>
      <c r="I130" s="82"/>
      <c r="J130" s="82"/>
      <c r="K130" s="82"/>
      <c r="L130" s="82"/>
      <c r="M130" s="82"/>
      <c r="N130" s="82"/>
      <c r="O130" s="82"/>
      <c r="P130" s="82"/>
      <c r="Q130" s="82"/>
      <c r="R130" s="82"/>
      <c r="S130" s="82"/>
      <c r="T130" s="82">
        <v>2776</v>
      </c>
      <c r="U130" s="90"/>
      <c r="V130" s="18"/>
    </row>
    <row r="131" spans="2:22" hidden="1" x14ac:dyDescent="0.2">
      <c r="B131" s="7"/>
      <c r="C131" s="90" t="s">
        <v>6</v>
      </c>
      <c r="D131" s="82"/>
      <c r="E131" s="82"/>
      <c r="F131" s="82"/>
      <c r="G131" s="82"/>
      <c r="H131" s="82"/>
      <c r="I131" s="82"/>
      <c r="J131" s="82"/>
      <c r="K131" s="82"/>
      <c r="L131" s="82"/>
      <c r="M131" s="82"/>
      <c r="N131" s="82"/>
      <c r="O131" s="82"/>
      <c r="P131" s="82"/>
      <c r="Q131" s="82"/>
      <c r="R131" s="82"/>
      <c r="S131" s="82"/>
      <c r="T131" s="82">
        <v>1635</v>
      </c>
      <c r="U131" s="90"/>
      <c r="V131" s="18"/>
    </row>
    <row r="132" spans="2:22" hidden="1" x14ac:dyDescent="0.2">
      <c r="C132" s="90" t="s">
        <v>7</v>
      </c>
      <c r="D132" s="82"/>
      <c r="E132" s="82"/>
      <c r="F132" s="82"/>
      <c r="G132" s="82"/>
      <c r="H132" s="82"/>
      <c r="I132" s="82"/>
      <c r="J132" s="82"/>
      <c r="K132" s="82"/>
      <c r="L132" s="82"/>
      <c r="M132" s="82"/>
      <c r="N132" s="82"/>
      <c r="O132" s="82"/>
      <c r="P132" s="82"/>
      <c r="Q132" s="82"/>
      <c r="R132" s="82"/>
      <c r="S132" s="82"/>
      <c r="T132" s="82">
        <v>734</v>
      </c>
      <c r="U132" s="90"/>
      <c r="V132" s="18"/>
    </row>
    <row r="133" spans="2:22" hidden="1" x14ac:dyDescent="0.2">
      <c r="C133" s="90"/>
      <c r="D133" s="82"/>
      <c r="E133" s="82"/>
      <c r="F133" s="82"/>
      <c r="G133" s="82"/>
      <c r="H133" s="82"/>
      <c r="I133" s="82"/>
      <c r="J133" s="82"/>
      <c r="K133" s="82"/>
      <c r="L133" s="82"/>
      <c r="M133" s="82"/>
      <c r="N133" s="82"/>
      <c r="O133" s="82"/>
      <c r="P133" s="82"/>
      <c r="Q133" s="82"/>
      <c r="R133" s="82"/>
      <c r="S133" s="82"/>
      <c r="T133" s="82"/>
      <c r="U133" s="90"/>
      <c r="V133" s="18"/>
    </row>
    <row r="134" spans="2:22" hidden="1" x14ac:dyDescent="0.2">
      <c r="C134" s="90" t="s">
        <v>25</v>
      </c>
      <c r="D134" s="82"/>
      <c r="E134" s="82"/>
      <c r="F134" s="82"/>
      <c r="G134" s="82"/>
      <c r="H134" s="82"/>
      <c r="I134" s="82"/>
      <c r="J134" s="82"/>
      <c r="K134" s="82"/>
      <c r="L134" s="82"/>
      <c r="M134" s="82"/>
      <c r="N134" s="82"/>
      <c r="O134" s="82"/>
      <c r="P134" s="82"/>
      <c r="Q134" s="82"/>
      <c r="R134" s="82"/>
      <c r="S134" s="82"/>
      <c r="T134" s="82">
        <v>17224</v>
      </c>
      <c r="U134" s="90"/>
      <c r="V134" s="18"/>
    </row>
    <row r="135" spans="2:22" hidden="1" x14ac:dyDescent="0.2">
      <c r="C135" s="90" t="s">
        <v>26</v>
      </c>
      <c r="D135" s="82"/>
      <c r="E135" s="82"/>
      <c r="F135" s="82"/>
      <c r="G135" s="82"/>
      <c r="H135" s="82"/>
      <c r="I135" s="82"/>
      <c r="J135" s="82"/>
      <c r="K135" s="82"/>
      <c r="L135" s="82"/>
      <c r="M135" s="82"/>
      <c r="N135" s="82"/>
      <c r="O135" s="82"/>
      <c r="P135" s="82"/>
      <c r="Q135" s="82"/>
      <c r="R135" s="82"/>
      <c r="S135" s="82"/>
      <c r="T135" s="82">
        <v>16548</v>
      </c>
      <c r="U135" s="90"/>
      <c r="V135" s="18"/>
    </row>
    <row r="136" spans="2:22" hidden="1" x14ac:dyDescent="0.2">
      <c r="C136" s="90"/>
      <c r="D136" s="82"/>
      <c r="E136" s="82"/>
      <c r="F136" s="82"/>
      <c r="G136" s="82"/>
      <c r="H136" s="82"/>
      <c r="I136" s="82"/>
      <c r="J136" s="82"/>
      <c r="K136" s="82"/>
      <c r="L136" s="82"/>
      <c r="M136" s="82"/>
      <c r="N136" s="82"/>
      <c r="O136" s="82"/>
      <c r="P136" s="82"/>
      <c r="Q136" s="82"/>
      <c r="R136" s="82"/>
      <c r="S136" s="82"/>
      <c r="T136" s="82"/>
      <c r="U136" s="90"/>
      <c r="V136" s="18"/>
    </row>
    <row r="137" spans="2:22" hidden="1" x14ac:dyDescent="0.2">
      <c r="C137" s="90" t="s">
        <v>27</v>
      </c>
      <c r="D137" s="82"/>
      <c r="E137" s="82"/>
      <c r="F137" s="82"/>
      <c r="G137" s="82"/>
      <c r="H137" s="82"/>
      <c r="I137" s="82"/>
      <c r="J137" s="82"/>
      <c r="K137" s="82"/>
      <c r="L137" s="82"/>
      <c r="M137" s="82"/>
      <c r="N137" s="82"/>
      <c r="O137" s="82"/>
      <c r="P137" s="82"/>
      <c r="Q137" s="82"/>
      <c r="R137" s="82"/>
      <c r="S137" s="82"/>
      <c r="T137" s="82">
        <f>SUM(D128:S132)</f>
        <v>0</v>
      </c>
      <c r="U137" s="90"/>
      <c r="V137" s="19"/>
    </row>
    <row r="138" spans="2:22" hidden="1" x14ac:dyDescent="0.2">
      <c r="C138" s="90"/>
      <c r="D138" s="82"/>
      <c r="E138" s="82"/>
      <c r="F138" s="82"/>
      <c r="G138" s="82"/>
      <c r="H138" s="82"/>
      <c r="I138" s="82"/>
      <c r="J138" s="82"/>
      <c r="K138" s="82"/>
      <c r="L138" s="82"/>
      <c r="M138" s="82"/>
      <c r="N138" s="82"/>
      <c r="O138" s="82"/>
      <c r="P138" s="82"/>
      <c r="Q138" s="82"/>
      <c r="R138" s="82"/>
      <c r="S138" s="82"/>
      <c r="T138" s="82"/>
      <c r="U138" s="90"/>
      <c r="V138" s="11"/>
    </row>
    <row r="139" spans="2:22" hidden="1" x14ac:dyDescent="0.2">
      <c r="C139" s="90"/>
      <c r="D139" s="82"/>
      <c r="E139" s="82"/>
      <c r="F139" s="82"/>
      <c r="G139" s="82"/>
      <c r="H139" s="82"/>
      <c r="I139" s="82"/>
      <c r="J139" s="82"/>
      <c r="K139" s="82"/>
      <c r="L139" s="82"/>
      <c r="M139" s="82"/>
      <c r="N139" s="82"/>
      <c r="O139" s="82"/>
      <c r="P139" s="82"/>
      <c r="Q139" s="82"/>
      <c r="R139" s="82"/>
      <c r="S139" s="82"/>
      <c r="T139" s="82"/>
      <c r="U139" s="90"/>
      <c r="V139" s="11"/>
    </row>
    <row r="140" spans="2:22" hidden="1" x14ac:dyDescent="0.2">
      <c r="C140" s="90"/>
      <c r="D140" s="82"/>
      <c r="E140" s="82"/>
      <c r="F140" s="82"/>
      <c r="G140" s="82"/>
      <c r="H140" s="82"/>
      <c r="I140" s="82"/>
      <c r="J140" s="82"/>
      <c r="K140" s="82"/>
      <c r="L140" s="82"/>
      <c r="M140" s="82"/>
      <c r="N140" s="82"/>
      <c r="O140" s="82"/>
      <c r="P140" s="82"/>
      <c r="Q140" s="82"/>
      <c r="R140" s="82"/>
      <c r="S140" s="82"/>
      <c r="T140" s="82"/>
      <c r="U140" s="90"/>
      <c r="V140" s="11"/>
    </row>
    <row r="141" spans="2:22" hidden="1" x14ac:dyDescent="0.2">
      <c r="C141" s="90"/>
      <c r="D141" s="82"/>
      <c r="E141" s="82"/>
      <c r="F141" s="82"/>
      <c r="G141" s="82"/>
      <c r="H141" s="82"/>
      <c r="I141" s="82"/>
      <c r="J141" s="82"/>
      <c r="K141" s="82"/>
      <c r="L141" s="82"/>
      <c r="M141" s="82"/>
      <c r="N141" s="82"/>
      <c r="O141" s="82"/>
      <c r="P141" s="82"/>
      <c r="Q141" s="82"/>
      <c r="R141" s="82"/>
      <c r="S141" s="82"/>
      <c r="T141" s="82"/>
      <c r="U141" s="90"/>
      <c r="V141" s="11"/>
    </row>
    <row r="142" spans="2:22" hidden="1" x14ac:dyDescent="0.2">
      <c r="C142" s="90" t="s">
        <v>28</v>
      </c>
      <c r="D142" s="82"/>
      <c r="E142" s="82"/>
      <c r="F142" s="82"/>
      <c r="G142" s="82"/>
      <c r="H142" s="82"/>
      <c r="I142" s="82"/>
      <c r="J142" s="82"/>
      <c r="K142" s="82"/>
      <c r="L142" s="82"/>
      <c r="M142" s="82"/>
      <c r="N142" s="82"/>
      <c r="O142" s="82"/>
      <c r="P142" s="82"/>
      <c r="Q142" s="82"/>
      <c r="R142" s="82"/>
      <c r="S142" s="82"/>
      <c r="T142" s="82"/>
      <c r="U142" s="90"/>
      <c r="V142" s="14"/>
    </row>
    <row r="143" spans="2:22" hidden="1" x14ac:dyDescent="0.2">
      <c r="C143" s="90" t="s">
        <v>3</v>
      </c>
      <c r="D143" s="82"/>
      <c r="E143" s="82"/>
      <c r="F143" s="82"/>
      <c r="G143" s="82"/>
      <c r="H143" s="82"/>
      <c r="I143" s="82"/>
      <c r="J143" s="82"/>
      <c r="K143" s="82"/>
      <c r="L143" s="82"/>
      <c r="M143" s="82"/>
      <c r="N143" s="82"/>
      <c r="O143" s="82"/>
      <c r="P143" s="82"/>
      <c r="Q143" s="82"/>
      <c r="R143" s="82"/>
      <c r="S143" s="82"/>
      <c r="T143" s="82"/>
      <c r="U143" s="90"/>
      <c r="V143" s="14"/>
    </row>
    <row r="144" spans="2:22" hidden="1" x14ac:dyDescent="0.2">
      <c r="C144" s="90" t="s">
        <v>4</v>
      </c>
      <c r="D144" s="82"/>
      <c r="E144" s="82"/>
      <c r="F144" s="82"/>
      <c r="G144" s="82"/>
      <c r="H144" s="82"/>
      <c r="I144" s="82"/>
      <c r="J144" s="82"/>
      <c r="K144" s="82"/>
      <c r="L144" s="82"/>
      <c r="M144" s="82"/>
      <c r="N144" s="82"/>
      <c r="O144" s="82"/>
      <c r="P144" s="82"/>
      <c r="Q144" s="82"/>
      <c r="R144" s="82"/>
      <c r="S144" s="82"/>
      <c r="T144" s="82"/>
      <c r="U144" s="90"/>
      <c r="V144" s="14"/>
    </row>
    <row r="145" spans="3:22" hidden="1" x14ac:dyDescent="0.2">
      <c r="C145" s="90" t="s">
        <v>5</v>
      </c>
      <c r="D145" s="82"/>
      <c r="E145" s="82"/>
      <c r="F145" s="82"/>
      <c r="G145" s="82"/>
      <c r="H145" s="82"/>
      <c r="I145" s="82"/>
      <c r="J145" s="82"/>
      <c r="K145" s="82"/>
      <c r="L145" s="82"/>
      <c r="M145" s="82"/>
      <c r="N145" s="82"/>
      <c r="O145" s="82"/>
      <c r="P145" s="82"/>
      <c r="Q145" s="82"/>
      <c r="R145" s="82"/>
      <c r="S145" s="82"/>
      <c r="T145" s="82"/>
      <c r="U145" s="90"/>
      <c r="V145" s="14"/>
    </row>
    <row r="146" spans="3:22" hidden="1" x14ac:dyDescent="0.2">
      <c r="C146" s="90" t="s">
        <v>6</v>
      </c>
      <c r="D146" s="82"/>
      <c r="E146" s="82"/>
      <c r="F146" s="82"/>
      <c r="G146" s="82"/>
      <c r="H146" s="82"/>
      <c r="I146" s="82"/>
      <c r="J146" s="82"/>
      <c r="K146" s="82"/>
      <c r="L146" s="82"/>
      <c r="M146" s="82"/>
      <c r="N146" s="82"/>
      <c r="O146" s="82"/>
      <c r="P146" s="82"/>
      <c r="Q146" s="82"/>
      <c r="R146" s="82"/>
      <c r="S146" s="82"/>
      <c r="T146" s="82"/>
      <c r="U146" s="90"/>
      <c r="V146" s="14"/>
    </row>
    <row r="147" spans="3:22" hidden="1" x14ac:dyDescent="0.2">
      <c r="C147" s="90" t="s">
        <v>7</v>
      </c>
      <c r="D147" s="82"/>
      <c r="E147" s="82"/>
      <c r="F147" s="82"/>
      <c r="G147" s="82"/>
      <c r="H147" s="82"/>
      <c r="I147" s="82"/>
      <c r="J147" s="82"/>
      <c r="K147" s="82"/>
      <c r="L147" s="82"/>
      <c r="M147" s="82"/>
      <c r="N147" s="82"/>
      <c r="O147" s="82"/>
      <c r="P147" s="82"/>
      <c r="Q147" s="82"/>
      <c r="R147" s="82"/>
      <c r="S147" s="82"/>
      <c r="T147" s="82"/>
      <c r="U147" s="90"/>
      <c r="V147" s="14"/>
    </row>
    <row r="148" spans="3:22" hidden="1" x14ac:dyDescent="0.2">
      <c r="C148" s="90"/>
      <c r="D148" s="82"/>
      <c r="E148" s="82"/>
      <c r="F148" s="82"/>
      <c r="G148" s="82"/>
      <c r="H148" s="82"/>
      <c r="I148" s="82"/>
      <c r="J148" s="82"/>
      <c r="K148" s="82"/>
      <c r="L148" s="82"/>
      <c r="M148" s="82"/>
      <c r="N148" s="82"/>
      <c r="O148" s="82"/>
      <c r="P148" s="82"/>
      <c r="Q148" s="82"/>
      <c r="R148" s="82"/>
      <c r="S148" s="82"/>
      <c r="T148" s="82"/>
      <c r="U148" s="90"/>
      <c r="V148" s="14"/>
    </row>
    <row r="149" spans="3:22" hidden="1" x14ac:dyDescent="0.2">
      <c r="C149" s="90" t="s">
        <v>25</v>
      </c>
      <c r="D149" s="82"/>
      <c r="E149" s="82"/>
      <c r="F149" s="82"/>
      <c r="G149" s="82"/>
      <c r="H149" s="82"/>
      <c r="I149" s="82"/>
      <c r="J149" s="82"/>
      <c r="K149" s="82"/>
      <c r="L149" s="82"/>
      <c r="M149" s="82"/>
      <c r="N149" s="82"/>
      <c r="O149" s="82"/>
      <c r="P149" s="82"/>
      <c r="Q149" s="82"/>
      <c r="R149" s="82"/>
      <c r="S149" s="82"/>
      <c r="T149" s="82"/>
      <c r="U149" s="90"/>
      <c r="V149" s="14"/>
    </row>
    <row r="150" spans="3:22" hidden="1" x14ac:dyDescent="0.2">
      <c r="C150" s="90" t="s">
        <v>26</v>
      </c>
      <c r="D150" s="82"/>
      <c r="E150" s="82"/>
      <c r="F150" s="82"/>
      <c r="G150" s="82"/>
      <c r="H150" s="82"/>
      <c r="I150" s="82"/>
      <c r="J150" s="82"/>
      <c r="K150" s="82"/>
      <c r="L150" s="82"/>
      <c r="M150" s="82"/>
      <c r="N150" s="82"/>
      <c r="O150" s="82"/>
      <c r="P150" s="82"/>
      <c r="Q150" s="82"/>
      <c r="R150" s="82"/>
      <c r="S150" s="82"/>
      <c r="T150" s="82"/>
      <c r="U150" s="90"/>
      <c r="V150" s="14"/>
    </row>
    <row r="151" spans="3:22" hidden="1" x14ac:dyDescent="0.2">
      <c r="C151" s="90"/>
      <c r="D151" s="82"/>
      <c r="E151" s="82"/>
      <c r="F151" s="82"/>
      <c r="G151" s="82"/>
      <c r="H151" s="82"/>
      <c r="I151" s="82"/>
      <c r="J151" s="82"/>
      <c r="K151" s="82"/>
      <c r="L151" s="82"/>
      <c r="M151" s="82"/>
      <c r="N151" s="82"/>
      <c r="O151" s="82"/>
      <c r="P151" s="82"/>
      <c r="Q151" s="82"/>
      <c r="R151" s="82"/>
      <c r="S151" s="82"/>
      <c r="T151" s="82"/>
      <c r="U151" s="90"/>
      <c r="V151" s="14"/>
    </row>
    <row r="152" spans="3:22" hidden="1" x14ac:dyDescent="0.2">
      <c r="C152" s="90" t="s">
        <v>27</v>
      </c>
      <c r="D152" s="82"/>
      <c r="E152" s="82"/>
      <c r="F152" s="82"/>
      <c r="G152" s="82"/>
      <c r="H152" s="82"/>
      <c r="I152" s="82"/>
      <c r="J152" s="82"/>
      <c r="K152" s="82"/>
      <c r="L152" s="82"/>
      <c r="M152" s="82"/>
      <c r="N152" s="82"/>
      <c r="O152" s="82"/>
      <c r="P152" s="82"/>
      <c r="Q152" s="82"/>
      <c r="R152" s="82"/>
      <c r="S152" s="82"/>
      <c r="T152" s="82"/>
      <c r="U152" s="90"/>
      <c r="V152" s="14"/>
    </row>
    <row r="153" spans="3:22" hidden="1" x14ac:dyDescent="0.2">
      <c r="C153" s="90"/>
      <c r="D153" s="82"/>
      <c r="E153" s="82"/>
      <c r="F153" s="82"/>
      <c r="G153" s="82"/>
      <c r="H153" s="82"/>
      <c r="I153" s="82"/>
      <c r="J153" s="82"/>
      <c r="K153" s="82"/>
      <c r="L153" s="82"/>
      <c r="M153" s="82"/>
      <c r="N153" s="82"/>
      <c r="O153" s="82"/>
      <c r="P153" s="82"/>
      <c r="Q153" s="82"/>
      <c r="R153" s="82"/>
      <c r="S153" s="82"/>
      <c r="T153" s="82"/>
      <c r="U153" s="90"/>
      <c r="V153" s="20"/>
    </row>
    <row r="154" spans="3:22" ht="15.75" thickBot="1" x14ac:dyDescent="0.25">
      <c r="C154" s="91"/>
      <c r="D154" s="88"/>
      <c r="E154" s="88"/>
      <c r="F154" s="88"/>
      <c r="G154" s="88"/>
      <c r="H154" s="88"/>
      <c r="I154" s="88"/>
      <c r="J154" s="88"/>
      <c r="K154" s="88"/>
      <c r="L154" s="88"/>
      <c r="M154" s="88"/>
      <c r="N154" s="88"/>
      <c r="O154" s="88"/>
      <c r="P154" s="88"/>
      <c r="Q154" s="88"/>
      <c r="R154" s="88"/>
      <c r="S154" s="88"/>
      <c r="T154" s="88"/>
      <c r="U154" s="91"/>
      <c r="V154" s="9"/>
    </row>
    <row r="156" spans="3:22" x14ac:dyDescent="0.2">
      <c r="D156" s="1">
        <v>322144.75705659657</v>
      </c>
      <c r="E156" s="1">
        <v>405154.48347390624</v>
      </c>
      <c r="F156" s="1">
        <v>1030439.8545358699</v>
      </c>
      <c r="G156" s="1">
        <v>416230.52096611878</v>
      </c>
      <c r="H156" s="1">
        <v>348502.45150237216</v>
      </c>
      <c r="I156" s="1">
        <v>597491.5002204437</v>
      </c>
      <c r="J156" s="1">
        <v>1617031.942315618</v>
      </c>
      <c r="K156" s="1">
        <v>269698.6875808693</v>
      </c>
      <c r="L156" s="1">
        <v>177966.56949968851</v>
      </c>
      <c r="M156" s="1">
        <v>651745.82945080753</v>
      </c>
      <c r="N156" s="1">
        <v>240809.61120429385</v>
      </c>
      <c r="O156" s="1">
        <v>739631.50442564813</v>
      </c>
      <c r="P156" s="1">
        <v>102967.78474385393</v>
      </c>
      <c r="Q156" s="1">
        <v>415109.43764556479</v>
      </c>
      <c r="R156" s="1">
        <v>343643.79176450858</v>
      </c>
      <c r="S156" s="1">
        <v>4355960.6433411604</v>
      </c>
    </row>
    <row r="157" spans="3:22" ht="15.75" thickBot="1" x14ac:dyDescent="0.25"/>
    <row r="158" spans="3:22" ht="15.75" x14ac:dyDescent="0.25">
      <c r="D158" s="84"/>
      <c r="E158" s="107" t="s">
        <v>57</v>
      </c>
      <c r="F158" s="107"/>
      <c r="G158" s="107" t="s">
        <v>58</v>
      </c>
      <c r="H158" s="107"/>
      <c r="I158" s="87" t="s">
        <v>59</v>
      </c>
    </row>
    <row r="159" spans="3:22" ht="15.75" x14ac:dyDescent="0.25">
      <c r="D159" s="77" t="s">
        <v>8</v>
      </c>
      <c r="E159" s="98">
        <f>D67</f>
        <v>140367.64000000001</v>
      </c>
      <c r="F159" s="81"/>
      <c r="G159" s="98"/>
      <c r="H159" s="81"/>
      <c r="I159" s="112" t="e">
        <f>E159/G159</f>
        <v>#DIV/0!</v>
      </c>
      <c r="O159" s="96"/>
      <c r="P159" s="96"/>
      <c r="Q159" s="96"/>
      <c r="R159" s="96"/>
      <c r="S159" s="96"/>
      <c r="T159" s="96"/>
    </row>
    <row r="160" spans="3:22" ht="15.75" x14ac:dyDescent="0.25">
      <c r="D160" s="77" t="s">
        <v>9</v>
      </c>
      <c r="E160" s="98">
        <f>E67</f>
        <v>291716.32</v>
      </c>
      <c r="F160" s="97"/>
      <c r="G160" s="98"/>
      <c r="H160" s="97"/>
      <c r="I160" s="112" t="e">
        <f t="shared" ref="I160:I174" si="12">E160/G160</f>
        <v>#DIV/0!</v>
      </c>
    </row>
    <row r="161" spans="2:18" ht="15.75" x14ac:dyDescent="0.25">
      <c r="B161" s="9"/>
      <c r="C161" s="9"/>
      <c r="D161" s="77" t="s">
        <v>10</v>
      </c>
      <c r="E161" s="98">
        <f>F67</f>
        <v>709338.28</v>
      </c>
      <c r="F161" s="97"/>
      <c r="G161" s="98"/>
      <c r="H161" s="97"/>
      <c r="I161" s="112" t="e">
        <f t="shared" si="12"/>
        <v>#DIV/0!</v>
      </c>
    </row>
    <row r="162" spans="2:18" ht="15.75" x14ac:dyDescent="0.25">
      <c r="B162" s="9"/>
      <c r="C162" s="6"/>
      <c r="D162" s="77" t="s">
        <v>11</v>
      </c>
      <c r="E162" s="98">
        <f>G67</f>
        <v>183504.44000000003</v>
      </c>
      <c r="F162" s="66"/>
      <c r="G162" s="98"/>
      <c r="H162" s="97"/>
      <c r="I162" s="112" t="e">
        <f t="shared" si="12"/>
        <v>#DIV/0!</v>
      </c>
    </row>
    <row r="163" spans="2:18" ht="15.75" x14ac:dyDescent="0.25">
      <c r="B163" s="9"/>
      <c r="C163" s="9"/>
      <c r="D163" s="77" t="s">
        <v>12</v>
      </c>
      <c r="E163" s="98">
        <f>H67</f>
        <v>155993.74</v>
      </c>
      <c r="F163" s="97"/>
      <c r="G163" s="98"/>
      <c r="H163" s="97"/>
      <c r="I163" s="112" t="e">
        <f t="shared" si="12"/>
        <v>#DIV/0!</v>
      </c>
    </row>
    <row r="164" spans="2:18" ht="15.75" x14ac:dyDescent="0.25">
      <c r="B164" s="9"/>
      <c r="C164" s="9"/>
      <c r="D164" s="77" t="s">
        <v>13</v>
      </c>
      <c r="E164" s="98">
        <f>I67</f>
        <v>422968.70000000007</v>
      </c>
      <c r="F164" s="97"/>
      <c r="G164" s="98"/>
      <c r="H164" s="97"/>
      <c r="I164" s="112" t="e">
        <f t="shared" si="12"/>
        <v>#DIV/0!</v>
      </c>
    </row>
    <row r="165" spans="2:18" ht="15.75" x14ac:dyDescent="0.25">
      <c r="B165" s="9"/>
      <c r="C165" s="9"/>
      <c r="D165" s="77" t="s">
        <v>14</v>
      </c>
      <c r="E165" s="98">
        <f>J67</f>
        <v>1133357.1200000001</v>
      </c>
      <c r="F165" s="97"/>
      <c r="G165" s="98"/>
      <c r="H165" s="97"/>
      <c r="I165" s="112" t="e">
        <f t="shared" si="12"/>
        <v>#DIV/0!</v>
      </c>
    </row>
    <row r="166" spans="2:18" ht="15.75" x14ac:dyDescent="0.25">
      <c r="B166" s="9"/>
      <c r="C166" s="9"/>
      <c r="D166" s="77" t="s">
        <v>15</v>
      </c>
      <c r="E166" s="98">
        <f>K67</f>
        <v>120657.04000000001</v>
      </c>
      <c r="F166" s="97"/>
      <c r="G166" s="98"/>
      <c r="H166" s="97"/>
      <c r="I166" s="112" t="e">
        <f t="shared" si="12"/>
        <v>#DIV/0!</v>
      </c>
    </row>
    <row r="167" spans="2:18" ht="15.75" x14ac:dyDescent="0.25">
      <c r="B167" s="9"/>
      <c r="C167" s="9"/>
      <c r="D167" s="77" t="s">
        <v>16</v>
      </c>
      <c r="E167" s="98">
        <f>L67</f>
        <v>69072.78</v>
      </c>
      <c r="F167" s="97"/>
      <c r="G167" s="98"/>
      <c r="H167" s="97"/>
      <c r="I167" s="112" t="e">
        <f t="shared" si="12"/>
        <v>#DIV/0!</v>
      </c>
    </row>
    <row r="168" spans="2:18" ht="15.75" x14ac:dyDescent="0.25">
      <c r="B168" s="9"/>
      <c r="C168" s="9"/>
      <c r="D168" s="77" t="s">
        <v>17</v>
      </c>
      <c r="E168" s="98">
        <f>M67</f>
        <v>417030.04000000004</v>
      </c>
      <c r="F168" s="97"/>
      <c r="G168" s="98"/>
      <c r="H168" s="97"/>
      <c r="I168" s="112" t="e">
        <f t="shared" si="12"/>
        <v>#DIV/0!</v>
      </c>
    </row>
    <row r="169" spans="2:18" ht="15.75" x14ac:dyDescent="0.25">
      <c r="B169" s="9"/>
      <c r="C169" s="9"/>
      <c r="D169" s="77" t="s">
        <v>18</v>
      </c>
      <c r="E169" s="98">
        <f>N67</f>
        <v>100788.66</v>
      </c>
      <c r="F169" s="97"/>
      <c r="G169" s="98"/>
      <c r="H169" s="97"/>
      <c r="I169" s="112" t="e">
        <f t="shared" si="12"/>
        <v>#DIV/0!</v>
      </c>
      <c r="R169" s="5"/>
    </row>
    <row r="170" spans="2:18" ht="15.75" x14ac:dyDescent="0.25">
      <c r="B170" s="9"/>
      <c r="C170" s="9"/>
      <c r="D170" s="77" t="s">
        <v>19</v>
      </c>
      <c r="E170" s="98">
        <f>O67</f>
        <v>532317.38</v>
      </c>
      <c r="F170" s="97"/>
      <c r="G170" s="98"/>
      <c r="H170" s="97"/>
      <c r="I170" s="112" t="e">
        <f t="shared" si="12"/>
        <v>#DIV/0!</v>
      </c>
    </row>
    <row r="171" spans="2:18" ht="15.75" x14ac:dyDescent="0.25">
      <c r="B171" s="9"/>
      <c r="C171" s="9"/>
      <c r="D171" s="77" t="s">
        <v>20</v>
      </c>
      <c r="E171" s="98">
        <f>P67</f>
        <v>45100.3</v>
      </c>
      <c r="F171" s="97"/>
      <c r="G171" s="98"/>
      <c r="H171" s="97"/>
      <c r="I171" s="112" t="e">
        <f t="shared" si="12"/>
        <v>#DIV/0!</v>
      </c>
    </row>
    <row r="172" spans="2:18" ht="15.75" x14ac:dyDescent="0.25">
      <c r="B172" s="9"/>
      <c r="C172" s="9"/>
      <c r="D172" s="77" t="s">
        <v>21</v>
      </c>
      <c r="E172" s="98">
        <f>Q67</f>
        <v>276172.12</v>
      </c>
      <c r="F172" s="97"/>
      <c r="G172" s="98"/>
      <c r="H172" s="97"/>
      <c r="I172" s="112" t="e">
        <f t="shared" si="12"/>
        <v>#DIV/0!</v>
      </c>
    </row>
    <row r="173" spans="2:18" ht="15.75" x14ac:dyDescent="0.25">
      <c r="B173" s="9"/>
      <c r="C173" s="9"/>
      <c r="D173" s="77" t="s">
        <v>22</v>
      </c>
      <c r="E173" s="98">
        <f>R67</f>
        <v>149995.58000000002</v>
      </c>
      <c r="F173" s="97"/>
      <c r="G173" s="98"/>
      <c r="H173" s="97"/>
      <c r="I173" s="112" t="e">
        <f t="shared" si="12"/>
        <v>#DIV/0!</v>
      </c>
    </row>
    <row r="174" spans="2:18" ht="16.5" thickBot="1" x14ac:dyDescent="0.3">
      <c r="B174" s="9"/>
      <c r="C174" s="9"/>
      <c r="D174" s="103" t="s">
        <v>23</v>
      </c>
      <c r="E174" s="104">
        <f>S67</f>
        <v>2975097.4400000004</v>
      </c>
      <c r="F174" s="105"/>
      <c r="G174" s="104"/>
      <c r="H174" s="105"/>
      <c r="I174" s="113" t="e">
        <f t="shared" si="12"/>
        <v>#DIV/0!</v>
      </c>
    </row>
    <row r="175" spans="2:18" x14ac:dyDescent="0.2">
      <c r="B175" s="9"/>
      <c r="C175" s="9"/>
      <c r="D175" s="21"/>
      <c r="E175" s="9"/>
      <c r="F175" s="9"/>
      <c r="G175" s="9"/>
      <c r="H175" s="9"/>
      <c r="I175" s="9"/>
    </row>
    <row r="176" spans="2:18" x14ac:dyDescent="0.2">
      <c r="B176" s="9"/>
      <c r="C176" s="9"/>
      <c r="D176" s="21"/>
      <c r="E176" s="9"/>
      <c r="F176" s="9"/>
      <c r="G176" s="9"/>
      <c r="H176" s="9"/>
      <c r="I176" s="9"/>
    </row>
    <row r="177" spans="2:18" x14ac:dyDescent="0.2">
      <c r="B177" s="9"/>
      <c r="C177" s="9"/>
      <c r="D177" s="21" t="s">
        <v>60</v>
      </c>
      <c r="E177" s="9"/>
      <c r="F177" s="9"/>
      <c r="G177" s="9"/>
      <c r="H177" s="9"/>
      <c r="I177" s="9"/>
    </row>
    <row r="178" spans="2:18" x14ac:dyDescent="0.2">
      <c r="B178" s="9"/>
      <c r="C178" s="9"/>
      <c r="D178" s="21"/>
      <c r="E178" s="9"/>
      <c r="F178" s="9"/>
      <c r="G178" s="9"/>
      <c r="H178" s="9"/>
      <c r="I178" s="9"/>
    </row>
    <row r="179" spans="2:18" x14ac:dyDescent="0.2">
      <c r="B179" s="9"/>
      <c r="C179" s="9"/>
      <c r="D179" s="21"/>
      <c r="E179" s="9"/>
      <c r="F179" s="9"/>
      <c r="G179" s="9"/>
      <c r="H179" s="9"/>
      <c r="I179" s="9"/>
    </row>
    <row r="180" spans="2:18" x14ac:dyDescent="0.2">
      <c r="B180" s="9"/>
      <c r="C180" s="9"/>
      <c r="D180" s="21"/>
      <c r="E180" s="9"/>
      <c r="F180" s="9"/>
      <c r="G180" s="9"/>
      <c r="H180" s="9"/>
      <c r="I180" s="9"/>
    </row>
    <row r="181" spans="2:18" x14ac:dyDescent="0.2">
      <c r="B181" s="9"/>
      <c r="C181" s="9"/>
      <c r="D181" s="21"/>
      <c r="E181" s="9"/>
      <c r="F181" s="9"/>
      <c r="G181" s="9"/>
      <c r="H181" s="9"/>
      <c r="I181" s="9"/>
    </row>
    <row r="182" spans="2:18" x14ac:dyDescent="0.2">
      <c r="B182" s="9"/>
      <c r="C182" s="9"/>
      <c r="D182" s="9"/>
      <c r="E182" s="9"/>
      <c r="F182" s="9"/>
      <c r="G182" s="9"/>
      <c r="H182" s="9"/>
      <c r="I182" s="9"/>
      <c r="J182" s="9"/>
      <c r="K182" s="9"/>
      <c r="L182" s="9"/>
      <c r="M182" s="9"/>
      <c r="N182" s="9"/>
      <c r="O182" s="9"/>
      <c r="P182" s="9"/>
      <c r="Q182" s="9"/>
      <c r="R182" s="9"/>
    </row>
    <row r="183" spans="2:18" x14ac:dyDescent="0.2">
      <c r="B183" s="9"/>
      <c r="C183" s="9"/>
      <c r="D183" s="36"/>
      <c r="E183" s="9"/>
      <c r="F183" s="9"/>
      <c r="G183" s="9"/>
      <c r="H183" s="9"/>
      <c r="I183" s="9"/>
      <c r="J183" s="9"/>
      <c r="K183" s="9"/>
      <c r="L183" s="9"/>
      <c r="M183" s="9"/>
      <c r="N183" s="9"/>
      <c r="O183" s="9"/>
      <c r="P183" s="9"/>
      <c r="Q183" s="9"/>
      <c r="R183" s="9"/>
    </row>
    <row r="184" spans="2:18" x14ac:dyDescent="0.2">
      <c r="B184" s="9"/>
      <c r="C184" s="9"/>
      <c r="D184" s="9"/>
      <c r="E184" s="9"/>
      <c r="F184" s="9"/>
      <c r="G184" s="9"/>
      <c r="H184" s="9"/>
      <c r="I184" s="9"/>
      <c r="J184" s="9"/>
      <c r="K184" s="9"/>
      <c r="L184" s="9"/>
      <c r="M184" s="9"/>
      <c r="N184" s="9"/>
      <c r="O184" s="9"/>
      <c r="P184" s="9"/>
      <c r="Q184" s="9"/>
      <c r="R184" s="9"/>
    </row>
    <row r="185" spans="2:18" x14ac:dyDescent="0.2">
      <c r="B185" s="9"/>
      <c r="C185" s="9"/>
      <c r="D185" s="9"/>
      <c r="E185" s="9"/>
      <c r="F185" s="9"/>
      <c r="G185" s="194"/>
      <c r="H185" s="194"/>
      <c r="I185" s="194"/>
      <c r="J185" s="9"/>
      <c r="K185" s="194"/>
      <c r="L185" s="195"/>
      <c r="M185" s="194"/>
      <c r="N185" s="9"/>
      <c r="O185" s="9"/>
      <c r="P185" s="194"/>
      <c r="Q185" s="194"/>
      <c r="R185" s="9"/>
    </row>
    <row r="186" spans="2:18" ht="15.75" x14ac:dyDescent="0.25">
      <c r="B186" s="9"/>
      <c r="C186" s="9"/>
      <c r="D186" s="9"/>
      <c r="E186" s="9"/>
      <c r="F186" s="114"/>
      <c r="G186" s="193"/>
      <c r="H186" s="96"/>
      <c r="I186" s="114"/>
      <c r="J186" s="9"/>
      <c r="K186" s="193"/>
      <c r="L186" s="193"/>
      <c r="M186" s="194"/>
      <c r="N186" s="9"/>
      <c r="O186" s="9"/>
      <c r="P186" s="196"/>
      <c r="Q186" s="194"/>
      <c r="R186" s="9"/>
    </row>
    <row r="187" spans="2:18" ht="15.75" x14ac:dyDescent="0.25">
      <c r="E187" s="9"/>
      <c r="F187" s="37"/>
      <c r="G187" s="193"/>
      <c r="H187" s="194"/>
      <c r="I187" s="114"/>
      <c r="J187" s="9"/>
      <c r="K187" s="193"/>
      <c r="L187" s="193"/>
      <c r="M187" s="194"/>
      <c r="N187" s="9"/>
      <c r="O187" s="9"/>
      <c r="P187" s="196"/>
      <c r="Q187" s="194"/>
      <c r="R187" s="9"/>
    </row>
    <row r="188" spans="2:18" ht="15.75" x14ac:dyDescent="0.25">
      <c r="E188" s="9"/>
      <c r="F188" s="37"/>
      <c r="G188" s="193"/>
      <c r="H188" s="194"/>
      <c r="I188" s="114"/>
      <c r="J188" s="9"/>
      <c r="K188" s="193"/>
      <c r="L188" s="193"/>
      <c r="M188" s="194"/>
      <c r="N188" s="9"/>
      <c r="O188" s="9"/>
      <c r="P188" s="196"/>
      <c r="Q188" s="194"/>
      <c r="R188" s="9"/>
    </row>
    <row r="189" spans="2:18" ht="15.75" x14ac:dyDescent="0.25">
      <c r="E189" s="9"/>
      <c r="F189" s="197"/>
      <c r="G189" s="193"/>
      <c r="H189" s="194"/>
      <c r="I189" s="114"/>
      <c r="J189" s="9"/>
      <c r="K189" s="193"/>
      <c r="L189" s="193"/>
      <c r="M189" s="194"/>
      <c r="N189" s="9"/>
      <c r="O189" s="9"/>
      <c r="P189" s="196"/>
      <c r="Q189" s="194"/>
      <c r="R189" s="9"/>
    </row>
    <row r="190" spans="2:18" ht="15.75" x14ac:dyDescent="0.25">
      <c r="E190" s="9"/>
      <c r="F190" s="197"/>
      <c r="G190" s="193"/>
      <c r="H190" s="194"/>
      <c r="I190" s="114"/>
      <c r="J190" s="9"/>
      <c r="K190" s="193"/>
      <c r="L190" s="193"/>
      <c r="M190" s="194"/>
      <c r="N190" s="9"/>
      <c r="O190" s="9"/>
      <c r="P190" s="196"/>
      <c r="Q190" s="194"/>
      <c r="R190" s="9"/>
    </row>
    <row r="191" spans="2:18" ht="15.75" x14ac:dyDescent="0.25">
      <c r="E191" s="9"/>
      <c r="F191" s="37"/>
      <c r="G191" s="193"/>
      <c r="H191" s="194"/>
      <c r="I191" s="114"/>
      <c r="J191" s="9"/>
      <c r="K191" s="193"/>
      <c r="L191" s="193"/>
      <c r="M191" s="194"/>
      <c r="N191" s="9"/>
      <c r="O191" s="9"/>
      <c r="P191" s="196"/>
      <c r="Q191" s="194"/>
      <c r="R191" s="9"/>
    </row>
    <row r="192" spans="2:18" ht="15.75" x14ac:dyDescent="0.25">
      <c r="E192" s="9"/>
      <c r="F192" s="37"/>
      <c r="G192" s="193"/>
      <c r="H192" s="194"/>
      <c r="I192" s="114"/>
      <c r="J192" s="9"/>
      <c r="K192" s="193"/>
      <c r="L192" s="193"/>
      <c r="M192" s="194"/>
      <c r="N192" s="9"/>
      <c r="O192" s="9"/>
      <c r="P192" s="196"/>
      <c r="Q192" s="194"/>
      <c r="R192" s="9"/>
    </row>
    <row r="193" spans="4:18" ht="15.75" x14ac:dyDescent="0.25">
      <c r="E193" s="9"/>
      <c r="F193" s="197"/>
      <c r="G193" s="193"/>
      <c r="H193" s="194"/>
      <c r="I193" s="114"/>
      <c r="J193" s="9"/>
      <c r="K193" s="193"/>
      <c r="L193" s="193"/>
      <c r="M193" s="194"/>
      <c r="N193" s="9"/>
      <c r="O193" s="9"/>
      <c r="P193" s="196"/>
      <c r="Q193" s="194"/>
      <c r="R193" s="9"/>
    </row>
    <row r="194" spans="4:18" ht="15.75" x14ac:dyDescent="0.25">
      <c r="E194" s="9"/>
      <c r="F194" s="197"/>
      <c r="G194" s="193"/>
      <c r="H194" s="194"/>
      <c r="I194" s="114"/>
      <c r="J194" s="9"/>
      <c r="K194" s="193"/>
      <c r="L194" s="193"/>
      <c r="M194" s="194"/>
      <c r="N194" s="9"/>
      <c r="O194" s="9"/>
      <c r="P194" s="196"/>
      <c r="Q194" s="194"/>
      <c r="R194" s="9"/>
    </row>
    <row r="195" spans="4:18" ht="15.75" x14ac:dyDescent="0.25">
      <c r="E195" s="9"/>
      <c r="F195" s="37"/>
      <c r="G195" s="193"/>
      <c r="H195" s="194"/>
      <c r="I195" s="114"/>
      <c r="J195" s="9"/>
      <c r="K195" s="193"/>
      <c r="L195" s="193"/>
      <c r="M195" s="194"/>
      <c r="N195" s="9"/>
      <c r="O195" s="9"/>
      <c r="P195" s="196"/>
      <c r="Q195" s="194"/>
      <c r="R195" s="9"/>
    </row>
    <row r="196" spans="4:18" ht="15.75" x14ac:dyDescent="0.25">
      <c r="E196" s="9"/>
      <c r="F196" s="37"/>
      <c r="G196" s="193"/>
      <c r="H196" s="194"/>
      <c r="I196" s="114"/>
      <c r="J196" s="9"/>
      <c r="K196" s="193"/>
      <c r="L196" s="193"/>
      <c r="M196" s="194"/>
      <c r="N196" s="9"/>
      <c r="O196" s="9"/>
      <c r="P196" s="196"/>
      <c r="Q196" s="194"/>
      <c r="R196" s="9"/>
    </row>
    <row r="197" spans="4:18" ht="15.75" x14ac:dyDescent="0.25">
      <c r="E197" s="9"/>
      <c r="F197" s="37"/>
      <c r="G197" s="193"/>
      <c r="H197" s="194"/>
      <c r="I197" s="114"/>
      <c r="J197" s="9"/>
      <c r="K197" s="193"/>
      <c r="L197" s="193"/>
      <c r="M197" s="194"/>
      <c r="N197" s="9"/>
      <c r="O197" s="9"/>
      <c r="P197" s="196"/>
      <c r="Q197" s="194"/>
      <c r="R197" s="9"/>
    </row>
    <row r="198" spans="4:18" ht="15.75" x14ac:dyDescent="0.25">
      <c r="E198" s="9"/>
      <c r="F198" s="197"/>
      <c r="G198" s="193"/>
      <c r="H198" s="194"/>
      <c r="I198" s="114"/>
      <c r="J198" s="9"/>
      <c r="K198" s="193"/>
      <c r="L198" s="193"/>
      <c r="M198" s="194"/>
      <c r="N198" s="9"/>
      <c r="O198" s="9"/>
      <c r="P198" s="196"/>
      <c r="Q198" s="194"/>
      <c r="R198" s="9"/>
    </row>
    <row r="199" spans="4:18" ht="15.75" x14ac:dyDescent="0.25">
      <c r="E199" s="9"/>
      <c r="F199" s="37"/>
      <c r="G199" s="193"/>
      <c r="H199" s="194"/>
      <c r="I199" s="114"/>
      <c r="J199" s="9"/>
      <c r="K199" s="193"/>
      <c r="L199" s="193"/>
      <c r="M199" s="194"/>
      <c r="N199" s="9"/>
      <c r="O199" s="9"/>
      <c r="P199" s="196"/>
      <c r="Q199" s="194"/>
      <c r="R199" s="9"/>
    </row>
    <row r="200" spans="4:18" ht="15.75" x14ac:dyDescent="0.25">
      <c r="E200" s="9"/>
      <c r="F200" s="197"/>
      <c r="G200" s="193"/>
      <c r="H200" s="194"/>
      <c r="I200" s="114"/>
      <c r="J200" s="9"/>
      <c r="K200" s="193"/>
      <c r="L200" s="193"/>
      <c r="M200" s="194"/>
      <c r="N200" s="9"/>
      <c r="O200" s="9"/>
      <c r="P200" s="196"/>
      <c r="Q200" s="194"/>
      <c r="R200" s="9"/>
    </row>
    <row r="201" spans="4:18" ht="15.75" x14ac:dyDescent="0.25">
      <c r="E201" s="9"/>
      <c r="F201" s="37"/>
      <c r="G201" s="193"/>
      <c r="H201" s="194"/>
      <c r="I201" s="114"/>
      <c r="J201" s="9"/>
      <c r="K201" s="193"/>
      <c r="L201" s="193"/>
      <c r="M201" s="194"/>
      <c r="N201" s="9"/>
      <c r="O201" s="9"/>
      <c r="P201" s="196"/>
      <c r="Q201" s="194"/>
      <c r="R201" s="9"/>
    </row>
    <row r="202" spans="4:18" x14ac:dyDescent="0.2">
      <c r="E202" s="9"/>
      <c r="F202" s="9"/>
      <c r="G202" s="36"/>
      <c r="H202" s="9"/>
      <c r="I202" s="9"/>
      <c r="J202" s="9"/>
      <c r="K202" s="36"/>
      <c r="L202" s="9"/>
      <c r="M202" s="9"/>
      <c r="N202" s="9"/>
      <c r="O202" s="9"/>
      <c r="P202" s="9"/>
      <c r="Q202" s="9"/>
      <c r="R202" s="9"/>
    </row>
    <row r="203" spans="4:18" x14ac:dyDescent="0.2">
      <c r="E203" s="9"/>
      <c r="F203" s="9"/>
      <c r="G203" s="9"/>
      <c r="H203" s="9"/>
      <c r="I203" s="9"/>
      <c r="J203" s="9"/>
      <c r="K203" s="9"/>
      <c r="L203" s="9"/>
      <c r="M203" s="9"/>
      <c r="N203" s="9"/>
      <c r="O203" s="9"/>
      <c r="P203" s="9"/>
      <c r="Q203" s="9"/>
      <c r="R203" s="9"/>
    </row>
    <row r="204" spans="4:18" x14ac:dyDescent="0.2">
      <c r="D204" s="119"/>
      <c r="E204" s="117"/>
      <c r="F204" s="117"/>
      <c r="G204" s="9"/>
      <c r="H204" s="9"/>
      <c r="I204" s="9"/>
      <c r="J204" s="9"/>
      <c r="K204" s="9"/>
      <c r="L204" s="9"/>
      <c r="M204" s="9"/>
      <c r="N204" s="9"/>
      <c r="O204" s="9"/>
      <c r="P204" s="9"/>
      <c r="Q204" s="9"/>
      <c r="R204" s="9"/>
    </row>
    <row r="205" spans="4:18" x14ac:dyDescent="0.2">
      <c r="D205" s="117"/>
      <c r="E205" s="117"/>
      <c r="F205" s="117"/>
      <c r="G205" s="116"/>
      <c r="H205" s="116"/>
      <c r="I205" s="116"/>
      <c r="J205" s="116"/>
      <c r="K205" s="116"/>
      <c r="L205" s="9"/>
      <c r="M205" s="9"/>
      <c r="N205" s="9"/>
      <c r="O205" s="9"/>
      <c r="P205" s="9"/>
      <c r="Q205" s="9"/>
      <c r="R205" s="9"/>
    </row>
    <row r="206" spans="4:18" x14ac:dyDescent="0.2">
      <c r="D206" s="117"/>
      <c r="E206" s="117"/>
      <c r="F206" s="118"/>
      <c r="G206" s="116"/>
      <c r="H206" s="116"/>
      <c r="I206" s="116"/>
      <c r="J206" s="116"/>
      <c r="K206" s="116"/>
      <c r="L206" s="9"/>
      <c r="M206" s="9"/>
      <c r="N206" s="9"/>
      <c r="O206" s="9"/>
      <c r="P206" s="9"/>
      <c r="Q206" s="9"/>
      <c r="R206" s="9"/>
    </row>
    <row r="207" spans="4:18" x14ac:dyDescent="0.2">
      <c r="D207" s="117"/>
      <c r="E207" s="117"/>
      <c r="F207" s="118"/>
      <c r="G207" s="116"/>
      <c r="H207" s="116"/>
      <c r="I207" s="116"/>
      <c r="J207" s="116"/>
      <c r="K207" s="116"/>
      <c r="L207" s="9"/>
      <c r="M207" s="9"/>
      <c r="N207" s="9"/>
      <c r="O207" s="9"/>
      <c r="P207" s="9"/>
      <c r="Q207" s="9"/>
      <c r="R207" s="9"/>
    </row>
    <row r="208" spans="4:18" x14ac:dyDescent="0.2">
      <c r="D208" s="117"/>
      <c r="E208" s="117"/>
      <c r="F208" s="118"/>
      <c r="G208" s="116"/>
      <c r="H208" s="116"/>
      <c r="I208" s="116"/>
      <c r="J208" s="116"/>
      <c r="K208" s="116"/>
    </row>
    <row r="209" spans="4:11" x14ac:dyDescent="0.2">
      <c r="D209" s="117"/>
      <c r="E209" s="117"/>
      <c r="F209" s="117"/>
      <c r="G209" s="116"/>
      <c r="H209" s="116"/>
      <c r="I209" s="116"/>
      <c r="J209" s="116"/>
      <c r="K209" s="116"/>
    </row>
    <row r="210" spans="4:11" x14ac:dyDescent="0.2">
      <c r="D210" s="117"/>
      <c r="E210" s="117"/>
      <c r="F210" s="117"/>
      <c r="G210" s="116"/>
      <c r="H210" s="116"/>
      <c r="I210" s="116"/>
      <c r="J210" s="116"/>
      <c r="K210" s="116"/>
    </row>
    <row r="211" spans="4:11" x14ac:dyDescent="0.2">
      <c r="D211" s="116"/>
      <c r="E211" s="116"/>
      <c r="F211" s="116"/>
      <c r="G211" s="116"/>
      <c r="H211" s="116"/>
      <c r="I211" s="116"/>
      <c r="J211" s="116"/>
      <c r="K211" s="116"/>
    </row>
    <row r="212" spans="4:11" x14ac:dyDescent="0.2">
      <c r="D212" s="116"/>
      <c r="E212" s="116"/>
      <c r="F212" s="116"/>
      <c r="G212" s="116"/>
      <c r="H212" s="116"/>
      <c r="I212" s="116"/>
      <c r="J212" s="116"/>
      <c r="K212" s="116"/>
    </row>
    <row r="213" spans="4:11" x14ac:dyDescent="0.2">
      <c r="D213" s="116"/>
      <c r="E213" s="116"/>
      <c r="F213" s="116"/>
      <c r="G213" s="116"/>
      <c r="H213" s="116"/>
      <c r="I213" s="116"/>
      <c r="J213" s="116"/>
      <c r="K213" s="116"/>
    </row>
    <row r="214" spans="4:11" x14ac:dyDescent="0.2">
      <c r="D214" s="116"/>
      <c r="E214" s="116"/>
      <c r="F214" s="116"/>
      <c r="G214" s="116"/>
      <c r="H214" s="116"/>
      <c r="I214" s="116"/>
      <c r="J214" s="116"/>
      <c r="K214" s="116"/>
    </row>
    <row r="215" spans="4:11" x14ac:dyDescent="0.2">
      <c r="D215" s="116"/>
      <c r="E215" s="116"/>
      <c r="F215" s="116"/>
      <c r="G215" s="116"/>
      <c r="H215" s="116"/>
      <c r="I215" s="116"/>
      <c r="J215" s="116"/>
      <c r="K215" s="116"/>
    </row>
    <row r="216" spans="4:11" x14ac:dyDescent="0.2">
      <c r="D216" s="116"/>
      <c r="E216" s="116"/>
      <c r="F216" s="116"/>
      <c r="G216" s="116"/>
      <c r="H216" s="116"/>
      <c r="I216" s="116"/>
      <c r="J216" s="116"/>
      <c r="K216" s="116"/>
    </row>
    <row r="217" spans="4:11" x14ac:dyDescent="0.2">
      <c r="D217" s="116"/>
      <c r="E217" s="116"/>
      <c r="F217" s="116"/>
      <c r="G217" s="116"/>
      <c r="H217" s="116"/>
      <c r="I217" s="116"/>
      <c r="J217" s="116"/>
      <c r="K217" s="116"/>
    </row>
    <row r="218" spans="4:11" x14ac:dyDescent="0.2">
      <c r="D218" s="116"/>
      <c r="E218" s="116"/>
      <c r="F218" s="116"/>
      <c r="G218" s="116"/>
      <c r="H218" s="116"/>
      <c r="I218" s="116"/>
      <c r="J218" s="116"/>
      <c r="K218" s="116"/>
    </row>
    <row r="219" spans="4:11" x14ac:dyDescent="0.2">
      <c r="D219" s="116"/>
      <c r="E219" s="116"/>
      <c r="F219" s="116"/>
      <c r="G219" s="116"/>
      <c r="H219" s="116"/>
      <c r="I219" s="116"/>
      <c r="J219" s="116"/>
      <c r="K219" s="116"/>
    </row>
    <row r="220" spans="4:11" x14ac:dyDescent="0.2">
      <c r="D220" s="116"/>
      <c r="E220" s="116"/>
      <c r="F220" s="116"/>
      <c r="G220" s="116"/>
      <c r="H220" s="116"/>
      <c r="I220" s="116"/>
      <c r="J220" s="116"/>
      <c r="K220" s="116"/>
    </row>
    <row r="221" spans="4:11" x14ac:dyDescent="0.2">
      <c r="D221" s="116"/>
      <c r="E221" s="116"/>
      <c r="F221" s="116"/>
      <c r="G221" s="116"/>
      <c r="H221" s="116"/>
      <c r="I221" s="116"/>
      <c r="J221" s="116"/>
      <c r="K221" s="116"/>
    </row>
    <row r="222" spans="4:11" x14ac:dyDescent="0.2">
      <c r="D222" s="116"/>
      <c r="E222" s="116"/>
      <c r="F222" s="116"/>
      <c r="G222" s="116"/>
      <c r="H222" s="116"/>
      <c r="I222" s="116"/>
      <c r="J222" s="116"/>
      <c r="K222" s="116"/>
    </row>
    <row r="223" spans="4:11" x14ac:dyDescent="0.2">
      <c r="D223" s="116"/>
      <c r="E223" s="116"/>
      <c r="F223" s="116"/>
      <c r="G223" s="116"/>
      <c r="H223" s="116"/>
      <c r="I223" s="116"/>
      <c r="J223" s="116"/>
      <c r="K223" s="116"/>
    </row>
    <row r="224" spans="4:11" x14ac:dyDescent="0.2">
      <c r="D224" s="116"/>
      <c r="E224" s="116"/>
      <c r="F224" s="116"/>
      <c r="G224" s="116"/>
      <c r="H224" s="116"/>
      <c r="I224" s="116"/>
      <c r="J224" s="116"/>
      <c r="K224" s="116"/>
    </row>
    <row r="225" spans="4:11" x14ac:dyDescent="0.2">
      <c r="D225" s="116"/>
      <c r="E225" s="116"/>
      <c r="F225" s="116"/>
      <c r="G225" s="116"/>
      <c r="H225" s="116"/>
      <c r="I225" s="116"/>
      <c r="J225" s="116"/>
      <c r="K225" s="116"/>
    </row>
    <row r="226" spans="4:11" x14ac:dyDescent="0.2">
      <c r="D226" s="116"/>
      <c r="E226" s="116"/>
      <c r="F226" s="116"/>
      <c r="G226" s="116"/>
      <c r="H226" s="116"/>
      <c r="I226" s="116"/>
      <c r="J226" s="116"/>
      <c r="K226" s="116"/>
    </row>
  </sheetData>
  <mergeCells count="1">
    <mergeCell ref="C2:D2"/>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226"/>
  <sheetViews>
    <sheetView zoomScaleNormal="100" workbookViewId="0">
      <selection activeCell="I10" sqref="I10"/>
    </sheetView>
  </sheetViews>
  <sheetFormatPr defaultColWidth="8.88671875" defaultRowHeight="15" x14ac:dyDescent="0.2"/>
  <cols>
    <col min="1" max="1" width="2.21875" style="1" customWidth="1"/>
    <col min="2" max="2" width="2" style="1" customWidth="1"/>
    <col min="3" max="3" width="18" style="1" customWidth="1"/>
    <col min="4" max="4" width="13.77734375" style="1" customWidth="1"/>
    <col min="5" max="8" width="8.88671875" style="1"/>
    <col min="9" max="9" width="11.5546875" style="1" customWidth="1"/>
    <col min="10" max="10" width="8.88671875" style="1"/>
    <col min="11" max="11" width="12.109375" style="1" customWidth="1"/>
    <col min="12" max="12" width="10.6640625" style="1" customWidth="1"/>
    <col min="13" max="13" width="8.33203125" style="1" customWidth="1"/>
    <col min="14" max="18" width="8.88671875" style="1"/>
    <col min="19" max="19" width="11.5546875" style="1" customWidth="1"/>
    <col min="20" max="20" width="10.109375" style="1" customWidth="1"/>
    <col min="21" max="21" width="11.44140625" style="1" customWidth="1"/>
    <col min="22" max="22" width="5.44140625" style="1" customWidth="1"/>
    <col min="23" max="16384" width="8.88671875" style="1"/>
  </cols>
  <sheetData>
    <row r="2" spans="2:23" ht="20.25" thickBot="1" x14ac:dyDescent="0.35">
      <c r="B2" s="34"/>
      <c r="C2" s="1385" t="s">
        <v>46</v>
      </c>
      <c r="D2" s="1385"/>
    </row>
    <row r="3" spans="2:23" ht="15.75" thickTop="1" x14ac:dyDescent="0.2"/>
    <row r="4" spans="2:23" ht="15.75" thickBot="1" x14ac:dyDescent="0.25"/>
    <row r="5" spans="2:23" ht="15.75" x14ac:dyDescent="0.25">
      <c r="J5" s="43" t="s">
        <v>0</v>
      </c>
      <c r="K5" s="39"/>
      <c r="L5" s="47" t="s">
        <v>1</v>
      </c>
      <c r="M5" s="45"/>
    </row>
    <row r="6" spans="2:23" ht="15.75" x14ac:dyDescent="0.25">
      <c r="J6" s="40" t="s">
        <v>49</v>
      </c>
      <c r="K6" s="38"/>
      <c r="L6" s="41"/>
      <c r="M6" s="46"/>
    </row>
    <row r="7" spans="2:23" ht="15.75" x14ac:dyDescent="0.25">
      <c r="J7" s="40" t="s">
        <v>3</v>
      </c>
      <c r="K7" s="38"/>
      <c r="L7" s="48">
        <f>Kontrollpanel!I32</f>
        <v>10677</v>
      </c>
      <c r="M7" s="46"/>
    </row>
    <row r="8" spans="2:23" ht="15.75" x14ac:dyDescent="0.25">
      <c r="H8" s="1">
        <v>682</v>
      </c>
      <c r="I8" s="219">
        <v>327.6944457756266</v>
      </c>
      <c r="J8" s="40" t="s">
        <v>4</v>
      </c>
      <c r="K8" s="38"/>
      <c r="L8" s="48">
        <v>0</v>
      </c>
      <c r="M8" s="46"/>
    </row>
    <row r="9" spans="2:23" ht="15.75" x14ac:dyDescent="0.25">
      <c r="J9" s="40" t="s">
        <v>5</v>
      </c>
      <c r="K9" s="38"/>
      <c r="L9" s="48">
        <f>Kontrollpanel!I33</f>
        <v>1384</v>
      </c>
      <c r="M9" s="46"/>
    </row>
    <row r="10" spans="2:23" ht="15.75" x14ac:dyDescent="0.25">
      <c r="J10" s="40" t="s">
        <v>6</v>
      </c>
      <c r="K10" s="38"/>
      <c r="L10" s="48">
        <f>Kontrollpanel!I34</f>
        <v>6566</v>
      </c>
      <c r="M10" s="46"/>
    </row>
    <row r="11" spans="2:23" ht="16.5" thickBot="1" x14ac:dyDescent="0.3">
      <c r="J11" s="42" t="s">
        <v>7</v>
      </c>
      <c r="K11" s="44"/>
      <c r="L11" s="49">
        <f>Kontrollpanel!I35</f>
        <v>20762</v>
      </c>
      <c r="M11" s="46"/>
    </row>
    <row r="12" spans="2:23" x14ac:dyDescent="0.2">
      <c r="M12" s="9"/>
    </row>
    <row r="13" spans="2:23" x14ac:dyDescent="0.2">
      <c r="M13" s="9"/>
    </row>
    <row r="14" spans="2:23" ht="15.75" thickBot="1" x14ac:dyDescent="0.25">
      <c r="V14" s="9"/>
      <c r="W14" s="9"/>
    </row>
    <row r="15" spans="2:23" ht="15.75" x14ac:dyDescent="0.25">
      <c r="C15" s="2"/>
      <c r="D15" s="3"/>
      <c r="E15" s="3"/>
      <c r="F15" s="3"/>
      <c r="G15" s="3"/>
      <c r="H15" s="3"/>
      <c r="I15" s="3"/>
      <c r="J15" s="3"/>
      <c r="K15" s="3"/>
      <c r="L15" s="3"/>
      <c r="M15" s="3"/>
      <c r="N15" s="3"/>
      <c r="O15" s="3"/>
      <c r="P15" s="3"/>
      <c r="Q15" s="3"/>
      <c r="R15" s="3"/>
      <c r="S15" s="3"/>
      <c r="T15" s="3"/>
      <c r="U15" s="4"/>
      <c r="V15" s="6"/>
      <c r="W15" s="9"/>
    </row>
    <row r="16" spans="2:23" ht="16.5" thickBot="1" x14ac:dyDescent="0.3">
      <c r="B16" s="5"/>
      <c r="C16" s="52" t="s">
        <v>48</v>
      </c>
      <c r="D16" s="75"/>
      <c r="E16" s="9"/>
      <c r="F16" s="9"/>
      <c r="G16" s="9"/>
      <c r="H16" s="9"/>
      <c r="I16" s="9"/>
      <c r="J16" s="9"/>
      <c r="K16" s="9"/>
      <c r="L16" s="9"/>
      <c r="M16" s="9"/>
      <c r="N16" s="9"/>
      <c r="O16" s="9"/>
      <c r="P16" s="9"/>
      <c r="Q16" s="9"/>
      <c r="R16" s="9"/>
      <c r="S16" s="9"/>
      <c r="T16" s="9"/>
      <c r="U16" s="108" t="s">
        <v>47</v>
      </c>
      <c r="V16" s="6"/>
      <c r="W16" s="9"/>
    </row>
    <row r="17" spans="1:23" ht="15.75" x14ac:dyDescent="0.25">
      <c r="C17" s="58" t="s">
        <v>2</v>
      </c>
      <c r="D17" s="57" t="s">
        <v>8</v>
      </c>
      <c r="E17" s="57" t="s">
        <v>9</v>
      </c>
      <c r="F17" s="57" t="s">
        <v>10</v>
      </c>
      <c r="G17" s="57" t="s">
        <v>11</v>
      </c>
      <c r="H17" s="57" t="s">
        <v>12</v>
      </c>
      <c r="I17" s="57" t="s">
        <v>13</v>
      </c>
      <c r="J17" s="57" t="s">
        <v>14</v>
      </c>
      <c r="K17" s="57" t="s">
        <v>15</v>
      </c>
      <c r="L17" s="57" t="s">
        <v>16</v>
      </c>
      <c r="M17" s="57" t="s">
        <v>17</v>
      </c>
      <c r="N17" s="57" t="s">
        <v>18</v>
      </c>
      <c r="O17" s="57" t="s">
        <v>19</v>
      </c>
      <c r="P17" s="57" t="s">
        <v>20</v>
      </c>
      <c r="Q17" s="57" t="s">
        <v>21</v>
      </c>
      <c r="R17" s="57" t="s">
        <v>22</v>
      </c>
      <c r="S17" s="57" t="s">
        <v>23</v>
      </c>
      <c r="T17" s="57" t="s">
        <v>24</v>
      </c>
      <c r="U17" s="109"/>
      <c r="V17" s="9"/>
      <c r="W17" s="9"/>
    </row>
    <row r="18" spans="1:23" ht="15.75" x14ac:dyDescent="0.25">
      <c r="B18" s="7"/>
      <c r="C18" s="59" t="s">
        <v>3</v>
      </c>
      <c r="D18" s="54">
        <v>18</v>
      </c>
      <c r="E18" s="54">
        <v>69</v>
      </c>
      <c r="F18" s="54">
        <v>226</v>
      </c>
      <c r="G18" s="54">
        <v>24</v>
      </c>
      <c r="H18" s="54">
        <v>38</v>
      </c>
      <c r="I18" s="54">
        <v>136</v>
      </c>
      <c r="J18" s="54">
        <v>448</v>
      </c>
      <c r="K18" s="54">
        <v>17</v>
      </c>
      <c r="L18" s="54">
        <v>11</v>
      </c>
      <c r="M18" s="54">
        <v>155</v>
      </c>
      <c r="N18" s="54">
        <v>26</v>
      </c>
      <c r="O18" s="54">
        <v>135</v>
      </c>
      <c r="P18" s="54">
        <v>1</v>
      </c>
      <c r="Q18" s="54">
        <v>83</v>
      </c>
      <c r="R18" s="54">
        <v>29</v>
      </c>
      <c r="S18" s="54">
        <v>714</v>
      </c>
      <c r="T18" s="54">
        <f>SUM(D18:S18)</f>
        <v>2130</v>
      </c>
      <c r="U18" s="110">
        <f>T18/$T$27</f>
        <v>7.5119026626697227E-2</v>
      </c>
      <c r="V18" s="37"/>
      <c r="W18" s="9"/>
    </row>
    <row r="19" spans="1:23" ht="15.75" x14ac:dyDescent="0.25">
      <c r="B19" s="7"/>
      <c r="C19" s="59" t="s">
        <v>4</v>
      </c>
      <c r="D19" s="54">
        <v>337</v>
      </c>
      <c r="E19" s="54">
        <v>704</v>
      </c>
      <c r="F19" s="54">
        <v>1849</v>
      </c>
      <c r="G19" s="54">
        <v>399</v>
      </c>
      <c r="H19" s="54">
        <v>341</v>
      </c>
      <c r="I19" s="54">
        <v>1104</v>
      </c>
      <c r="J19" s="54">
        <v>3250</v>
      </c>
      <c r="K19" s="54">
        <v>243</v>
      </c>
      <c r="L19" s="54">
        <v>166</v>
      </c>
      <c r="M19" s="54">
        <v>1423</v>
      </c>
      <c r="N19" s="54">
        <v>280</v>
      </c>
      <c r="O19" s="54">
        <v>1297</v>
      </c>
      <c r="P19" s="54">
        <v>65</v>
      </c>
      <c r="Q19" s="54">
        <v>729</v>
      </c>
      <c r="R19" s="54">
        <v>294</v>
      </c>
      <c r="S19" s="54">
        <v>8386</v>
      </c>
      <c r="T19" s="54">
        <f>SUM(D19:S19)</f>
        <v>20867</v>
      </c>
      <c r="U19" s="110">
        <f>T19/$T$27</f>
        <v>0.73591959090107562</v>
      </c>
      <c r="V19" s="37"/>
      <c r="W19" s="9"/>
    </row>
    <row r="20" spans="1:23" ht="15.75" x14ac:dyDescent="0.25">
      <c r="B20" s="7"/>
      <c r="C20" s="59" t="s">
        <v>5</v>
      </c>
      <c r="D20" s="54">
        <v>70</v>
      </c>
      <c r="E20" s="54">
        <v>111</v>
      </c>
      <c r="F20" s="54">
        <v>262</v>
      </c>
      <c r="G20" s="54">
        <v>75</v>
      </c>
      <c r="H20" s="54">
        <v>60</v>
      </c>
      <c r="I20" s="54">
        <v>163</v>
      </c>
      <c r="J20" s="54">
        <v>344</v>
      </c>
      <c r="K20" s="54">
        <v>46</v>
      </c>
      <c r="L20" s="54">
        <v>39</v>
      </c>
      <c r="M20" s="54">
        <v>173</v>
      </c>
      <c r="N20" s="54">
        <v>62</v>
      </c>
      <c r="O20" s="54">
        <v>198</v>
      </c>
      <c r="P20" s="54">
        <v>15</v>
      </c>
      <c r="Q20" s="54">
        <v>129</v>
      </c>
      <c r="R20" s="54">
        <v>58</v>
      </c>
      <c r="S20" s="54">
        <v>1176</v>
      </c>
      <c r="T20" s="54">
        <f>SUM(D20:S20)</f>
        <v>2981</v>
      </c>
      <c r="U20" s="110">
        <f>T20/$T$27</f>
        <v>0.10513137012872509</v>
      </c>
      <c r="V20" s="37"/>
      <c r="W20" s="9"/>
    </row>
    <row r="21" spans="1:23" ht="15.75" x14ac:dyDescent="0.25">
      <c r="B21" s="7"/>
      <c r="C21" s="59" t="s">
        <v>6</v>
      </c>
      <c r="D21" s="54">
        <v>34</v>
      </c>
      <c r="E21" s="54">
        <v>60</v>
      </c>
      <c r="F21" s="54">
        <v>121</v>
      </c>
      <c r="G21" s="54">
        <v>52</v>
      </c>
      <c r="H21" s="54">
        <v>38</v>
      </c>
      <c r="I21" s="54">
        <v>96</v>
      </c>
      <c r="J21" s="54">
        <v>145</v>
      </c>
      <c r="K21" s="54">
        <v>39</v>
      </c>
      <c r="L21" s="54">
        <v>22</v>
      </c>
      <c r="M21" s="54">
        <v>88</v>
      </c>
      <c r="N21" s="54">
        <v>23</v>
      </c>
      <c r="O21" s="54">
        <v>129</v>
      </c>
      <c r="P21" s="54">
        <v>10</v>
      </c>
      <c r="Q21" s="54">
        <v>65</v>
      </c>
      <c r="R21" s="54">
        <v>51</v>
      </c>
      <c r="S21" s="54">
        <v>646</v>
      </c>
      <c r="T21" s="54">
        <f>SUM(D21:S21)</f>
        <v>1619</v>
      </c>
      <c r="U21" s="110">
        <f>T21/$T$27</f>
        <v>5.7097513666020103E-2</v>
      </c>
      <c r="V21" s="37"/>
      <c r="W21" s="9"/>
    </row>
    <row r="22" spans="1:23" ht="15.75" x14ac:dyDescent="0.25">
      <c r="B22" s="7"/>
      <c r="C22" s="59" t="s">
        <v>7</v>
      </c>
      <c r="D22" s="54">
        <v>21</v>
      </c>
      <c r="E22" s="54">
        <v>34</v>
      </c>
      <c r="F22" s="54">
        <v>69</v>
      </c>
      <c r="G22" s="54">
        <v>27</v>
      </c>
      <c r="H22" s="54">
        <v>15</v>
      </c>
      <c r="I22" s="54">
        <v>27</v>
      </c>
      <c r="J22" s="54">
        <v>62</v>
      </c>
      <c r="K22" s="54">
        <v>16</v>
      </c>
      <c r="L22" s="54">
        <v>11</v>
      </c>
      <c r="M22" s="54">
        <v>21</v>
      </c>
      <c r="N22" s="54">
        <v>8</v>
      </c>
      <c r="O22" s="54">
        <v>51</v>
      </c>
      <c r="P22" s="54">
        <v>12</v>
      </c>
      <c r="Q22" s="54">
        <v>26</v>
      </c>
      <c r="R22" s="54">
        <v>17</v>
      </c>
      <c r="S22" s="54">
        <v>341</v>
      </c>
      <c r="T22" s="54">
        <f>SUM(D22:S22)</f>
        <v>758</v>
      </c>
      <c r="U22" s="110">
        <f>T22/$T$27</f>
        <v>2.6732498677481925E-2</v>
      </c>
      <c r="V22" s="37"/>
      <c r="W22" s="9"/>
    </row>
    <row r="23" spans="1:23" ht="15.75" x14ac:dyDescent="0.25">
      <c r="B23" s="7"/>
      <c r="C23" s="59"/>
      <c r="D23" s="38"/>
      <c r="E23" s="38"/>
      <c r="F23" s="38"/>
      <c r="G23" s="38"/>
      <c r="H23" s="38"/>
      <c r="I23" s="38"/>
      <c r="J23" s="38"/>
      <c r="K23" s="38"/>
      <c r="L23" s="38"/>
      <c r="M23" s="38"/>
      <c r="N23" s="38"/>
      <c r="O23" s="38"/>
      <c r="P23" s="38"/>
      <c r="Q23" s="38"/>
      <c r="R23" s="38"/>
      <c r="S23" s="38"/>
      <c r="T23" s="55"/>
      <c r="U23" s="110"/>
      <c r="V23" s="37"/>
      <c r="W23" s="9"/>
    </row>
    <row r="24" spans="1:23" ht="15.75" x14ac:dyDescent="0.25">
      <c r="B24" s="7"/>
      <c r="C24" s="59" t="s">
        <v>25</v>
      </c>
      <c r="D24" s="38"/>
      <c r="E24" s="38"/>
      <c r="F24" s="38"/>
      <c r="G24" s="38"/>
      <c r="H24" s="38"/>
      <c r="I24" s="38"/>
      <c r="J24" s="38"/>
      <c r="K24" s="38"/>
      <c r="L24" s="38"/>
      <c r="M24" s="38"/>
      <c r="N24" s="38"/>
      <c r="O24" s="38"/>
      <c r="P24" s="38"/>
      <c r="Q24" s="38"/>
      <c r="R24" s="38"/>
      <c r="S24" s="38"/>
      <c r="T24" s="55"/>
      <c r="U24" s="110"/>
      <c r="V24" s="37"/>
      <c r="W24" s="9"/>
    </row>
    <row r="25" spans="1:23" ht="15.75" x14ac:dyDescent="0.25">
      <c r="B25" s="7"/>
      <c r="C25" s="59" t="s">
        <v>26</v>
      </c>
      <c r="D25" s="38"/>
      <c r="E25" s="38"/>
      <c r="F25" s="38"/>
      <c r="G25" s="38"/>
      <c r="H25" s="38"/>
      <c r="I25" s="38"/>
      <c r="J25" s="38"/>
      <c r="K25" s="38"/>
      <c r="L25" s="38"/>
      <c r="M25" s="38"/>
      <c r="N25" s="38"/>
      <c r="O25" s="38"/>
      <c r="P25" s="38"/>
      <c r="Q25" s="38"/>
      <c r="R25" s="38"/>
      <c r="S25" s="38"/>
      <c r="T25" s="55"/>
      <c r="U25" s="110"/>
      <c r="V25" s="37"/>
      <c r="W25" s="9"/>
    </row>
    <row r="26" spans="1:23" ht="15.75" x14ac:dyDescent="0.25">
      <c r="B26" s="7"/>
      <c r="C26" s="59"/>
      <c r="D26" s="38"/>
      <c r="E26" s="38"/>
      <c r="F26" s="38"/>
      <c r="G26" s="38"/>
      <c r="H26" s="38"/>
      <c r="I26" s="38"/>
      <c r="J26" s="38"/>
      <c r="K26" s="38"/>
      <c r="L26" s="38"/>
      <c r="M26" s="38"/>
      <c r="N26" s="38"/>
      <c r="O26" s="38"/>
      <c r="P26" s="38"/>
      <c r="Q26" s="38"/>
      <c r="R26" s="38"/>
      <c r="S26" s="38"/>
      <c r="T26" s="55"/>
      <c r="U26" s="110"/>
      <c r="V26" s="37"/>
      <c r="W26" s="9"/>
    </row>
    <row r="27" spans="1:23" ht="16.5" thickBot="1" x14ac:dyDescent="0.3">
      <c r="A27" s="94" t="s">
        <v>56</v>
      </c>
      <c r="B27" s="95"/>
      <c r="C27" s="60" t="s">
        <v>27</v>
      </c>
      <c r="D27" s="56">
        <f>SUM(D18:D22)</f>
        <v>480</v>
      </c>
      <c r="E27" s="56">
        <f t="shared" ref="E27:S27" si="0">SUM(E18:E22)</f>
        <v>978</v>
      </c>
      <c r="F27" s="56">
        <f t="shared" si="0"/>
        <v>2527</v>
      </c>
      <c r="G27" s="56">
        <f t="shared" si="0"/>
        <v>577</v>
      </c>
      <c r="H27" s="56">
        <f t="shared" si="0"/>
        <v>492</v>
      </c>
      <c r="I27" s="56">
        <f t="shared" si="0"/>
        <v>1526</v>
      </c>
      <c r="J27" s="56">
        <f t="shared" si="0"/>
        <v>4249</v>
      </c>
      <c r="K27" s="56">
        <f t="shared" si="0"/>
        <v>361</v>
      </c>
      <c r="L27" s="56">
        <f t="shared" si="0"/>
        <v>249</v>
      </c>
      <c r="M27" s="56">
        <f t="shared" si="0"/>
        <v>1860</v>
      </c>
      <c r="N27" s="56">
        <f t="shared" si="0"/>
        <v>399</v>
      </c>
      <c r="O27" s="56">
        <f t="shared" si="0"/>
        <v>1810</v>
      </c>
      <c r="P27" s="56">
        <f t="shared" si="0"/>
        <v>103</v>
      </c>
      <c r="Q27" s="56">
        <f t="shared" si="0"/>
        <v>1032</v>
      </c>
      <c r="R27" s="56">
        <f t="shared" si="0"/>
        <v>449</v>
      </c>
      <c r="S27" s="56">
        <f t="shared" si="0"/>
        <v>11263</v>
      </c>
      <c r="T27" s="56">
        <f>SUM(D18:S22)</f>
        <v>28355</v>
      </c>
      <c r="U27" s="111"/>
      <c r="V27" s="37"/>
      <c r="W27" s="9"/>
    </row>
    <row r="28" spans="1:23" ht="15.75" hidden="1" x14ac:dyDescent="0.25">
      <c r="A28" s="94"/>
      <c r="B28" s="95"/>
      <c r="C28" s="61"/>
      <c r="D28" s="9"/>
      <c r="E28" s="9"/>
      <c r="F28" s="9"/>
      <c r="G28" s="9"/>
      <c r="H28" s="9"/>
      <c r="I28" s="9"/>
      <c r="J28" s="9"/>
      <c r="K28" s="9"/>
      <c r="L28" s="9"/>
      <c r="M28" s="9"/>
      <c r="N28" s="9"/>
      <c r="O28" s="9"/>
      <c r="P28" s="9"/>
      <c r="Q28" s="9"/>
      <c r="R28" s="9"/>
      <c r="S28" s="9"/>
      <c r="T28" s="10"/>
      <c r="U28" s="50"/>
      <c r="V28" s="9"/>
      <c r="W28" s="9"/>
    </row>
    <row r="29" spans="1:23" ht="15.75" hidden="1" x14ac:dyDescent="0.25">
      <c r="A29" s="94"/>
      <c r="B29" s="95"/>
      <c r="C29" s="62" t="s">
        <v>28</v>
      </c>
      <c r="D29" s="12"/>
      <c r="E29" s="12"/>
      <c r="F29" s="12"/>
      <c r="G29" s="12"/>
      <c r="H29" s="12"/>
      <c r="I29" s="12"/>
      <c r="J29" s="12"/>
      <c r="K29" s="12"/>
      <c r="L29" s="12"/>
      <c r="M29" s="12"/>
      <c r="N29" s="12"/>
      <c r="O29" s="12"/>
      <c r="P29" s="12"/>
      <c r="Q29" s="12"/>
      <c r="R29" s="12"/>
      <c r="S29" s="12"/>
      <c r="T29" s="13"/>
      <c r="U29" s="51"/>
      <c r="V29" s="9"/>
      <c r="W29" s="9"/>
    </row>
    <row r="30" spans="1:23" ht="15.75" hidden="1" x14ac:dyDescent="0.25">
      <c r="A30" s="94"/>
      <c r="B30" s="95"/>
      <c r="C30" s="63" t="s">
        <v>3</v>
      </c>
      <c r="D30" s="15">
        <f>D18/D$27</f>
        <v>3.7499999999999999E-2</v>
      </c>
      <c r="E30" s="15">
        <f t="shared" ref="E30:S30" si="1">E18/E$27</f>
        <v>7.0552147239263799E-2</v>
      </c>
      <c r="F30" s="15">
        <f t="shared" si="1"/>
        <v>8.9434111594776419E-2</v>
      </c>
      <c r="G30" s="15">
        <f t="shared" si="1"/>
        <v>4.1594454072790298E-2</v>
      </c>
      <c r="H30" s="15">
        <f t="shared" si="1"/>
        <v>7.7235772357723581E-2</v>
      </c>
      <c r="I30" s="15">
        <f t="shared" si="1"/>
        <v>8.9121887287024901E-2</v>
      </c>
      <c r="J30" s="15">
        <f t="shared" si="1"/>
        <v>0.10543657331136738</v>
      </c>
      <c r="K30" s="15">
        <f t="shared" si="1"/>
        <v>4.7091412742382273E-2</v>
      </c>
      <c r="L30" s="15">
        <f t="shared" si="1"/>
        <v>4.4176706827309238E-2</v>
      </c>
      <c r="M30" s="15">
        <f t="shared" si="1"/>
        <v>8.3333333333333329E-2</v>
      </c>
      <c r="N30" s="15">
        <f t="shared" si="1"/>
        <v>6.5162907268170422E-2</v>
      </c>
      <c r="O30" s="15">
        <f t="shared" si="1"/>
        <v>7.4585635359116026E-2</v>
      </c>
      <c r="P30" s="15">
        <f t="shared" si="1"/>
        <v>9.7087378640776691E-3</v>
      </c>
      <c r="Q30" s="15">
        <f t="shared" si="1"/>
        <v>8.0426356589147291E-2</v>
      </c>
      <c r="R30" s="15">
        <f t="shared" si="1"/>
        <v>6.4587973273942098E-2</v>
      </c>
      <c r="S30" s="15">
        <f t="shared" si="1"/>
        <v>6.3393412057178369E-2</v>
      </c>
      <c r="T30" s="13"/>
      <c r="U30" s="51"/>
      <c r="V30" s="9"/>
      <c r="W30" s="9"/>
    </row>
    <row r="31" spans="1:23" ht="15.75" hidden="1" x14ac:dyDescent="0.25">
      <c r="A31" s="94"/>
      <c r="B31" s="95"/>
      <c r="C31" s="63" t="s">
        <v>4</v>
      </c>
      <c r="D31" s="15">
        <f t="shared" ref="D31:S34" si="2">D19/D$27</f>
        <v>0.70208333333333328</v>
      </c>
      <c r="E31" s="15">
        <f t="shared" si="2"/>
        <v>0.71983640081799594</v>
      </c>
      <c r="F31" s="15">
        <f t="shared" si="2"/>
        <v>0.7316976652156707</v>
      </c>
      <c r="G31" s="15">
        <f t="shared" si="2"/>
        <v>0.6915077989601387</v>
      </c>
      <c r="H31" s="15">
        <f t="shared" si="2"/>
        <v>0.69308943089430897</v>
      </c>
      <c r="I31" s="15">
        <f t="shared" si="2"/>
        <v>0.72346002621231975</v>
      </c>
      <c r="J31" s="15">
        <f t="shared" si="2"/>
        <v>0.76488585549541066</v>
      </c>
      <c r="K31" s="15">
        <f t="shared" si="2"/>
        <v>0.67313019390581719</v>
      </c>
      <c r="L31" s="15">
        <f t="shared" si="2"/>
        <v>0.66666666666666663</v>
      </c>
      <c r="M31" s="15">
        <f t="shared" si="2"/>
        <v>0.76505376344086018</v>
      </c>
      <c r="N31" s="15">
        <f t="shared" si="2"/>
        <v>0.70175438596491224</v>
      </c>
      <c r="O31" s="15">
        <f t="shared" si="2"/>
        <v>0.71657458563535914</v>
      </c>
      <c r="P31" s="15">
        <f t="shared" si="2"/>
        <v>0.6310679611650486</v>
      </c>
      <c r="Q31" s="15">
        <f t="shared" si="2"/>
        <v>0.70639534883720934</v>
      </c>
      <c r="R31" s="15">
        <f t="shared" si="2"/>
        <v>0.65478841870824056</v>
      </c>
      <c r="S31" s="15">
        <f t="shared" si="2"/>
        <v>0.74456183965195777</v>
      </c>
      <c r="T31" s="13"/>
      <c r="U31" s="51"/>
      <c r="V31" s="9"/>
      <c r="W31" s="9"/>
    </row>
    <row r="32" spans="1:23" ht="15.75" hidden="1" x14ac:dyDescent="0.25">
      <c r="A32" s="94"/>
      <c r="B32" s="95"/>
      <c r="C32" s="63" t="s">
        <v>5</v>
      </c>
      <c r="D32" s="15">
        <f t="shared" si="2"/>
        <v>0.14583333333333334</v>
      </c>
      <c r="E32" s="15">
        <f t="shared" si="2"/>
        <v>0.11349693251533742</v>
      </c>
      <c r="F32" s="15">
        <f t="shared" si="2"/>
        <v>0.1036802532647408</v>
      </c>
      <c r="G32" s="15">
        <f t="shared" si="2"/>
        <v>0.12998266897746968</v>
      </c>
      <c r="H32" s="15">
        <f t="shared" si="2"/>
        <v>0.12195121951219512</v>
      </c>
      <c r="I32" s="15">
        <f t="shared" si="2"/>
        <v>0.10681520314547838</v>
      </c>
      <c r="J32" s="15">
        <f t="shared" si="2"/>
        <v>8.0960225935514232E-2</v>
      </c>
      <c r="K32" s="15">
        <f t="shared" si="2"/>
        <v>0.12742382271468145</v>
      </c>
      <c r="L32" s="15">
        <f t="shared" si="2"/>
        <v>0.15662650602409639</v>
      </c>
      <c r="M32" s="15">
        <f t="shared" si="2"/>
        <v>9.3010752688172049E-2</v>
      </c>
      <c r="N32" s="15">
        <f t="shared" si="2"/>
        <v>0.15538847117794485</v>
      </c>
      <c r="O32" s="15">
        <f t="shared" si="2"/>
        <v>0.10939226519337017</v>
      </c>
      <c r="P32" s="15">
        <f t="shared" si="2"/>
        <v>0.14563106796116504</v>
      </c>
      <c r="Q32" s="15">
        <f t="shared" si="2"/>
        <v>0.125</v>
      </c>
      <c r="R32" s="15">
        <f t="shared" si="2"/>
        <v>0.1291759465478842</v>
      </c>
      <c r="S32" s="15">
        <f t="shared" si="2"/>
        <v>0.10441267868241144</v>
      </c>
      <c r="T32" s="13"/>
      <c r="U32" s="51"/>
      <c r="V32" s="9"/>
      <c r="W32" s="9"/>
    </row>
    <row r="33" spans="1:23" ht="15.75" hidden="1" x14ac:dyDescent="0.25">
      <c r="A33" s="94"/>
      <c r="B33" s="95"/>
      <c r="C33" s="63" t="s">
        <v>6</v>
      </c>
      <c r="D33" s="15">
        <f t="shared" si="2"/>
        <v>7.0833333333333331E-2</v>
      </c>
      <c r="E33" s="15">
        <f t="shared" si="2"/>
        <v>6.1349693251533742E-2</v>
      </c>
      <c r="F33" s="15">
        <f t="shared" si="2"/>
        <v>4.7882865057380292E-2</v>
      </c>
      <c r="G33" s="15">
        <f t="shared" si="2"/>
        <v>9.0121317157712308E-2</v>
      </c>
      <c r="H33" s="15">
        <f t="shared" si="2"/>
        <v>7.7235772357723581E-2</v>
      </c>
      <c r="I33" s="15">
        <f t="shared" si="2"/>
        <v>6.2909567496723454E-2</v>
      </c>
      <c r="J33" s="15">
        <f t="shared" si="2"/>
        <v>3.4125676629795244E-2</v>
      </c>
      <c r="K33" s="15">
        <f t="shared" si="2"/>
        <v>0.10803324099722991</v>
      </c>
      <c r="L33" s="15">
        <f t="shared" si="2"/>
        <v>8.8353413654618476E-2</v>
      </c>
      <c r="M33" s="15">
        <f t="shared" si="2"/>
        <v>4.7311827956989246E-2</v>
      </c>
      <c r="N33" s="15">
        <f t="shared" si="2"/>
        <v>5.764411027568922E-2</v>
      </c>
      <c r="O33" s="15">
        <f t="shared" si="2"/>
        <v>7.12707182320442E-2</v>
      </c>
      <c r="P33" s="15">
        <f t="shared" si="2"/>
        <v>9.7087378640776698E-2</v>
      </c>
      <c r="Q33" s="15">
        <f t="shared" si="2"/>
        <v>6.2984496124031009E-2</v>
      </c>
      <c r="R33" s="15">
        <f t="shared" si="2"/>
        <v>0.11358574610244988</v>
      </c>
      <c r="S33" s="15">
        <f t="shared" si="2"/>
        <v>5.7355944242209002E-2</v>
      </c>
      <c r="T33" s="13"/>
      <c r="U33" s="51"/>
      <c r="V33" s="9"/>
      <c r="W33" s="9"/>
    </row>
    <row r="34" spans="1:23" ht="15.75" hidden="1" x14ac:dyDescent="0.25">
      <c r="A34" s="94"/>
      <c r="B34" s="95"/>
      <c r="C34" s="63" t="s">
        <v>7</v>
      </c>
      <c r="D34" s="15">
        <f t="shared" si="2"/>
        <v>4.3749999999999997E-2</v>
      </c>
      <c r="E34" s="15">
        <f t="shared" si="2"/>
        <v>3.4764826175869123E-2</v>
      </c>
      <c r="F34" s="15">
        <f t="shared" si="2"/>
        <v>2.7305104867431738E-2</v>
      </c>
      <c r="G34" s="15">
        <f t="shared" si="2"/>
        <v>4.6793760831889082E-2</v>
      </c>
      <c r="H34" s="15">
        <f t="shared" si="2"/>
        <v>3.048780487804878E-2</v>
      </c>
      <c r="I34" s="15">
        <f t="shared" si="2"/>
        <v>1.7693315858453473E-2</v>
      </c>
      <c r="J34" s="15">
        <f t="shared" si="2"/>
        <v>1.459166862791245E-2</v>
      </c>
      <c r="K34" s="15">
        <f t="shared" si="2"/>
        <v>4.4321329639889197E-2</v>
      </c>
      <c r="L34" s="15">
        <f t="shared" si="2"/>
        <v>4.4176706827309238E-2</v>
      </c>
      <c r="M34" s="15">
        <f t="shared" si="2"/>
        <v>1.1290322580645161E-2</v>
      </c>
      <c r="N34" s="15">
        <f t="shared" si="2"/>
        <v>2.0050125313283207E-2</v>
      </c>
      <c r="O34" s="15">
        <f t="shared" si="2"/>
        <v>2.8176795580110499E-2</v>
      </c>
      <c r="P34" s="15">
        <f t="shared" si="2"/>
        <v>0.11650485436893204</v>
      </c>
      <c r="Q34" s="15">
        <f t="shared" si="2"/>
        <v>2.5193798449612403E-2</v>
      </c>
      <c r="R34" s="15">
        <f t="shared" si="2"/>
        <v>3.7861915367483297E-2</v>
      </c>
      <c r="S34" s="15">
        <f t="shared" si="2"/>
        <v>3.0276125366243453E-2</v>
      </c>
      <c r="T34" s="13"/>
      <c r="U34" s="51"/>
      <c r="V34" s="9"/>
      <c r="W34" s="9"/>
    </row>
    <row r="35" spans="1:23" ht="15.75" hidden="1" x14ac:dyDescent="0.25">
      <c r="A35" s="94"/>
      <c r="B35" s="95"/>
      <c r="C35" s="63"/>
      <c r="D35" s="12"/>
      <c r="E35" s="12"/>
      <c r="F35" s="12"/>
      <c r="G35" s="12"/>
      <c r="H35" s="12"/>
      <c r="I35" s="12"/>
      <c r="J35" s="12"/>
      <c r="K35" s="12"/>
      <c r="L35" s="12"/>
      <c r="M35" s="12"/>
      <c r="N35" s="12"/>
      <c r="O35" s="12"/>
      <c r="P35" s="12"/>
      <c r="Q35" s="12"/>
      <c r="R35" s="12"/>
      <c r="S35" s="12"/>
      <c r="T35" s="13"/>
      <c r="U35" s="51"/>
      <c r="V35" s="9"/>
      <c r="W35" s="9"/>
    </row>
    <row r="36" spans="1:23" ht="15.75" hidden="1" x14ac:dyDescent="0.25">
      <c r="A36" s="94"/>
      <c r="B36" s="95"/>
      <c r="C36" s="63" t="s">
        <v>25</v>
      </c>
      <c r="D36" s="12"/>
      <c r="E36" s="12"/>
      <c r="F36" s="12"/>
      <c r="G36" s="12"/>
      <c r="H36" s="12"/>
      <c r="I36" s="12"/>
      <c r="J36" s="12"/>
      <c r="K36" s="12"/>
      <c r="L36" s="12"/>
      <c r="M36" s="12"/>
      <c r="N36" s="12"/>
      <c r="O36" s="12"/>
      <c r="P36" s="12"/>
      <c r="Q36" s="12"/>
      <c r="R36" s="12"/>
      <c r="S36" s="12"/>
      <c r="T36" s="13"/>
      <c r="U36" s="51"/>
      <c r="V36" s="9"/>
      <c r="W36" s="9"/>
    </row>
    <row r="37" spans="1:23" ht="15.75" hidden="1" x14ac:dyDescent="0.25">
      <c r="A37" s="94"/>
      <c r="B37" s="95"/>
      <c r="C37" s="63" t="s">
        <v>26</v>
      </c>
      <c r="D37" s="12"/>
      <c r="E37" s="12"/>
      <c r="F37" s="12"/>
      <c r="G37" s="12"/>
      <c r="H37" s="12"/>
      <c r="I37" s="12"/>
      <c r="J37" s="12"/>
      <c r="K37" s="12"/>
      <c r="L37" s="12"/>
      <c r="M37" s="12"/>
      <c r="N37" s="12"/>
      <c r="O37" s="12"/>
      <c r="P37" s="12"/>
      <c r="Q37" s="12"/>
      <c r="R37" s="12"/>
      <c r="S37" s="12"/>
      <c r="T37" s="13"/>
      <c r="U37" s="51"/>
      <c r="V37" s="9"/>
      <c r="W37" s="9"/>
    </row>
    <row r="38" spans="1:23" ht="15.75" hidden="1" x14ac:dyDescent="0.25">
      <c r="A38" s="94"/>
      <c r="B38" s="95"/>
      <c r="C38" s="63"/>
      <c r="D38" s="12"/>
      <c r="E38" s="12"/>
      <c r="F38" s="12"/>
      <c r="G38" s="12"/>
      <c r="H38" s="12"/>
      <c r="I38" s="12"/>
      <c r="J38" s="12"/>
      <c r="K38" s="12"/>
      <c r="L38" s="12"/>
      <c r="M38" s="12"/>
      <c r="N38" s="12"/>
      <c r="O38" s="12"/>
      <c r="P38" s="12"/>
      <c r="Q38" s="12"/>
      <c r="R38" s="12"/>
      <c r="S38" s="12"/>
      <c r="T38" s="13"/>
      <c r="U38" s="51"/>
      <c r="V38" s="9"/>
      <c r="W38" s="9"/>
    </row>
    <row r="39" spans="1:23" ht="15.75" hidden="1" x14ac:dyDescent="0.25">
      <c r="A39" s="94"/>
      <c r="B39" s="95"/>
      <c r="C39" s="63" t="s">
        <v>27</v>
      </c>
      <c r="D39" s="12"/>
      <c r="E39" s="12"/>
      <c r="F39" s="12"/>
      <c r="G39" s="12"/>
      <c r="H39" s="12"/>
      <c r="I39" s="12"/>
      <c r="J39" s="12"/>
      <c r="K39" s="12"/>
      <c r="L39" s="12"/>
      <c r="M39" s="12"/>
      <c r="N39" s="12"/>
      <c r="O39" s="12"/>
      <c r="P39" s="12"/>
      <c r="Q39" s="12"/>
      <c r="R39" s="12"/>
      <c r="S39" s="12"/>
      <c r="T39" s="13"/>
      <c r="U39" s="51"/>
      <c r="V39" s="9"/>
      <c r="W39" s="9"/>
    </row>
    <row r="40" spans="1:23" ht="15.75" hidden="1" x14ac:dyDescent="0.25">
      <c r="A40" s="94"/>
      <c r="B40" s="95"/>
      <c r="C40" s="63"/>
      <c r="D40" s="12"/>
      <c r="E40" s="12"/>
      <c r="F40" s="12"/>
      <c r="G40" s="12"/>
      <c r="H40" s="12"/>
      <c r="I40" s="12"/>
      <c r="J40" s="12"/>
      <c r="K40" s="12"/>
      <c r="L40" s="12"/>
      <c r="M40" s="12"/>
      <c r="N40" s="12"/>
      <c r="O40" s="12"/>
      <c r="P40" s="12"/>
      <c r="Q40" s="12"/>
      <c r="R40" s="12"/>
      <c r="S40" s="12"/>
      <c r="T40" s="13"/>
      <c r="U40" s="51"/>
      <c r="V40" s="9"/>
      <c r="W40" s="9"/>
    </row>
    <row r="41" spans="1:23" ht="15.75" hidden="1" x14ac:dyDescent="0.25">
      <c r="A41" s="94"/>
      <c r="B41" s="95"/>
      <c r="C41" s="62" t="s">
        <v>29</v>
      </c>
      <c r="D41" s="12"/>
      <c r="E41" s="12"/>
      <c r="F41" s="12"/>
      <c r="G41" s="12"/>
      <c r="H41" s="12"/>
      <c r="I41" s="12"/>
      <c r="J41" s="12"/>
      <c r="K41" s="12"/>
      <c r="L41" s="12"/>
      <c r="M41" s="12"/>
      <c r="N41" s="12"/>
      <c r="O41" s="12"/>
      <c r="P41" s="12"/>
      <c r="Q41" s="12"/>
      <c r="R41" s="12"/>
      <c r="S41" s="12"/>
      <c r="T41" s="13"/>
      <c r="U41" s="51"/>
      <c r="V41" s="9"/>
      <c r="W41" s="9"/>
    </row>
    <row r="42" spans="1:23" ht="15.75" hidden="1" x14ac:dyDescent="0.25">
      <c r="A42" s="94"/>
      <c r="B42" s="95"/>
      <c r="C42" s="63" t="s">
        <v>3</v>
      </c>
      <c r="D42" s="16">
        <f>$U18-D30</f>
        <v>3.7619026626697229E-2</v>
      </c>
      <c r="E42" s="16">
        <f t="shared" ref="E42:S42" si="3">$U18-E30</f>
        <v>4.5668793874334285E-3</v>
      </c>
      <c r="F42" s="16">
        <f t="shared" si="3"/>
        <v>-1.4315084968079192E-2</v>
      </c>
      <c r="G42" s="16">
        <f t="shared" si="3"/>
        <v>3.352457255390693E-2</v>
      </c>
      <c r="H42" s="16">
        <f t="shared" si="3"/>
        <v>-2.1167457310263538E-3</v>
      </c>
      <c r="I42" s="16">
        <f t="shared" si="3"/>
        <v>-1.4002860660327673E-2</v>
      </c>
      <c r="J42" s="16">
        <f t="shared" si="3"/>
        <v>-3.0317546684670155E-2</v>
      </c>
      <c r="K42" s="16">
        <f t="shared" si="3"/>
        <v>2.8027613884314954E-2</v>
      </c>
      <c r="L42" s="16">
        <f t="shared" si="3"/>
        <v>3.0942319799387989E-2</v>
      </c>
      <c r="M42" s="16">
        <f t="shared" si="3"/>
        <v>-8.2143067066361014E-3</v>
      </c>
      <c r="N42" s="16">
        <f t="shared" si="3"/>
        <v>9.9561193585268049E-3</v>
      </c>
      <c r="O42" s="16">
        <f t="shared" si="3"/>
        <v>5.3339126758120137E-4</v>
      </c>
      <c r="P42" s="16">
        <f t="shared" si="3"/>
        <v>6.5410288762619562E-2</v>
      </c>
      <c r="Q42" s="16">
        <f t="shared" si="3"/>
        <v>-5.3073299624500636E-3</v>
      </c>
      <c r="R42" s="16">
        <f t="shared" si="3"/>
        <v>1.0531053352755129E-2</v>
      </c>
      <c r="S42" s="16">
        <f t="shared" si="3"/>
        <v>1.1725614569518858E-2</v>
      </c>
      <c r="T42" s="13"/>
      <c r="U42" s="51"/>
      <c r="V42" s="9"/>
      <c r="W42" s="9"/>
    </row>
    <row r="43" spans="1:23" ht="15.75" hidden="1" x14ac:dyDescent="0.25">
      <c r="A43" s="94"/>
      <c r="B43" s="95"/>
      <c r="C43" s="63" t="s">
        <v>4</v>
      </c>
      <c r="D43" s="16">
        <f t="shared" ref="D43:S46" si="4">$U19-D31</f>
        <v>3.3836257567742334E-2</v>
      </c>
      <c r="E43" s="16">
        <f t="shared" si="4"/>
        <v>1.6083190083079679E-2</v>
      </c>
      <c r="F43" s="16">
        <f t="shared" si="4"/>
        <v>4.2219256854049148E-3</v>
      </c>
      <c r="G43" s="16">
        <f t="shared" si="4"/>
        <v>4.4411791940936918E-2</v>
      </c>
      <c r="H43" s="16">
        <f t="shared" si="4"/>
        <v>4.2830160006766649E-2</v>
      </c>
      <c r="I43" s="16">
        <f t="shared" si="4"/>
        <v>1.2459564688755864E-2</v>
      </c>
      <c r="J43" s="16">
        <f t="shared" si="4"/>
        <v>-2.8966264594335045E-2</v>
      </c>
      <c r="K43" s="16">
        <f t="shared" si="4"/>
        <v>6.2789396995258429E-2</v>
      </c>
      <c r="L43" s="16">
        <f t="shared" si="4"/>
        <v>6.9252924234408986E-2</v>
      </c>
      <c r="M43" s="16">
        <f t="shared" si="4"/>
        <v>-2.9134172539784564E-2</v>
      </c>
      <c r="N43" s="16">
        <f t="shared" si="4"/>
        <v>3.4165204936163374E-2</v>
      </c>
      <c r="O43" s="16">
        <f t="shared" si="4"/>
        <v>1.9345005265716475E-2</v>
      </c>
      <c r="P43" s="16">
        <f t="shared" si="4"/>
        <v>0.10485162973602702</v>
      </c>
      <c r="Q43" s="16">
        <f t="shared" si="4"/>
        <v>2.9524242063866279E-2</v>
      </c>
      <c r="R43" s="16">
        <f t="shared" si="4"/>
        <v>8.1131172192835055E-2</v>
      </c>
      <c r="S43" s="16">
        <f t="shared" si="4"/>
        <v>-8.6422487508821533E-3</v>
      </c>
      <c r="T43" s="13"/>
      <c r="U43" s="51"/>
      <c r="V43" s="9"/>
      <c r="W43" s="9"/>
    </row>
    <row r="44" spans="1:23" ht="15.75" hidden="1" x14ac:dyDescent="0.25">
      <c r="A44" s="94"/>
      <c r="B44" s="95"/>
      <c r="C44" s="63" t="s">
        <v>5</v>
      </c>
      <c r="D44" s="16">
        <f t="shared" si="4"/>
        <v>-4.0701963204608255E-2</v>
      </c>
      <c r="E44" s="16">
        <f t="shared" si="4"/>
        <v>-8.3655623866123324E-3</v>
      </c>
      <c r="F44" s="16">
        <f t="shared" si="4"/>
        <v>1.4511168639842892E-3</v>
      </c>
      <c r="G44" s="16">
        <f t="shared" si="4"/>
        <v>-2.4851298848744596E-2</v>
      </c>
      <c r="H44" s="16">
        <f t="shared" si="4"/>
        <v>-1.6819849383470031E-2</v>
      </c>
      <c r="I44" s="16">
        <f t="shared" si="4"/>
        <v>-1.6838330167532889E-3</v>
      </c>
      <c r="J44" s="16">
        <f t="shared" si="4"/>
        <v>2.4171144193210856E-2</v>
      </c>
      <c r="K44" s="16">
        <f t="shared" si="4"/>
        <v>-2.2292452585956357E-2</v>
      </c>
      <c r="L44" s="16">
        <f t="shared" si="4"/>
        <v>-5.1495135895371302E-2</v>
      </c>
      <c r="M44" s="16">
        <f t="shared" si="4"/>
        <v>1.2120617440553039E-2</v>
      </c>
      <c r="N44" s="16">
        <f t="shared" si="4"/>
        <v>-5.0257101049219766E-2</v>
      </c>
      <c r="O44" s="16">
        <f t="shared" si="4"/>
        <v>-4.2608950646450816E-3</v>
      </c>
      <c r="P44" s="16">
        <f t="shared" si="4"/>
        <v>-4.0499697832439951E-2</v>
      </c>
      <c r="Q44" s="16">
        <f t="shared" si="4"/>
        <v>-1.9868629871274912E-2</v>
      </c>
      <c r="R44" s="16">
        <f t="shared" si="4"/>
        <v>-2.4044576419159108E-2</v>
      </c>
      <c r="S44" s="16">
        <f t="shared" si="4"/>
        <v>7.1869144631364623E-4</v>
      </c>
      <c r="T44" s="13"/>
      <c r="U44" s="51"/>
      <c r="V44" s="9"/>
      <c r="W44" s="9"/>
    </row>
    <row r="45" spans="1:23" ht="15.75" hidden="1" x14ac:dyDescent="0.25">
      <c r="A45" s="94"/>
      <c r="B45" s="95"/>
      <c r="C45" s="63" t="s">
        <v>6</v>
      </c>
      <c r="D45" s="16">
        <f t="shared" si="4"/>
        <v>-1.3735819667313229E-2</v>
      </c>
      <c r="E45" s="16">
        <f t="shared" si="4"/>
        <v>-4.2521795855136393E-3</v>
      </c>
      <c r="F45" s="16">
        <f t="shared" si="4"/>
        <v>9.2146486086398111E-3</v>
      </c>
      <c r="G45" s="16">
        <f t="shared" si="4"/>
        <v>-3.3023803491692205E-2</v>
      </c>
      <c r="H45" s="16">
        <f t="shared" si="4"/>
        <v>-2.0138258691703478E-2</v>
      </c>
      <c r="I45" s="16">
        <f t="shared" si="4"/>
        <v>-5.8120538307033509E-3</v>
      </c>
      <c r="J45" s="16">
        <f t="shared" si="4"/>
        <v>2.2971837036224858E-2</v>
      </c>
      <c r="K45" s="16">
        <f t="shared" si="4"/>
        <v>-5.093572733120981E-2</v>
      </c>
      <c r="L45" s="16">
        <f t="shared" si="4"/>
        <v>-3.1255899988598373E-2</v>
      </c>
      <c r="M45" s="16">
        <f t="shared" si="4"/>
        <v>9.7856857090308572E-3</v>
      </c>
      <c r="N45" s="16">
        <f t="shared" si="4"/>
        <v>-5.4659660966911716E-4</v>
      </c>
      <c r="O45" s="16">
        <f t="shared" si="4"/>
        <v>-1.4173204566024097E-2</v>
      </c>
      <c r="P45" s="16">
        <f t="shared" si="4"/>
        <v>-3.9989864974756595E-2</v>
      </c>
      <c r="Q45" s="16">
        <f t="shared" si="4"/>
        <v>-5.8869824580109059E-3</v>
      </c>
      <c r="R45" s="16">
        <f t="shared" si="4"/>
        <v>-5.6488232436429781E-2</v>
      </c>
      <c r="S45" s="16">
        <f t="shared" si="4"/>
        <v>-2.5843057618889914E-4</v>
      </c>
      <c r="T45" s="13"/>
      <c r="U45" s="51"/>
      <c r="V45" s="9"/>
      <c r="W45" s="9"/>
    </row>
    <row r="46" spans="1:23" ht="15.75" hidden="1" x14ac:dyDescent="0.25">
      <c r="A46" s="94"/>
      <c r="B46" s="95"/>
      <c r="C46" s="63" t="s">
        <v>7</v>
      </c>
      <c r="D46" s="16">
        <f t="shared" si="4"/>
        <v>-1.7017501322518072E-2</v>
      </c>
      <c r="E46" s="16">
        <f t="shared" si="4"/>
        <v>-8.0323274983871984E-3</v>
      </c>
      <c r="F46" s="16">
        <f t="shared" si="4"/>
        <v>-5.7260618994981263E-4</v>
      </c>
      <c r="G46" s="16">
        <f t="shared" si="4"/>
        <v>-2.0061262154407157E-2</v>
      </c>
      <c r="H46" s="16">
        <f t="shared" si="4"/>
        <v>-3.7553062005668547E-3</v>
      </c>
      <c r="I46" s="16">
        <f t="shared" si="4"/>
        <v>9.0391828190284525E-3</v>
      </c>
      <c r="J46" s="16">
        <f t="shared" si="4"/>
        <v>1.2140830049569475E-2</v>
      </c>
      <c r="K46" s="16">
        <f t="shared" si="4"/>
        <v>-1.7588830962407272E-2</v>
      </c>
      <c r="L46" s="16">
        <f t="shared" si="4"/>
        <v>-1.7444208149827313E-2</v>
      </c>
      <c r="M46" s="16">
        <f t="shared" si="4"/>
        <v>1.5442176096836764E-2</v>
      </c>
      <c r="N46" s="16">
        <f t="shared" si="4"/>
        <v>6.6823733641987182E-3</v>
      </c>
      <c r="O46" s="16">
        <f t="shared" si="4"/>
        <v>-1.4442969026285737E-3</v>
      </c>
      <c r="P46" s="16">
        <f t="shared" si="4"/>
        <v>-8.9772355691450118E-2</v>
      </c>
      <c r="Q46" s="16">
        <f t="shared" si="4"/>
        <v>1.5387002278695223E-3</v>
      </c>
      <c r="R46" s="16">
        <f t="shared" si="4"/>
        <v>-1.1129416690001372E-2</v>
      </c>
      <c r="S46" s="16">
        <f t="shared" si="4"/>
        <v>-3.5436266887615281E-3</v>
      </c>
      <c r="T46" s="13"/>
      <c r="U46" s="51"/>
      <c r="V46" s="9"/>
      <c r="W46" s="9"/>
    </row>
    <row r="47" spans="1:23" ht="15.75" hidden="1" x14ac:dyDescent="0.25">
      <c r="A47" s="94"/>
      <c r="B47" s="95"/>
      <c r="C47" s="63"/>
      <c r="D47" s="17"/>
      <c r="E47" s="17"/>
      <c r="F47" s="17"/>
      <c r="G47" s="17"/>
      <c r="H47" s="17"/>
      <c r="I47" s="17"/>
      <c r="J47" s="17"/>
      <c r="K47" s="17"/>
      <c r="L47" s="17"/>
      <c r="M47" s="17"/>
      <c r="N47" s="17"/>
      <c r="O47" s="17"/>
      <c r="P47" s="17"/>
      <c r="Q47" s="17"/>
      <c r="R47" s="17"/>
      <c r="S47" s="17"/>
      <c r="T47" s="13"/>
      <c r="U47" s="51"/>
      <c r="V47" s="9"/>
      <c r="W47" s="9"/>
    </row>
    <row r="48" spans="1:23" ht="15.75" hidden="1" x14ac:dyDescent="0.25">
      <c r="A48" s="94"/>
      <c r="B48" s="95"/>
      <c r="C48" s="63" t="s">
        <v>30</v>
      </c>
      <c r="D48" s="17"/>
      <c r="E48" s="17"/>
      <c r="F48" s="17"/>
      <c r="G48" s="17"/>
      <c r="H48" s="17"/>
      <c r="I48" s="17"/>
      <c r="J48" s="17"/>
      <c r="K48" s="17"/>
      <c r="L48" s="17"/>
      <c r="M48" s="17"/>
      <c r="N48" s="17"/>
      <c r="O48" s="17"/>
      <c r="P48" s="17"/>
      <c r="Q48" s="17"/>
      <c r="R48" s="17"/>
      <c r="S48" s="17"/>
      <c r="T48" s="13"/>
      <c r="U48" s="51"/>
      <c r="V48" s="9"/>
      <c r="W48" s="9"/>
    </row>
    <row r="49" spans="1:23" ht="15.75" hidden="1" x14ac:dyDescent="0.25">
      <c r="A49" s="94"/>
      <c r="B49" s="95"/>
      <c r="C49" s="63" t="s">
        <v>3</v>
      </c>
      <c r="D49" s="16">
        <f>IF(D42&gt;0,-1*((D$27*$U18)-D18),(D18-(D$27*$U18)))</f>
        <v>-18.057132780814669</v>
      </c>
      <c r="E49" s="16">
        <f t="shared" ref="E49:S49" si="5">IF(E42&gt;0,-1*((E$27*$U18)-E18),(E18-(E$27*$U18)))</f>
        <v>-4.466408040909883</v>
      </c>
      <c r="F49" s="16">
        <f t="shared" si="5"/>
        <v>36.174219714336118</v>
      </c>
      <c r="G49" s="16">
        <f t="shared" si="5"/>
        <v>-19.343678363604297</v>
      </c>
      <c r="H49" s="16">
        <f t="shared" si="5"/>
        <v>1.0414388996649677</v>
      </c>
      <c r="I49" s="16">
        <f t="shared" si="5"/>
        <v>21.368365367660033</v>
      </c>
      <c r="J49" s="16">
        <f t="shared" si="5"/>
        <v>128.81925586316351</v>
      </c>
      <c r="K49" s="16">
        <f t="shared" si="5"/>
        <v>-10.1179686122377</v>
      </c>
      <c r="L49" s="16">
        <f t="shared" si="5"/>
        <v>-7.7046376300476105</v>
      </c>
      <c r="M49" s="16">
        <f t="shared" si="5"/>
        <v>15.278610474343168</v>
      </c>
      <c r="N49" s="16">
        <f t="shared" si="5"/>
        <v>-3.9724916240521928</v>
      </c>
      <c r="O49" s="16">
        <f t="shared" si="5"/>
        <v>-0.9654381943219903</v>
      </c>
      <c r="P49" s="16">
        <f t="shared" si="5"/>
        <v>-6.7372597425498144</v>
      </c>
      <c r="Q49" s="16">
        <f t="shared" si="5"/>
        <v>5.4771645212484543</v>
      </c>
      <c r="R49" s="16">
        <f t="shared" si="5"/>
        <v>-4.7284429553870524</v>
      </c>
      <c r="S49" s="16">
        <f t="shared" si="5"/>
        <v>-132.06559689649089</v>
      </c>
      <c r="T49" s="13"/>
      <c r="U49" s="51"/>
      <c r="V49" s="9"/>
      <c r="W49" s="9"/>
    </row>
    <row r="50" spans="1:23" ht="15.75" hidden="1" x14ac:dyDescent="0.25">
      <c r="A50" s="94"/>
      <c r="B50" s="95"/>
      <c r="C50" s="63" t="s">
        <v>4</v>
      </c>
      <c r="D50" s="16">
        <f t="shared" ref="D50:S53" si="6">IF(D43&gt;0,-1*((D$27*$U19)-D19),(D19-(D$27*$U19)))</f>
        <v>-16.241403632516267</v>
      </c>
      <c r="E50" s="16">
        <f t="shared" si="6"/>
        <v>-15.729359901251996</v>
      </c>
      <c r="F50" s="16">
        <f t="shared" si="6"/>
        <v>-10.668806207018179</v>
      </c>
      <c r="G50" s="16">
        <f t="shared" si="6"/>
        <v>-25.625603949920617</v>
      </c>
      <c r="H50" s="16">
        <f t="shared" si="6"/>
        <v>-21.072438723329185</v>
      </c>
      <c r="I50" s="16">
        <f t="shared" si="6"/>
        <v>-19.013295715041295</v>
      </c>
      <c r="J50" s="16">
        <f t="shared" si="6"/>
        <v>123.07765826132982</v>
      </c>
      <c r="K50" s="16">
        <f t="shared" si="6"/>
        <v>-22.666972315288319</v>
      </c>
      <c r="L50" s="16">
        <f t="shared" si="6"/>
        <v>-17.243978134367836</v>
      </c>
      <c r="M50" s="16">
        <f t="shared" si="6"/>
        <v>54.189560923999352</v>
      </c>
      <c r="N50" s="16">
        <f t="shared" si="6"/>
        <v>-13.631916769529198</v>
      </c>
      <c r="O50" s="16">
        <f t="shared" si="6"/>
        <v>-35.014459530946851</v>
      </c>
      <c r="P50" s="16">
        <f t="shared" si="6"/>
        <v>-10.799717862810795</v>
      </c>
      <c r="Q50" s="16">
        <f t="shared" si="6"/>
        <v>-30.469017809910042</v>
      </c>
      <c r="R50" s="16">
        <f t="shared" si="6"/>
        <v>-36.427896314582938</v>
      </c>
      <c r="S50" s="16">
        <f t="shared" si="6"/>
        <v>97.337647681184535</v>
      </c>
      <c r="T50" s="13"/>
      <c r="U50" s="51"/>
      <c r="V50" s="9"/>
      <c r="W50" s="9"/>
    </row>
    <row r="51" spans="1:23" ht="15.75" hidden="1" x14ac:dyDescent="0.25">
      <c r="A51" s="94"/>
      <c r="B51" s="95"/>
      <c r="C51" s="63" t="s">
        <v>5</v>
      </c>
      <c r="D51" s="16">
        <f t="shared" si="6"/>
        <v>19.536942338211958</v>
      </c>
      <c r="E51" s="16">
        <f t="shared" si="6"/>
        <v>8.1815200141068658</v>
      </c>
      <c r="F51" s="16">
        <f t="shared" si="6"/>
        <v>-3.6669723152883194</v>
      </c>
      <c r="G51" s="16">
        <f t="shared" si="6"/>
        <v>14.339199435725625</v>
      </c>
      <c r="H51" s="16">
        <f t="shared" si="6"/>
        <v>8.2753658966672532</v>
      </c>
      <c r="I51" s="16">
        <f t="shared" si="6"/>
        <v>2.5695291835655212</v>
      </c>
      <c r="J51" s="16">
        <f t="shared" si="6"/>
        <v>-102.70319167695288</v>
      </c>
      <c r="K51" s="16">
        <f t="shared" si="6"/>
        <v>8.0475753835302442</v>
      </c>
      <c r="L51" s="16">
        <f t="shared" si="6"/>
        <v>12.822288837947454</v>
      </c>
      <c r="M51" s="16">
        <f t="shared" si="6"/>
        <v>-22.54434843942866</v>
      </c>
      <c r="N51" s="16">
        <f t="shared" si="6"/>
        <v>20.052583318638689</v>
      </c>
      <c r="O51" s="16">
        <f t="shared" si="6"/>
        <v>7.7122200670075927</v>
      </c>
      <c r="P51" s="16">
        <f t="shared" si="6"/>
        <v>4.1714688767413151</v>
      </c>
      <c r="Q51" s="16">
        <f t="shared" si="6"/>
        <v>20.504426027155716</v>
      </c>
      <c r="R51" s="16">
        <f t="shared" si="6"/>
        <v>10.796014812202436</v>
      </c>
      <c r="S51" s="16">
        <f t="shared" si="6"/>
        <v>-8.0946217598307157</v>
      </c>
      <c r="T51" s="13"/>
      <c r="U51" s="51"/>
      <c r="V51" s="9"/>
      <c r="W51" s="9"/>
    </row>
    <row r="52" spans="1:23" ht="15.75" hidden="1" x14ac:dyDescent="0.25">
      <c r="A52" s="94"/>
      <c r="B52" s="95"/>
      <c r="C52" s="63" t="s">
        <v>6</v>
      </c>
      <c r="D52" s="16">
        <f t="shared" si="6"/>
        <v>6.5931934403103511</v>
      </c>
      <c r="E52" s="16">
        <f t="shared" si="6"/>
        <v>4.1586316346323429</v>
      </c>
      <c r="F52" s="16">
        <f t="shared" si="6"/>
        <v>-23.285417034032804</v>
      </c>
      <c r="G52" s="16">
        <f t="shared" si="6"/>
        <v>19.054734614706398</v>
      </c>
      <c r="H52" s="16">
        <f t="shared" si="6"/>
        <v>9.908023276318108</v>
      </c>
      <c r="I52" s="16">
        <f t="shared" si="6"/>
        <v>8.8691941456533243</v>
      </c>
      <c r="J52" s="16">
        <f t="shared" si="6"/>
        <v>-97.607335566919403</v>
      </c>
      <c r="K52" s="16">
        <f t="shared" si="6"/>
        <v>18.387797566566743</v>
      </c>
      <c r="L52" s="16">
        <f t="shared" si="6"/>
        <v>7.7827190971609941</v>
      </c>
      <c r="M52" s="16">
        <f t="shared" si="6"/>
        <v>-18.201375418797397</v>
      </c>
      <c r="N52" s="16">
        <f t="shared" si="6"/>
        <v>0.21809204725797926</v>
      </c>
      <c r="O52" s="16">
        <f t="shared" si="6"/>
        <v>25.65350026450362</v>
      </c>
      <c r="P52" s="16">
        <f t="shared" si="6"/>
        <v>4.1189560923999293</v>
      </c>
      <c r="Q52" s="16">
        <f t="shared" si="6"/>
        <v>6.0753658966672575</v>
      </c>
      <c r="R52" s="16">
        <f t="shared" si="6"/>
        <v>25.363216363956973</v>
      </c>
      <c r="S52" s="16">
        <f t="shared" si="6"/>
        <v>2.9107035796155287</v>
      </c>
      <c r="T52" s="13"/>
      <c r="U52" s="51"/>
      <c r="V52" s="9"/>
      <c r="W52" s="9"/>
    </row>
    <row r="53" spans="1:23" ht="16.5" hidden="1" thickBot="1" x14ac:dyDescent="0.3">
      <c r="A53" s="94"/>
      <c r="B53" s="95"/>
      <c r="C53" s="63" t="s">
        <v>7</v>
      </c>
      <c r="D53" s="16">
        <f t="shared" si="6"/>
        <v>8.1684006348086768</v>
      </c>
      <c r="E53" s="16">
        <f t="shared" si="6"/>
        <v>7.8556162934226776</v>
      </c>
      <c r="F53" s="16">
        <f t="shared" si="6"/>
        <v>1.4469758420031695</v>
      </c>
      <c r="G53" s="16">
        <f t="shared" si="6"/>
        <v>11.575348263092929</v>
      </c>
      <c r="H53" s="16">
        <f t="shared" si="6"/>
        <v>1.8476106506788934</v>
      </c>
      <c r="I53" s="16">
        <f t="shared" si="6"/>
        <v>-13.79379298183742</v>
      </c>
      <c r="J53" s="16">
        <f t="shared" si="6"/>
        <v>-51.586386880620694</v>
      </c>
      <c r="K53" s="16">
        <f t="shared" si="6"/>
        <v>6.3495679774290252</v>
      </c>
      <c r="L53" s="16">
        <f t="shared" si="6"/>
        <v>4.3436078293070004</v>
      </c>
      <c r="M53" s="16">
        <f t="shared" si="6"/>
        <v>-28.722447540116377</v>
      </c>
      <c r="N53" s="16">
        <f t="shared" si="6"/>
        <v>-2.6662669723152881</v>
      </c>
      <c r="O53" s="16">
        <f t="shared" si="6"/>
        <v>2.6141773937577142</v>
      </c>
      <c r="P53" s="16">
        <f t="shared" si="6"/>
        <v>9.2465526362193611</v>
      </c>
      <c r="Q53" s="16">
        <f t="shared" si="6"/>
        <v>-1.5879386351613469</v>
      </c>
      <c r="R53" s="16">
        <f t="shared" si="6"/>
        <v>4.9971080938106152</v>
      </c>
      <c r="S53" s="16">
        <f t="shared" si="6"/>
        <v>39.911867395521085</v>
      </c>
      <c r="T53" s="13"/>
      <c r="U53" s="51"/>
      <c r="V53" s="9"/>
      <c r="W53" s="9"/>
    </row>
    <row r="54" spans="1:23" ht="21.75" hidden="1" customHeight="1" x14ac:dyDescent="0.2">
      <c r="A54" s="94"/>
      <c r="B54" s="95"/>
      <c r="C54" s="67"/>
      <c r="D54" s="67"/>
      <c r="E54" s="68"/>
      <c r="F54" s="68"/>
      <c r="G54" s="68"/>
      <c r="H54" s="68"/>
      <c r="I54" s="68"/>
      <c r="J54" s="68"/>
      <c r="K54" s="68"/>
      <c r="L54" s="68"/>
      <c r="M54" s="68"/>
      <c r="N54" s="68"/>
      <c r="O54" s="68"/>
      <c r="P54" s="68"/>
      <c r="Q54" s="68"/>
      <c r="R54" s="68"/>
      <c r="S54" s="68"/>
      <c r="T54" s="76"/>
      <c r="U54" s="69"/>
      <c r="V54" s="9"/>
      <c r="W54" s="9"/>
    </row>
    <row r="55" spans="1:23" ht="21.75" customHeight="1" x14ac:dyDescent="0.25">
      <c r="B55" s="7"/>
      <c r="C55" s="70" t="s">
        <v>31</v>
      </c>
      <c r="D55" s="77" t="s">
        <v>50</v>
      </c>
      <c r="E55" s="65"/>
      <c r="F55" s="65"/>
      <c r="G55" s="65"/>
      <c r="H55" s="97" t="s">
        <v>94</v>
      </c>
      <c r="I55" s="65"/>
      <c r="J55" s="65"/>
      <c r="K55" s="65"/>
      <c r="L55" s="65"/>
      <c r="M55" s="65"/>
      <c r="N55" s="97" t="s">
        <v>94</v>
      </c>
      <c r="O55" s="65"/>
      <c r="P55" s="65"/>
      <c r="Q55" s="65"/>
      <c r="R55" s="65"/>
      <c r="S55" s="65"/>
      <c r="T55" s="78"/>
      <c r="U55" s="71"/>
      <c r="V55" s="9"/>
      <c r="W55" s="9"/>
    </row>
    <row r="56" spans="1:23" ht="21.75" customHeight="1" x14ac:dyDescent="0.25">
      <c r="B56" s="7"/>
      <c r="C56" s="70" t="s">
        <v>3</v>
      </c>
      <c r="D56" s="79">
        <f>Kontrollpanel!$G$31*$L7*D18</f>
        <v>26906.040000000005</v>
      </c>
      <c r="E56" s="79">
        <f>Kontrollpanel!$G$31*$L7*E18</f>
        <v>103139.82</v>
      </c>
      <c r="F56" s="79">
        <f>Kontrollpanel!$G$31*$L7*F18</f>
        <v>337820.28</v>
      </c>
      <c r="G56" s="79">
        <f>Kontrollpanel!$G$31*$L7*G18</f>
        <v>35874.720000000001</v>
      </c>
      <c r="H56" s="79">
        <f>Kontrollpanel!$G$31*$L7*H18</f>
        <v>56801.640000000007</v>
      </c>
      <c r="I56" s="79">
        <f>Kontrollpanel!$G$31*$L7*I18</f>
        <v>203290.08000000002</v>
      </c>
      <c r="J56" s="79">
        <f>Kontrollpanel!$G$31*$L7*J18</f>
        <v>669661.44000000006</v>
      </c>
      <c r="K56" s="79">
        <f>Kontrollpanel!$G$31*$L7*K18</f>
        <v>25411.260000000002</v>
      </c>
      <c r="L56" s="79">
        <f>Kontrollpanel!$G$31*$L7*L18</f>
        <v>16442.580000000002</v>
      </c>
      <c r="M56" s="79">
        <f>Kontrollpanel!$G$31*$L7*M18</f>
        <v>231690.90000000002</v>
      </c>
      <c r="N56" s="79">
        <f>Kontrollpanel!$G$31*$L7*N18</f>
        <v>38864.280000000006</v>
      </c>
      <c r="O56" s="79">
        <f>Kontrollpanel!$G$31*$L7*O18</f>
        <v>201795.30000000002</v>
      </c>
      <c r="P56" s="79">
        <f>Kontrollpanel!$G$31*$L7*P18</f>
        <v>1494.7800000000002</v>
      </c>
      <c r="Q56" s="79">
        <f>Kontrollpanel!$G$31*$L7*Q18</f>
        <v>124066.74000000002</v>
      </c>
      <c r="R56" s="79">
        <f>Kontrollpanel!$G$31*$L7*R18</f>
        <v>43348.62</v>
      </c>
      <c r="S56" s="79">
        <f>Kontrollpanel!$G$31*$L7*S18</f>
        <v>1067272.9200000002</v>
      </c>
      <c r="T56" s="78"/>
      <c r="U56" s="71"/>
      <c r="V56" s="9"/>
      <c r="W56" s="9"/>
    </row>
    <row r="57" spans="1:23" ht="21.75" customHeight="1" x14ac:dyDescent="0.25">
      <c r="B57" s="7"/>
      <c r="C57" s="70" t="s">
        <v>4</v>
      </c>
      <c r="D57" s="79">
        <f>Kontrollpanel!$G$31*$L8*D19</f>
        <v>0</v>
      </c>
      <c r="E57" s="79">
        <f>Kontrollpanel!$G$31*$L8*E19</f>
        <v>0</v>
      </c>
      <c r="F57" s="79">
        <f>Kontrollpanel!$G$31*$L8*F19</f>
        <v>0</v>
      </c>
      <c r="G57" s="79">
        <f>Kontrollpanel!$G$31*$L8*G19</f>
        <v>0</v>
      </c>
      <c r="H57" s="79">
        <f>Kontrollpanel!$G$31*$L8*H19</f>
        <v>0</v>
      </c>
      <c r="I57" s="79">
        <f>Kontrollpanel!$G$31*$L8*I19</f>
        <v>0</v>
      </c>
      <c r="J57" s="79">
        <f>Kontrollpanel!$G$31*$L8*J19</f>
        <v>0</v>
      </c>
      <c r="K57" s="79">
        <f>Kontrollpanel!$G$31*$L8*K19</f>
        <v>0</v>
      </c>
      <c r="L57" s="79">
        <f>Kontrollpanel!$G$31*$L8*L19</f>
        <v>0</v>
      </c>
      <c r="M57" s="79">
        <f>Kontrollpanel!$G$31*$L8*M19</f>
        <v>0</v>
      </c>
      <c r="N57" s="79">
        <f>Kontrollpanel!$G$31*$L8*N19</f>
        <v>0</v>
      </c>
      <c r="O57" s="79">
        <f>Kontrollpanel!$G$31*$L8*O19</f>
        <v>0</v>
      </c>
      <c r="P57" s="79">
        <f>Kontrollpanel!$G$31*$L8*P19</f>
        <v>0</v>
      </c>
      <c r="Q57" s="79">
        <f>Kontrollpanel!$G$31*$L8*Q19</f>
        <v>0</v>
      </c>
      <c r="R57" s="79">
        <f>Kontrollpanel!$G$31*$L8*R19</f>
        <v>0</v>
      </c>
      <c r="S57" s="79">
        <f>Kontrollpanel!$G$31*$L8*S19</f>
        <v>0</v>
      </c>
      <c r="T57" s="71"/>
      <c r="U57" s="71"/>
      <c r="V57" s="9"/>
      <c r="W57" s="9"/>
    </row>
    <row r="58" spans="1:23" ht="21.75" customHeight="1" x14ac:dyDescent="0.25">
      <c r="B58" s="7"/>
      <c r="C58" s="70" t="s">
        <v>5</v>
      </c>
      <c r="D58" s="79">
        <f>Kontrollpanel!$G$31*$L9*D20</f>
        <v>13563.2</v>
      </c>
      <c r="E58" s="79">
        <f>Kontrollpanel!$G$31*$L9*E20</f>
        <v>21507.360000000001</v>
      </c>
      <c r="F58" s="79">
        <f>Kontrollpanel!$G$31*$L9*F20</f>
        <v>50765.120000000003</v>
      </c>
      <c r="G58" s="79">
        <f>Kontrollpanel!$G$31*$L9*G20</f>
        <v>14532.000000000002</v>
      </c>
      <c r="H58" s="79">
        <f>Kontrollpanel!$G$31*$L9*H20</f>
        <v>11625.6</v>
      </c>
      <c r="I58" s="79">
        <f>Kontrollpanel!$G$31*$L9*I20</f>
        <v>31582.880000000005</v>
      </c>
      <c r="J58" s="79">
        <f>Kontrollpanel!$G$31*$L9*J20</f>
        <v>66653.440000000002</v>
      </c>
      <c r="K58" s="79">
        <f>Kontrollpanel!$G$31*$L9*K20</f>
        <v>8912.9600000000009</v>
      </c>
      <c r="L58" s="79">
        <f>Kontrollpanel!$G$31*$L9*L20</f>
        <v>7556.64</v>
      </c>
      <c r="M58" s="79">
        <f>Kontrollpanel!$G$31*$L9*M20</f>
        <v>33520.480000000003</v>
      </c>
      <c r="N58" s="79">
        <f>Kontrollpanel!$G$31*$L9*N20</f>
        <v>12013.12</v>
      </c>
      <c r="O58" s="79">
        <f>Kontrollpanel!$G$31*$L9*O20</f>
        <v>38364.480000000003</v>
      </c>
      <c r="P58" s="79">
        <f>Kontrollpanel!$G$31*$L9*P20</f>
        <v>2906.4</v>
      </c>
      <c r="Q58" s="79">
        <f>Kontrollpanel!$G$31*$L9*Q20</f>
        <v>24995.040000000001</v>
      </c>
      <c r="R58" s="79">
        <f>Kontrollpanel!$G$31*$L9*R20</f>
        <v>11238.080000000002</v>
      </c>
      <c r="S58" s="79">
        <f>Kontrollpanel!$G$31*$L9*S20</f>
        <v>227861.76000000001</v>
      </c>
      <c r="T58" s="78"/>
      <c r="U58" s="71"/>
      <c r="V58" s="9"/>
      <c r="W58" s="9"/>
    </row>
    <row r="59" spans="1:23" ht="15.75" x14ac:dyDescent="0.25">
      <c r="B59" s="7"/>
      <c r="C59" s="70" t="s">
        <v>6</v>
      </c>
      <c r="D59" s="79">
        <f>Kontrollpanel!$G$31*$L10*D21</f>
        <v>31254.160000000003</v>
      </c>
      <c r="E59" s="79">
        <f>Kontrollpanel!$G$31*$L10*E21</f>
        <v>55154.400000000009</v>
      </c>
      <c r="F59" s="79">
        <f>Kontrollpanel!$G$31*$L10*F21</f>
        <v>111228.04000000001</v>
      </c>
      <c r="G59" s="79">
        <f>Kontrollpanel!$G$31*$L10*G21</f>
        <v>47800.480000000003</v>
      </c>
      <c r="H59" s="79">
        <f>Kontrollpanel!$G$31*$L10*H21</f>
        <v>34931.120000000003</v>
      </c>
      <c r="I59" s="79">
        <f>Kontrollpanel!$G$31*$L10*I21</f>
        <v>88247.040000000008</v>
      </c>
      <c r="J59" s="79">
        <f>Kontrollpanel!$G$31*$L10*J21</f>
        <v>133289.80000000002</v>
      </c>
      <c r="K59" s="79">
        <f>Kontrollpanel!$G$31*$L10*K21</f>
        <v>35850.360000000008</v>
      </c>
      <c r="L59" s="79">
        <f>Kontrollpanel!$G$31*$L10*L21</f>
        <v>20223.280000000002</v>
      </c>
      <c r="M59" s="79">
        <f>Kontrollpanel!$G$31*$L10*M21</f>
        <v>80893.12000000001</v>
      </c>
      <c r="N59" s="79">
        <f>Kontrollpanel!$G$31*$L10*N21</f>
        <v>21142.520000000004</v>
      </c>
      <c r="O59" s="79">
        <f>Kontrollpanel!$G$31*$L10*O21</f>
        <v>118581.96000000002</v>
      </c>
      <c r="P59" s="79">
        <f>Kontrollpanel!$G$31*$L10*P21</f>
        <v>9192.4000000000015</v>
      </c>
      <c r="Q59" s="79">
        <f>Kontrollpanel!$G$31*$L10*Q21</f>
        <v>59750.600000000006</v>
      </c>
      <c r="R59" s="79">
        <f>Kontrollpanel!$G$31*$L10*R21</f>
        <v>46881.240000000005</v>
      </c>
      <c r="S59" s="79">
        <f>Kontrollpanel!$G$31*$L10*S21</f>
        <v>593829.04</v>
      </c>
      <c r="T59" s="78"/>
      <c r="U59" s="71"/>
      <c r="V59" s="9"/>
      <c r="W59" s="9"/>
    </row>
    <row r="60" spans="1:23" ht="16.5" thickBot="1" x14ac:dyDescent="0.3">
      <c r="B60" s="7"/>
      <c r="C60" s="72" t="s">
        <v>7</v>
      </c>
      <c r="D60" s="79">
        <f>Kontrollpanel!$G$31*$L11*D22</f>
        <v>61040.280000000006</v>
      </c>
      <c r="E60" s="79">
        <f>Kontrollpanel!$G$31*$L11*E22</f>
        <v>98827.12000000001</v>
      </c>
      <c r="F60" s="79">
        <f>Kontrollpanel!$G$31*$L11*F22</f>
        <v>200560.92</v>
      </c>
      <c r="G60" s="79">
        <f>Kontrollpanel!$G$31*$L11*G22</f>
        <v>78480.360000000015</v>
      </c>
      <c r="H60" s="79">
        <f>Kontrollpanel!$G$31*$L11*H22</f>
        <v>43600.200000000004</v>
      </c>
      <c r="I60" s="79">
        <f>Kontrollpanel!$G$31*$L11*I22</f>
        <v>78480.360000000015</v>
      </c>
      <c r="J60" s="79">
        <f>Kontrollpanel!$G$31*$L11*J22</f>
        <v>180214.16000000003</v>
      </c>
      <c r="K60" s="79">
        <f>Kontrollpanel!$G$31*$L11*K22</f>
        <v>46506.880000000005</v>
      </c>
      <c r="L60" s="79">
        <f>Kontrollpanel!$G$31*$L11*L22</f>
        <v>31973.480000000003</v>
      </c>
      <c r="M60" s="79">
        <f>Kontrollpanel!$G$31*$L11*M22</f>
        <v>61040.280000000006</v>
      </c>
      <c r="N60" s="79">
        <f>Kontrollpanel!$G$31*$L11*N22</f>
        <v>23253.440000000002</v>
      </c>
      <c r="O60" s="79">
        <f>Kontrollpanel!$G$31*$L11*O22</f>
        <v>148240.68000000002</v>
      </c>
      <c r="P60" s="79">
        <f>Kontrollpanel!$G$31*$L11*P22</f>
        <v>34880.160000000003</v>
      </c>
      <c r="Q60" s="79">
        <f>Kontrollpanel!$G$31*$L11*Q22</f>
        <v>75573.680000000008</v>
      </c>
      <c r="R60" s="79">
        <f>Kontrollpanel!$G$31*$L11*R22</f>
        <v>49413.560000000005</v>
      </c>
      <c r="S60" s="79">
        <f>Kontrollpanel!$G$31*$L11*S22</f>
        <v>991177.88000000012</v>
      </c>
      <c r="T60" s="80"/>
      <c r="U60" s="73"/>
      <c r="V60" s="9"/>
      <c r="W60" s="9"/>
    </row>
    <row r="61" spans="1:23" ht="17.25" customHeight="1" x14ac:dyDescent="0.25">
      <c r="B61" s="64"/>
      <c r="C61" s="9"/>
      <c r="D61" s="53"/>
      <c r="E61" s="53"/>
      <c r="F61" s="53"/>
      <c r="G61" s="53"/>
      <c r="H61" s="53"/>
      <c r="I61" s="53"/>
      <c r="J61" s="53"/>
      <c r="K61" s="53"/>
      <c r="L61" s="53"/>
      <c r="M61" s="53"/>
      <c r="N61" s="53"/>
      <c r="O61" s="53"/>
      <c r="P61" s="53"/>
      <c r="Q61" s="53"/>
      <c r="R61" s="53"/>
      <c r="S61" s="53"/>
      <c r="T61" s="53"/>
      <c r="U61" s="9"/>
      <c r="V61" s="9"/>
      <c r="W61" s="9"/>
    </row>
    <row r="62" spans="1:23" ht="16.5" thickBot="1" x14ac:dyDescent="0.3">
      <c r="B62" s="64"/>
      <c r="C62" s="9"/>
      <c r="D62" s="53" t="s">
        <v>8</v>
      </c>
      <c r="E62" s="53" t="s">
        <v>9</v>
      </c>
      <c r="F62" s="53" t="s">
        <v>10</v>
      </c>
      <c r="G62" s="53" t="s">
        <v>11</v>
      </c>
      <c r="H62" s="53" t="s">
        <v>12</v>
      </c>
      <c r="I62" s="53" t="s">
        <v>13</v>
      </c>
      <c r="J62" s="53" t="s">
        <v>14</v>
      </c>
      <c r="K62" s="53" t="s">
        <v>15</v>
      </c>
      <c r="L62" s="53" t="s">
        <v>16</v>
      </c>
      <c r="M62" s="53" t="s">
        <v>17</v>
      </c>
      <c r="N62" s="53" t="s">
        <v>18</v>
      </c>
      <c r="O62" s="53" t="s">
        <v>19</v>
      </c>
      <c r="P62" s="53" t="s">
        <v>20</v>
      </c>
      <c r="Q62" s="53" t="s">
        <v>21</v>
      </c>
      <c r="R62" s="53" t="s">
        <v>22</v>
      </c>
      <c r="S62" s="53" t="s">
        <v>23</v>
      </c>
      <c r="T62" s="53"/>
      <c r="U62" s="53" t="s">
        <v>24</v>
      </c>
      <c r="V62" s="9"/>
      <c r="W62" s="9"/>
    </row>
    <row r="63" spans="1:23" ht="15.75" x14ac:dyDescent="0.25">
      <c r="B63" s="7"/>
      <c r="C63" s="89" t="s">
        <v>33</v>
      </c>
      <c r="D63" s="85">
        <f t="shared" ref="D63:S63" si="7">SUM(D56:D60)</f>
        <v>132763.68000000002</v>
      </c>
      <c r="E63" s="85">
        <f t="shared" si="7"/>
        <v>278628.7</v>
      </c>
      <c r="F63" s="85">
        <f t="shared" si="7"/>
        <v>700374.3600000001</v>
      </c>
      <c r="G63" s="85">
        <f t="shared" si="7"/>
        <v>176687.56000000003</v>
      </c>
      <c r="H63" s="85">
        <f t="shared" si="7"/>
        <v>146958.56000000003</v>
      </c>
      <c r="I63" s="85">
        <f t="shared" si="7"/>
        <v>401600.36</v>
      </c>
      <c r="J63" s="85">
        <f t="shared" si="7"/>
        <v>1049818.8400000003</v>
      </c>
      <c r="K63" s="85">
        <f t="shared" si="7"/>
        <v>116681.46000000002</v>
      </c>
      <c r="L63" s="85">
        <f t="shared" si="7"/>
        <v>76195.98000000001</v>
      </c>
      <c r="M63" s="85">
        <f t="shared" si="7"/>
        <v>407144.78</v>
      </c>
      <c r="N63" s="85">
        <f t="shared" si="7"/>
        <v>95273.360000000015</v>
      </c>
      <c r="O63" s="85">
        <f t="shared" si="7"/>
        <v>506982.42000000004</v>
      </c>
      <c r="P63" s="85">
        <f t="shared" si="7"/>
        <v>48473.740000000005</v>
      </c>
      <c r="Q63" s="85">
        <f t="shared" si="7"/>
        <v>284386.06000000006</v>
      </c>
      <c r="R63" s="85">
        <f t="shared" si="7"/>
        <v>150881.5</v>
      </c>
      <c r="S63" s="85">
        <f t="shared" si="7"/>
        <v>2880141.6000000006</v>
      </c>
      <c r="T63" s="86"/>
      <c r="U63" s="89"/>
      <c r="V63" s="9"/>
      <c r="W63" s="9"/>
    </row>
    <row r="64" spans="1:23" x14ac:dyDescent="0.2">
      <c r="B64" s="7"/>
      <c r="C64" s="90"/>
      <c r="D64" s="82"/>
      <c r="E64" s="82"/>
      <c r="F64" s="82"/>
      <c r="G64" s="82"/>
      <c r="H64" s="82"/>
      <c r="I64" s="82"/>
      <c r="J64" s="82"/>
      <c r="K64" s="82"/>
      <c r="L64" s="82"/>
      <c r="M64" s="82"/>
      <c r="N64" s="82"/>
      <c r="O64" s="82"/>
      <c r="P64" s="82"/>
      <c r="Q64" s="82"/>
      <c r="R64" s="82"/>
      <c r="S64" s="82"/>
      <c r="T64" s="82"/>
      <c r="U64" s="90"/>
      <c r="V64" s="9"/>
      <c r="W64" s="9"/>
    </row>
    <row r="65" spans="2:23" x14ac:dyDescent="0.2">
      <c r="B65" s="7"/>
      <c r="C65" s="90"/>
      <c r="D65" s="82"/>
      <c r="E65" s="82"/>
      <c r="F65" s="82"/>
      <c r="G65" s="82"/>
      <c r="H65" s="82"/>
      <c r="I65" s="82"/>
      <c r="J65" s="82"/>
      <c r="K65" s="82"/>
      <c r="L65" s="82"/>
      <c r="M65" s="82"/>
      <c r="N65" s="82"/>
      <c r="O65" s="82"/>
      <c r="P65" s="82"/>
      <c r="Q65" s="82"/>
      <c r="R65" s="82"/>
      <c r="S65" s="82"/>
      <c r="T65" s="82"/>
      <c r="U65" s="90"/>
      <c r="V65" s="9"/>
      <c r="W65" s="9"/>
    </row>
    <row r="66" spans="2:23" x14ac:dyDescent="0.2">
      <c r="B66" s="7"/>
      <c r="C66" s="90"/>
      <c r="D66" s="82"/>
      <c r="E66" s="82"/>
      <c r="F66" s="82"/>
      <c r="G66" s="82"/>
      <c r="H66" s="82"/>
      <c r="I66" s="82"/>
      <c r="J66" s="82"/>
      <c r="K66" s="82"/>
      <c r="L66" s="82"/>
      <c r="M66" s="82"/>
      <c r="N66" s="82"/>
      <c r="O66" s="82"/>
      <c r="P66" s="82"/>
      <c r="Q66" s="82"/>
      <c r="R66" s="82"/>
      <c r="S66" s="82"/>
      <c r="T66" s="82"/>
      <c r="U66" s="90"/>
      <c r="V66" s="9"/>
      <c r="W66" s="9"/>
    </row>
    <row r="67" spans="2:23" ht="15.75" x14ac:dyDescent="0.25">
      <c r="B67" s="7"/>
      <c r="C67" s="74" t="s">
        <v>34</v>
      </c>
      <c r="D67" s="81">
        <f t="shared" ref="D67:S67" si="8">SUM(D63:D66)</f>
        <v>132763.68000000002</v>
      </c>
      <c r="E67" s="81">
        <f t="shared" si="8"/>
        <v>278628.7</v>
      </c>
      <c r="F67" s="81">
        <f t="shared" si="8"/>
        <v>700374.3600000001</v>
      </c>
      <c r="G67" s="81">
        <f t="shared" si="8"/>
        <v>176687.56000000003</v>
      </c>
      <c r="H67" s="81">
        <f t="shared" si="8"/>
        <v>146958.56000000003</v>
      </c>
      <c r="I67" s="81">
        <f t="shared" si="8"/>
        <v>401600.36</v>
      </c>
      <c r="J67" s="81">
        <f t="shared" si="8"/>
        <v>1049818.8400000003</v>
      </c>
      <c r="K67" s="81">
        <f t="shared" si="8"/>
        <v>116681.46000000002</v>
      </c>
      <c r="L67" s="81">
        <f t="shared" si="8"/>
        <v>76195.98000000001</v>
      </c>
      <c r="M67" s="81">
        <f t="shared" si="8"/>
        <v>407144.78</v>
      </c>
      <c r="N67" s="81">
        <f t="shared" si="8"/>
        <v>95273.360000000015</v>
      </c>
      <c r="O67" s="81">
        <f t="shared" si="8"/>
        <v>506982.42000000004</v>
      </c>
      <c r="P67" s="81">
        <f t="shared" si="8"/>
        <v>48473.740000000005</v>
      </c>
      <c r="Q67" s="81">
        <f t="shared" si="8"/>
        <v>284386.06000000006</v>
      </c>
      <c r="R67" s="81">
        <f t="shared" si="8"/>
        <v>150881.5</v>
      </c>
      <c r="S67" s="81">
        <f t="shared" si="8"/>
        <v>2880141.6000000006</v>
      </c>
      <c r="T67" s="81"/>
      <c r="U67" s="92">
        <f>SUM(D67:S67)</f>
        <v>7452992.9600000009</v>
      </c>
      <c r="V67" s="9"/>
      <c r="W67" s="9"/>
    </row>
    <row r="68" spans="2:23" ht="15.75" x14ac:dyDescent="0.25">
      <c r="B68" s="7"/>
      <c r="C68" s="74" t="s">
        <v>35</v>
      </c>
      <c r="D68" s="81">
        <f t="shared" ref="D68:S68" si="9">D67/D27</f>
        <v>276.59100000000007</v>
      </c>
      <c r="E68" s="81">
        <f t="shared" si="9"/>
        <v>284.89642126789369</v>
      </c>
      <c r="F68" s="81">
        <f t="shared" si="9"/>
        <v>277.15645429362883</v>
      </c>
      <c r="G68" s="81">
        <f t="shared" si="9"/>
        <v>306.21760831889088</v>
      </c>
      <c r="H68" s="81">
        <f t="shared" si="9"/>
        <v>298.69626016260167</v>
      </c>
      <c r="I68" s="81">
        <f t="shared" si="9"/>
        <v>263.17192660550455</v>
      </c>
      <c r="J68" s="81">
        <f t="shared" si="9"/>
        <v>247.07433278418458</v>
      </c>
      <c r="K68" s="81">
        <f t="shared" si="9"/>
        <v>323.21734072022167</v>
      </c>
      <c r="L68" s="81">
        <f t="shared" si="9"/>
        <v>306.00795180722895</v>
      </c>
      <c r="M68" s="81">
        <f t="shared" si="9"/>
        <v>218.89504301075272</v>
      </c>
      <c r="N68" s="81">
        <f t="shared" si="9"/>
        <v>238.78035087719303</v>
      </c>
      <c r="O68" s="81">
        <f t="shared" si="9"/>
        <v>280.10078453038676</v>
      </c>
      <c r="P68" s="81">
        <f t="shared" si="9"/>
        <v>470.61883495145634</v>
      </c>
      <c r="Q68" s="81">
        <f t="shared" si="9"/>
        <v>275.56788759689925</v>
      </c>
      <c r="R68" s="81">
        <f t="shared" si="9"/>
        <v>336.03897550111361</v>
      </c>
      <c r="S68" s="81">
        <f t="shared" si="9"/>
        <v>255.71709136109391</v>
      </c>
      <c r="T68" s="81"/>
      <c r="U68" s="92">
        <f>U67/T27</f>
        <v>262.84581061541178</v>
      </c>
      <c r="V68" s="9"/>
      <c r="W68" s="9"/>
    </row>
    <row r="69" spans="2:23" x14ac:dyDescent="0.2">
      <c r="B69" s="7"/>
      <c r="C69" s="90"/>
      <c r="D69" s="83"/>
      <c r="E69" s="83"/>
      <c r="F69" s="83"/>
      <c r="G69" s="83"/>
      <c r="H69" s="83"/>
      <c r="I69" s="83"/>
      <c r="J69" s="83"/>
      <c r="K69" s="83"/>
      <c r="L69" s="83"/>
      <c r="M69" s="83"/>
      <c r="N69" s="83"/>
      <c r="O69" s="83"/>
      <c r="P69" s="83"/>
      <c r="Q69" s="83"/>
      <c r="R69" s="83"/>
      <c r="S69" s="83"/>
      <c r="T69" s="83"/>
      <c r="U69" s="93"/>
      <c r="V69" s="9"/>
      <c r="W69" s="9"/>
    </row>
    <row r="70" spans="2:23" x14ac:dyDescent="0.2">
      <c r="B70" s="7"/>
      <c r="C70" s="90"/>
      <c r="D70" s="83"/>
      <c r="E70" s="83"/>
      <c r="F70" s="83"/>
      <c r="G70" s="83"/>
      <c r="H70" s="83"/>
      <c r="I70" s="83"/>
      <c r="J70" s="83"/>
      <c r="K70" s="83"/>
      <c r="L70" s="83"/>
      <c r="M70" s="83"/>
      <c r="N70" s="83"/>
      <c r="O70" s="83"/>
      <c r="P70" s="83"/>
      <c r="Q70" s="83"/>
      <c r="R70" s="83"/>
      <c r="S70" s="83"/>
      <c r="T70" s="83"/>
      <c r="U70" s="93"/>
      <c r="V70" s="9"/>
      <c r="W70" s="9"/>
    </row>
    <row r="71" spans="2:23" x14ac:dyDescent="0.2">
      <c r="B71" s="7"/>
      <c r="C71" s="90"/>
      <c r="D71" s="83"/>
      <c r="E71" s="82"/>
      <c r="F71" s="82"/>
      <c r="G71" s="82"/>
      <c r="H71" s="82"/>
      <c r="I71" s="82"/>
      <c r="J71" s="82"/>
      <c r="K71" s="82"/>
      <c r="L71" s="82"/>
      <c r="M71" s="82"/>
      <c r="N71" s="82"/>
      <c r="O71" s="82"/>
      <c r="P71" s="82"/>
      <c r="Q71" s="82"/>
      <c r="R71" s="82"/>
      <c r="S71" s="82"/>
      <c r="T71" s="82"/>
      <c r="U71" s="90"/>
      <c r="V71" s="9"/>
      <c r="W71" s="9"/>
    </row>
    <row r="72" spans="2:23" hidden="1" x14ac:dyDescent="0.2">
      <c r="B72" s="7">
        <v>2012</v>
      </c>
      <c r="C72" s="90" t="s">
        <v>2</v>
      </c>
      <c r="D72" s="82"/>
      <c r="E72" s="82"/>
      <c r="F72" s="82"/>
      <c r="G72" s="82"/>
      <c r="H72" s="82"/>
      <c r="I72" s="82"/>
      <c r="J72" s="82"/>
      <c r="K72" s="82"/>
      <c r="L72" s="82"/>
      <c r="M72" s="82"/>
      <c r="N72" s="82"/>
      <c r="O72" s="82"/>
      <c r="P72" s="82"/>
      <c r="Q72" s="82"/>
      <c r="R72" s="82"/>
      <c r="S72" s="82"/>
      <c r="T72" s="82" t="s">
        <v>24</v>
      </c>
      <c r="U72" s="90"/>
      <c r="V72" s="18"/>
    </row>
    <row r="73" spans="2:23" hidden="1" x14ac:dyDescent="0.2">
      <c r="B73" s="7"/>
      <c r="C73" s="90" t="s">
        <v>3</v>
      </c>
      <c r="D73" s="82"/>
      <c r="E73" s="82"/>
      <c r="F73" s="82"/>
      <c r="G73" s="82"/>
      <c r="H73" s="82"/>
      <c r="I73" s="82"/>
      <c r="J73" s="82"/>
      <c r="K73" s="82"/>
      <c r="L73" s="82"/>
      <c r="M73" s="82"/>
      <c r="N73" s="82"/>
      <c r="O73" s="82"/>
      <c r="P73" s="82"/>
      <c r="Q73" s="82"/>
      <c r="R73" s="82"/>
      <c r="S73" s="82"/>
      <c r="T73" s="82">
        <v>2166</v>
      </c>
      <c r="U73" s="90"/>
      <c r="V73" s="18"/>
    </row>
    <row r="74" spans="2:23" hidden="1" x14ac:dyDescent="0.2">
      <c r="B74" s="7"/>
      <c r="C74" s="90" t="s">
        <v>4</v>
      </c>
      <c r="D74" s="82"/>
      <c r="E74" s="82"/>
      <c r="F74" s="82"/>
      <c r="G74" s="82"/>
      <c r="H74" s="82"/>
      <c r="I74" s="82"/>
      <c r="J74" s="82"/>
      <c r="K74" s="82"/>
      <c r="L74" s="82"/>
      <c r="M74" s="82"/>
      <c r="N74" s="82"/>
      <c r="O74" s="82"/>
      <c r="P74" s="82"/>
      <c r="Q74" s="82"/>
      <c r="R74" s="82"/>
      <c r="S74" s="82"/>
      <c r="T74" s="82">
        <v>20809</v>
      </c>
      <c r="U74" s="90"/>
      <c r="V74" s="18"/>
    </row>
    <row r="75" spans="2:23" hidden="1" x14ac:dyDescent="0.2">
      <c r="B75" s="7"/>
      <c r="C75" s="90" t="s">
        <v>5</v>
      </c>
      <c r="D75" s="82"/>
      <c r="E75" s="82"/>
      <c r="F75" s="82"/>
      <c r="G75" s="82"/>
      <c r="H75" s="82"/>
      <c r="I75" s="82"/>
      <c r="J75" s="82"/>
      <c r="K75" s="82"/>
      <c r="L75" s="82"/>
      <c r="M75" s="82"/>
      <c r="N75" s="82"/>
      <c r="O75" s="82"/>
      <c r="P75" s="82"/>
      <c r="Q75" s="82"/>
      <c r="R75" s="82"/>
      <c r="S75" s="82"/>
      <c r="T75" s="82">
        <v>3125</v>
      </c>
      <c r="U75" s="90"/>
      <c r="V75" s="18"/>
    </row>
    <row r="76" spans="2:23" hidden="1" x14ac:dyDescent="0.2">
      <c r="B76" s="7"/>
      <c r="C76" s="90" t="s">
        <v>6</v>
      </c>
      <c r="D76" s="82"/>
      <c r="E76" s="82"/>
      <c r="F76" s="82"/>
      <c r="G76" s="82"/>
      <c r="H76" s="82"/>
      <c r="I76" s="82"/>
      <c r="J76" s="82"/>
      <c r="K76" s="82"/>
      <c r="L76" s="82"/>
      <c r="M76" s="82"/>
      <c r="N76" s="82"/>
      <c r="O76" s="82"/>
      <c r="P76" s="82"/>
      <c r="Q76" s="82"/>
      <c r="R76" s="82"/>
      <c r="S76" s="82"/>
      <c r="T76" s="82">
        <v>1633</v>
      </c>
      <c r="U76" s="90"/>
      <c r="V76" s="18"/>
    </row>
    <row r="77" spans="2:23" hidden="1" x14ac:dyDescent="0.2">
      <c r="B77" s="7"/>
      <c r="C77" s="90" t="s">
        <v>7</v>
      </c>
      <c r="D77" s="82"/>
      <c r="E77" s="82"/>
      <c r="F77" s="82"/>
      <c r="G77" s="82"/>
      <c r="H77" s="82"/>
      <c r="I77" s="82"/>
      <c r="J77" s="82"/>
      <c r="K77" s="82"/>
      <c r="L77" s="82"/>
      <c r="M77" s="82"/>
      <c r="N77" s="82"/>
      <c r="O77" s="82"/>
      <c r="P77" s="82"/>
      <c r="Q77" s="82"/>
      <c r="R77" s="82"/>
      <c r="S77" s="82"/>
      <c r="T77" s="82">
        <v>769</v>
      </c>
      <c r="U77" s="90"/>
      <c r="V77" s="18"/>
    </row>
    <row r="78" spans="2:23" hidden="1" x14ac:dyDescent="0.2">
      <c r="B78" s="7"/>
      <c r="C78" s="90"/>
      <c r="D78" s="82"/>
      <c r="E78" s="82"/>
      <c r="F78" s="82"/>
      <c r="G78" s="82"/>
      <c r="H78" s="82"/>
      <c r="I78" s="82"/>
      <c r="J78" s="82"/>
      <c r="K78" s="82"/>
      <c r="L78" s="82"/>
      <c r="M78" s="82"/>
      <c r="N78" s="82"/>
      <c r="O78" s="82"/>
      <c r="P78" s="82"/>
      <c r="Q78" s="82"/>
      <c r="R78" s="82"/>
      <c r="S78" s="82"/>
      <c r="T78" s="82"/>
      <c r="U78" s="90"/>
      <c r="V78" s="18"/>
    </row>
    <row r="79" spans="2:23" hidden="1" x14ac:dyDescent="0.2">
      <c r="B79" s="7"/>
      <c r="C79" s="90" t="s">
        <v>25</v>
      </c>
      <c r="D79" s="82"/>
      <c r="E79" s="82"/>
      <c r="F79" s="82"/>
      <c r="G79" s="82"/>
      <c r="H79" s="82"/>
      <c r="I79" s="82"/>
      <c r="J79" s="82"/>
      <c r="K79" s="82"/>
      <c r="L79" s="82"/>
      <c r="M79" s="82"/>
      <c r="N79" s="82"/>
      <c r="O79" s="82"/>
      <c r="P79" s="82"/>
      <c r="Q79" s="82"/>
      <c r="R79" s="82"/>
      <c r="S79" s="82"/>
      <c r="T79" s="82">
        <v>17279</v>
      </c>
      <c r="U79" s="90"/>
      <c r="V79" s="18"/>
    </row>
    <row r="80" spans="2:23" hidden="1" x14ac:dyDescent="0.2">
      <c r="B80" s="7"/>
      <c r="C80" s="90" t="s">
        <v>26</v>
      </c>
      <c r="D80" s="82"/>
      <c r="E80" s="82"/>
      <c r="F80" s="82"/>
      <c r="G80" s="82"/>
      <c r="H80" s="82"/>
      <c r="I80" s="82"/>
      <c r="J80" s="82"/>
      <c r="K80" s="82"/>
      <c r="L80" s="82"/>
      <c r="M80" s="82"/>
      <c r="N80" s="82"/>
      <c r="O80" s="82"/>
      <c r="P80" s="82"/>
      <c r="Q80" s="82"/>
      <c r="R80" s="82"/>
      <c r="S80" s="82"/>
      <c r="T80" s="82">
        <v>16634</v>
      </c>
      <c r="U80" s="90"/>
      <c r="V80" s="18"/>
    </row>
    <row r="81" spans="2:22" hidden="1" x14ac:dyDescent="0.2">
      <c r="B81" s="7"/>
      <c r="C81" s="90"/>
      <c r="D81" s="82"/>
      <c r="E81" s="82"/>
      <c r="F81" s="82"/>
      <c r="G81" s="82"/>
      <c r="H81" s="82"/>
      <c r="I81" s="82"/>
      <c r="J81" s="82"/>
      <c r="K81" s="82"/>
      <c r="L81" s="82"/>
      <c r="M81" s="82"/>
      <c r="N81" s="82"/>
      <c r="O81" s="82"/>
      <c r="P81" s="82"/>
      <c r="Q81" s="82"/>
      <c r="R81" s="82"/>
      <c r="S81" s="82"/>
      <c r="T81" s="82"/>
      <c r="U81" s="90"/>
      <c r="V81" s="18"/>
    </row>
    <row r="82" spans="2:22" hidden="1" x14ac:dyDescent="0.2">
      <c r="B82" s="7"/>
      <c r="C82" s="90" t="s">
        <v>27</v>
      </c>
      <c r="D82" s="82"/>
      <c r="E82" s="82"/>
      <c r="F82" s="82"/>
      <c r="G82" s="82"/>
      <c r="H82" s="82"/>
      <c r="I82" s="82"/>
      <c r="J82" s="82"/>
      <c r="K82" s="82"/>
      <c r="L82" s="82"/>
      <c r="M82" s="82"/>
      <c r="N82" s="82"/>
      <c r="O82" s="82"/>
      <c r="P82" s="82"/>
      <c r="Q82" s="82"/>
      <c r="R82" s="82"/>
      <c r="S82" s="82"/>
      <c r="T82" s="82">
        <f>SUM(D73:S77)</f>
        <v>0</v>
      </c>
      <c r="U82" s="90"/>
      <c r="V82" s="19"/>
    </row>
    <row r="83" spans="2:22" hidden="1" x14ac:dyDescent="0.2">
      <c r="B83" s="7"/>
      <c r="C83" s="90"/>
      <c r="D83" s="82"/>
      <c r="E83" s="82"/>
      <c r="F83" s="82"/>
      <c r="G83" s="82"/>
      <c r="H83" s="82"/>
      <c r="I83" s="82"/>
      <c r="J83" s="82"/>
      <c r="K83" s="82"/>
      <c r="L83" s="82"/>
      <c r="M83" s="82"/>
      <c r="N83" s="82"/>
      <c r="O83" s="82"/>
      <c r="P83" s="82"/>
      <c r="Q83" s="82"/>
      <c r="R83" s="82"/>
      <c r="S83" s="82"/>
      <c r="T83" s="82"/>
      <c r="U83" s="90"/>
      <c r="V83" s="11"/>
    </row>
    <row r="84" spans="2:22" hidden="1" x14ac:dyDescent="0.2">
      <c r="B84" s="7"/>
      <c r="C84" s="90" t="s">
        <v>28</v>
      </c>
      <c r="D84" s="82"/>
      <c r="E84" s="82"/>
      <c r="F84" s="82"/>
      <c r="G84" s="82"/>
      <c r="H84" s="82"/>
      <c r="I84" s="82"/>
      <c r="J84" s="82"/>
      <c r="K84" s="82"/>
      <c r="L84" s="82"/>
      <c r="M84" s="82"/>
      <c r="N84" s="82"/>
      <c r="O84" s="82"/>
      <c r="P84" s="82"/>
      <c r="Q84" s="82"/>
      <c r="R84" s="82"/>
      <c r="S84" s="82"/>
      <c r="T84" s="82"/>
      <c r="U84" s="90"/>
      <c r="V84" s="14"/>
    </row>
    <row r="85" spans="2:22" hidden="1" x14ac:dyDescent="0.2">
      <c r="B85" s="7"/>
      <c r="C85" s="90" t="s">
        <v>3</v>
      </c>
      <c r="D85" s="82"/>
      <c r="E85" s="82"/>
      <c r="F85" s="82"/>
      <c r="G85" s="82"/>
      <c r="H85" s="82"/>
      <c r="I85" s="82"/>
      <c r="J85" s="82"/>
      <c r="K85" s="82"/>
      <c r="L85" s="82"/>
      <c r="M85" s="82"/>
      <c r="N85" s="82"/>
      <c r="O85" s="82"/>
      <c r="P85" s="82"/>
      <c r="Q85" s="82"/>
      <c r="R85" s="82"/>
      <c r="S85" s="82"/>
      <c r="T85" s="82"/>
      <c r="U85" s="90"/>
      <c r="V85" s="14"/>
    </row>
    <row r="86" spans="2:22" hidden="1" x14ac:dyDescent="0.2">
      <c r="B86" s="7"/>
      <c r="C86" s="90" t="s">
        <v>4</v>
      </c>
      <c r="D86" s="82"/>
      <c r="E86" s="82"/>
      <c r="F86" s="82"/>
      <c r="G86" s="82"/>
      <c r="H86" s="82"/>
      <c r="I86" s="82"/>
      <c r="J86" s="82"/>
      <c r="K86" s="82"/>
      <c r="L86" s="82"/>
      <c r="M86" s="82"/>
      <c r="N86" s="82"/>
      <c r="O86" s="82"/>
      <c r="P86" s="82"/>
      <c r="Q86" s="82"/>
      <c r="R86" s="82"/>
      <c r="S86" s="82"/>
      <c r="T86" s="82"/>
      <c r="U86" s="90"/>
      <c r="V86" s="14"/>
    </row>
    <row r="87" spans="2:22" hidden="1" x14ac:dyDescent="0.2">
      <c r="B87" s="7"/>
      <c r="C87" s="90" t="s">
        <v>5</v>
      </c>
      <c r="D87" s="82"/>
      <c r="E87" s="82"/>
      <c r="F87" s="82"/>
      <c r="G87" s="82"/>
      <c r="H87" s="82"/>
      <c r="I87" s="82"/>
      <c r="J87" s="82"/>
      <c r="K87" s="82"/>
      <c r="L87" s="82"/>
      <c r="M87" s="82"/>
      <c r="N87" s="82"/>
      <c r="O87" s="82"/>
      <c r="P87" s="82"/>
      <c r="Q87" s="82"/>
      <c r="R87" s="82"/>
      <c r="S87" s="82"/>
      <c r="T87" s="82"/>
      <c r="U87" s="90"/>
      <c r="V87" s="14"/>
    </row>
    <row r="88" spans="2:22" hidden="1" x14ac:dyDescent="0.2">
      <c r="B88" s="7"/>
      <c r="C88" s="90" t="s">
        <v>6</v>
      </c>
      <c r="D88" s="82"/>
      <c r="E88" s="82"/>
      <c r="F88" s="82"/>
      <c r="G88" s="82"/>
      <c r="H88" s="82"/>
      <c r="I88" s="82"/>
      <c r="J88" s="82"/>
      <c r="K88" s="82"/>
      <c r="L88" s="82"/>
      <c r="M88" s="82"/>
      <c r="N88" s="82"/>
      <c r="O88" s="82"/>
      <c r="P88" s="82"/>
      <c r="Q88" s="82"/>
      <c r="R88" s="82"/>
      <c r="S88" s="82"/>
      <c r="T88" s="82"/>
      <c r="U88" s="90"/>
      <c r="V88" s="14"/>
    </row>
    <row r="89" spans="2:22" hidden="1" x14ac:dyDescent="0.2">
      <c r="B89" s="7"/>
      <c r="C89" s="90" t="s">
        <v>7</v>
      </c>
      <c r="D89" s="82"/>
      <c r="E89" s="82"/>
      <c r="F89" s="82"/>
      <c r="G89" s="82"/>
      <c r="H89" s="82"/>
      <c r="I89" s="82"/>
      <c r="J89" s="82"/>
      <c r="K89" s="82"/>
      <c r="L89" s="82"/>
      <c r="M89" s="82"/>
      <c r="N89" s="82"/>
      <c r="O89" s="82"/>
      <c r="P89" s="82"/>
      <c r="Q89" s="82"/>
      <c r="R89" s="82"/>
      <c r="S89" s="82"/>
      <c r="T89" s="82"/>
      <c r="U89" s="90"/>
      <c r="V89" s="14"/>
    </row>
    <row r="90" spans="2:22" hidden="1" x14ac:dyDescent="0.2">
      <c r="B90" s="7"/>
      <c r="C90" s="90"/>
      <c r="D90" s="82"/>
      <c r="E90" s="82"/>
      <c r="F90" s="82"/>
      <c r="G90" s="82"/>
      <c r="H90" s="82"/>
      <c r="I90" s="82"/>
      <c r="J90" s="82"/>
      <c r="K90" s="82"/>
      <c r="L90" s="82"/>
      <c r="M90" s="82"/>
      <c r="N90" s="82"/>
      <c r="O90" s="82"/>
      <c r="P90" s="82"/>
      <c r="Q90" s="82"/>
      <c r="R90" s="82"/>
      <c r="S90" s="82"/>
      <c r="T90" s="82"/>
      <c r="U90" s="90"/>
      <c r="V90" s="14"/>
    </row>
    <row r="91" spans="2:22" hidden="1" x14ac:dyDescent="0.2">
      <c r="B91" s="7"/>
      <c r="C91" s="90" t="s">
        <v>25</v>
      </c>
      <c r="D91" s="82"/>
      <c r="E91" s="82"/>
      <c r="F91" s="82"/>
      <c r="G91" s="82"/>
      <c r="H91" s="82"/>
      <c r="I91" s="82"/>
      <c r="J91" s="82"/>
      <c r="K91" s="82"/>
      <c r="L91" s="82"/>
      <c r="M91" s="82"/>
      <c r="N91" s="82"/>
      <c r="O91" s="82"/>
      <c r="P91" s="82"/>
      <c r="Q91" s="82"/>
      <c r="R91" s="82"/>
      <c r="S91" s="82"/>
      <c r="T91" s="82"/>
      <c r="U91" s="90"/>
      <c r="V91" s="14"/>
    </row>
    <row r="92" spans="2:22" hidden="1" x14ac:dyDescent="0.2">
      <c r="B92" s="7"/>
      <c r="C92" s="90" t="s">
        <v>26</v>
      </c>
      <c r="D92" s="82"/>
      <c r="E92" s="82"/>
      <c r="F92" s="82"/>
      <c r="G92" s="82"/>
      <c r="H92" s="82"/>
      <c r="I92" s="82"/>
      <c r="J92" s="82"/>
      <c r="K92" s="82"/>
      <c r="L92" s="82"/>
      <c r="M92" s="82"/>
      <c r="N92" s="82"/>
      <c r="O92" s="82"/>
      <c r="P92" s="82"/>
      <c r="Q92" s="82"/>
      <c r="R92" s="82"/>
      <c r="S92" s="82"/>
      <c r="T92" s="82"/>
      <c r="U92" s="90"/>
      <c r="V92" s="14"/>
    </row>
    <row r="93" spans="2:22" hidden="1" x14ac:dyDescent="0.2">
      <c r="B93" s="7"/>
      <c r="C93" s="90"/>
      <c r="D93" s="82"/>
      <c r="E93" s="82"/>
      <c r="F93" s="82"/>
      <c r="G93" s="82"/>
      <c r="H93" s="82"/>
      <c r="I93" s="82"/>
      <c r="J93" s="82"/>
      <c r="K93" s="82"/>
      <c r="L93" s="82"/>
      <c r="M93" s="82"/>
      <c r="N93" s="82"/>
      <c r="O93" s="82"/>
      <c r="P93" s="82"/>
      <c r="Q93" s="82"/>
      <c r="R93" s="82"/>
      <c r="S93" s="82"/>
      <c r="T93" s="82"/>
      <c r="U93" s="90"/>
      <c r="V93" s="14"/>
    </row>
    <row r="94" spans="2:22" hidden="1" x14ac:dyDescent="0.2">
      <c r="B94" s="7"/>
      <c r="C94" s="90" t="s">
        <v>27</v>
      </c>
      <c r="D94" s="82"/>
      <c r="E94" s="82"/>
      <c r="F94" s="82"/>
      <c r="G94" s="82"/>
      <c r="H94" s="82"/>
      <c r="I94" s="82"/>
      <c r="J94" s="82"/>
      <c r="K94" s="82"/>
      <c r="L94" s="82"/>
      <c r="M94" s="82"/>
      <c r="N94" s="82"/>
      <c r="O94" s="82"/>
      <c r="P94" s="82"/>
      <c r="Q94" s="82"/>
      <c r="R94" s="82"/>
      <c r="S94" s="82"/>
      <c r="T94" s="82"/>
      <c r="U94" s="90"/>
      <c r="V94" s="14"/>
    </row>
    <row r="95" spans="2:22" hidden="1" x14ac:dyDescent="0.2">
      <c r="B95" s="7"/>
      <c r="C95" s="90"/>
      <c r="D95" s="82"/>
      <c r="E95" s="82"/>
      <c r="F95" s="82"/>
      <c r="G95" s="82"/>
      <c r="H95" s="82"/>
      <c r="I95" s="82"/>
      <c r="J95" s="82"/>
      <c r="K95" s="82"/>
      <c r="L95" s="82"/>
      <c r="M95" s="82"/>
      <c r="N95" s="82"/>
      <c r="O95" s="82"/>
      <c r="P95" s="82"/>
      <c r="Q95" s="82"/>
      <c r="R95" s="82"/>
      <c r="S95" s="82"/>
      <c r="T95" s="82"/>
      <c r="U95" s="90"/>
      <c r="V95" s="14"/>
    </row>
    <row r="96" spans="2:22" hidden="1" x14ac:dyDescent="0.2">
      <c r="B96" s="7"/>
      <c r="C96" s="90"/>
      <c r="D96" s="82"/>
      <c r="E96" s="82"/>
      <c r="F96" s="82"/>
      <c r="G96" s="82"/>
      <c r="H96" s="82"/>
      <c r="I96" s="82"/>
      <c r="J96" s="82"/>
      <c r="K96" s="82"/>
      <c r="L96" s="82"/>
      <c r="M96" s="82"/>
      <c r="N96" s="82"/>
      <c r="O96" s="82"/>
      <c r="P96" s="82"/>
      <c r="Q96" s="82"/>
      <c r="R96" s="82"/>
      <c r="S96" s="82"/>
      <c r="T96" s="82"/>
      <c r="U96" s="90"/>
      <c r="V96" s="14"/>
    </row>
    <row r="97" spans="2:22" hidden="1" x14ac:dyDescent="0.2">
      <c r="B97" s="7"/>
      <c r="C97" s="90"/>
      <c r="D97" s="82"/>
      <c r="E97" s="82"/>
      <c r="F97" s="82"/>
      <c r="G97" s="82"/>
      <c r="H97" s="82"/>
      <c r="I97" s="82"/>
      <c r="J97" s="82"/>
      <c r="K97" s="82"/>
      <c r="L97" s="82"/>
      <c r="M97" s="82"/>
      <c r="N97" s="82"/>
      <c r="O97" s="82"/>
      <c r="P97" s="82"/>
      <c r="Q97" s="82"/>
      <c r="R97" s="82"/>
      <c r="S97" s="82"/>
      <c r="T97" s="82"/>
      <c r="U97" s="90"/>
      <c r="V97" s="11"/>
    </row>
    <row r="98" spans="2:22" hidden="1" x14ac:dyDescent="0.2">
      <c r="B98" s="7"/>
      <c r="C98" s="90"/>
      <c r="D98" s="82"/>
      <c r="E98" s="82"/>
      <c r="F98" s="82"/>
      <c r="G98" s="82"/>
      <c r="H98" s="82"/>
      <c r="I98" s="82"/>
      <c r="J98" s="82"/>
      <c r="K98" s="82"/>
      <c r="L98" s="82"/>
      <c r="M98" s="82"/>
      <c r="N98" s="82"/>
      <c r="O98" s="82"/>
      <c r="P98" s="82"/>
      <c r="Q98" s="82"/>
      <c r="R98" s="82"/>
      <c r="S98" s="82"/>
      <c r="T98" s="82"/>
      <c r="U98" s="90"/>
      <c r="V98" s="11"/>
    </row>
    <row r="99" spans="2:22" hidden="1" x14ac:dyDescent="0.2">
      <c r="B99" s="7"/>
      <c r="C99" s="90"/>
      <c r="D99" s="82"/>
      <c r="E99" s="82"/>
      <c r="F99" s="82"/>
      <c r="G99" s="82"/>
      <c r="H99" s="82"/>
      <c r="I99" s="82"/>
      <c r="J99" s="82"/>
      <c r="K99" s="82"/>
      <c r="L99" s="82"/>
      <c r="M99" s="82"/>
      <c r="N99" s="82"/>
      <c r="O99" s="82"/>
      <c r="P99" s="82"/>
      <c r="Q99" s="82"/>
      <c r="R99" s="82"/>
      <c r="S99" s="82"/>
      <c r="T99" s="82"/>
      <c r="U99" s="90"/>
      <c r="V99" s="11"/>
    </row>
    <row r="100" spans="2:22" hidden="1" x14ac:dyDescent="0.2">
      <c r="B100" s="7">
        <v>2011</v>
      </c>
      <c r="C100" s="90" t="s">
        <v>2</v>
      </c>
      <c r="D100" s="82"/>
      <c r="E100" s="82"/>
      <c r="F100" s="82"/>
      <c r="G100" s="82"/>
      <c r="H100" s="82"/>
      <c r="I100" s="82"/>
      <c r="J100" s="82"/>
      <c r="K100" s="82"/>
      <c r="L100" s="82"/>
      <c r="M100" s="82"/>
      <c r="N100" s="82"/>
      <c r="O100" s="82"/>
      <c r="P100" s="82"/>
      <c r="Q100" s="82"/>
      <c r="R100" s="82"/>
      <c r="S100" s="82"/>
      <c r="T100" s="82" t="s">
        <v>24</v>
      </c>
      <c r="U100" s="90"/>
      <c r="V100" s="8"/>
    </row>
    <row r="101" spans="2:22" hidden="1" x14ac:dyDescent="0.2">
      <c r="B101" s="7"/>
      <c r="C101" s="90" t="s">
        <v>3</v>
      </c>
      <c r="D101" s="82"/>
      <c r="E101" s="82"/>
      <c r="F101" s="82"/>
      <c r="G101" s="82"/>
      <c r="H101" s="82"/>
      <c r="I101" s="82"/>
      <c r="J101" s="82"/>
      <c r="K101" s="82"/>
      <c r="L101" s="82"/>
      <c r="M101" s="82"/>
      <c r="N101" s="82"/>
      <c r="O101" s="82"/>
      <c r="P101" s="82"/>
      <c r="Q101" s="82"/>
      <c r="R101" s="82"/>
      <c r="S101" s="82"/>
      <c r="T101" s="82">
        <v>2130</v>
      </c>
      <c r="U101" s="90"/>
      <c r="V101" s="18"/>
    </row>
    <row r="102" spans="2:22" hidden="1" x14ac:dyDescent="0.2">
      <c r="B102" s="7"/>
      <c r="C102" s="90" t="s">
        <v>4</v>
      </c>
      <c r="D102" s="82"/>
      <c r="E102" s="82"/>
      <c r="F102" s="82"/>
      <c r="G102" s="82"/>
      <c r="H102" s="82"/>
      <c r="I102" s="82"/>
      <c r="J102" s="82"/>
      <c r="K102" s="82"/>
      <c r="L102" s="82"/>
      <c r="M102" s="82"/>
      <c r="N102" s="82"/>
      <c r="O102" s="82"/>
      <c r="P102" s="82"/>
      <c r="Q102" s="82"/>
      <c r="R102" s="82"/>
      <c r="S102" s="82"/>
      <c r="T102" s="82">
        <v>20867</v>
      </c>
      <c r="U102" s="90"/>
      <c r="V102" s="18"/>
    </row>
    <row r="103" spans="2:22" hidden="1" x14ac:dyDescent="0.2">
      <c r="B103" s="7"/>
      <c r="C103" s="90" t="s">
        <v>5</v>
      </c>
      <c r="D103" s="82"/>
      <c r="E103" s="82"/>
      <c r="F103" s="82"/>
      <c r="G103" s="82"/>
      <c r="H103" s="82"/>
      <c r="I103" s="82"/>
      <c r="J103" s="82"/>
      <c r="K103" s="82"/>
      <c r="L103" s="82"/>
      <c r="M103" s="82"/>
      <c r="N103" s="82"/>
      <c r="O103" s="82"/>
      <c r="P103" s="82"/>
      <c r="Q103" s="82"/>
      <c r="R103" s="82"/>
      <c r="S103" s="82"/>
      <c r="T103" s="82">
        <v>2981</v>
      </c>
      <c r="U103" s="90"/>
      <c r="V103" s="18"/>
    </row>
    <row r="104" spans="2:22" hidden="1" x14ac:dyDescent="0.2">
      <c r="B104" s="7"/>
      <c r="C104" s="90" t="s">
        <v>6</v>
      </c>
      <c r="D104" s="82"/>
      <c r="E104" s="82"/>
      <c r="F104" s="82"/>
      <c r="G104" s="82"/>
      <c r="H104" s="82"/>
      <c r="I104" s="82"/>
      <c r="J104" s="82"/>
      <c r="K104" s="82"/>
      <c r="L104" s="82"/>
      <c r="M104" s="82"/>
      <c r="N104" s="82"/>
      <c r="O104" s="82"/>
      <c r="P104" s="82"/>
      <c r="Q104" s="82"/>
      <c r="R104" s="82"/>
      <c r="S104" s="82"/>
      <c r="T104" s="82">
        <v>1619</v>
      </c>
      <c r="U104" s="90"/>
      <c r="V104" s="18"/>
    </row>
    <row r="105" spans="2:22" hidden="1" x14ac:dyDescent="0.2">
      <c r="B105" s="7"/>
      <c r="C105" s="90" t="s">
        <v>7</v>
      </c>
      <c r="D105" s="82"/>
      <c r="E105" s="82"/>
      <c r="F105" s="82"/>
      <c r="G105" s="82"/>
      <c r="H105" s="82"/>
      <c r="I105" s="82"/>
      <c r="J105" s="82"/>
      <c r="K105" s="82"/>
      <c r="L105" s="82"/>
      <c r="M105" s="82"/>
      <c r="N105" s="82"/>
      <c r="O105" s="82"/>
      <c r="P105" s="82"/>
      <c r="Q105" s="82"/>
      <c r="R105" s="82"/>
      <c r="S105" s="82"/>
      <c r="T105" s="82">
        <v>758</v>
      </c>
      <c r="U105" s="90"/>
      <c r="V105" s="18"/>
    </row>
    <row r="106" spans="2:22" hidden="1" x14ac:dyDescent="0.2">
      <c r="B106" s="7"/>
      <c r="C106" s="90"/>
      <c r="D106" s="82"/>
      <c r="E106" s="82"/>
      <c r="F106" s="82"/>
      <c r="G106" s="82"/>
      <c r="H106" s="82"/>
      <c r="I106" s="82"/>
      <c r="J106" s="82"/>
      <c r="K106" s="82"/>
      <c r="L106" s="82"/>
      <c r="M106" s="82"/>
      <c r="N106" s="82"/>
      <c r="O106" s="82"/>
      <c r="P106" s="82"/>
      <c r="Q106" s="82"/>
      <c r="R106" s="82"/>
      <c r="S106" s="82"/>
      <c r="T106" s="82"/>
      <c r="U106" s="90"/>
      <c r="V106" s="18"/>
    </row>
    <row r="107" spans="2:22" hidden="1" x14ac:dyDescent="0.2">
      <c r="B107" s="7"/>
      <c r="C107" s="90" t="s">
        <v>25</v>
      </c>
      <c r="D107" s="82"/>
      <c r="E107" s="82"/>
      <c r="F107" s="82"/>
      <c r="G107" s="82"/>
      <c r="H107" s="82"/>
      <c r="I107" s="82"/>
      <c r="J107" s="82"/>
      <c r="K107" s="82"/>
      <c r="L107" s="82"/>
      <c r="M107" s="82"/>
      <c r="N107" s="82"/>
      <c r="O107" s="82"/>
      <c r="P107" s="82"/>
      <c r="Q107" s="82"/>
      <c r="R107" s="82"/>
      <c r="S107" s="82"/>
      <c r="T107" s="82">
        <v>17328</v>
      </c>
      <c r="U107" s="90"/>
      <c r="V107" s="18"/>
    </row>
    <row r="108" spans="2:22" hidden="1" x14ac:dyDescent="0.2">
      <c r="B108" s="7"/>
      <c r="C108" s="90" t="s">
        <v>26</v>
      </c>
      <c r="D108" s="82"/>
      <c r="E108" s="82"/>
      <c r="F108" s="82"/>
      <c r="G108" s="82"/>
      <c r="H108" s="82"/>
      <c r="I108" s="82"/>
      <c r="J108" s="82"/>
      <c r="K108" s="82"/>
      <c r="L108" s="82"/>
      <c r="M108" s="82"/>
      <c r="N108" s="82"/>
      <c r="O108" s="82"/>
      <c r="P108" s="82"/>
      <c r="Q108" s="82"/>
      <c r="R108" s="82"/>
      <c r="S108" s="82"/>
      <c r="T108" s="82">
        <v>16639</v>
      </c>
      <c r="U108" s="90"/>
      <c r="V108" s="18"/>
    </row>
    <row r="109" spans="2:22" hidden="1" x14ac:dyDescent="0.2">
      <c r="B109" s="7"/>
      <c r="C109" s="90"/>
      <c r="D109" s="82"/>
      <c r="E109" s="82"/>
      <c r="F109" s="82"/>
      <c r="G109" s="82"/>
      <c r="H109" s="82"/>
      <c r="I109" s="82"/>
      <c r="J109" s="82"/>
      <c r="K109" s="82"/>
      <c r="L109" s="82"/>
      <c r="M109" s="82"/>
      <c r="N109" s="82"/>
      <c r="O109" s="82"/>
      <c r="P109" s="82"/>
      <c r="Q109" s="82"/>
      <c r="R109" s="82"/>
      <c r="S109" s="82"/>
      <c r="T109" s="82"/>
      <c r="U109" s="90"/>
      <c r="V109" s="18"/>
    </row>
    <row r="110" spans="2:22" ht="25.5" hidden="1" customHeight="1" x14ac:dyDescent="0.2">
      <c r="B110" s="7"/>
      <c r="C110" s="90" t="s">
        <v>27</v>
      </c>
      <c r="D110" s="82"/>
      <c r="E110" s="82"/>
      <c r="F110" s="82"/>
      <c r="G110" s="82"/>
      <c r="H110" s="82"/>
      <c r="I110" s="82"/>
      <c r="J110" s="82"/>
      <c r="K110" s="82"/>
      <c r="L110" s="82"/>
      <c r="M110" s="82"/>
      <c r="N110" s="82"/>
      <c r="O110" s="82"/>
      <c r="P110" s="82"/>
      <c r="Q110" s="82"/>
      <c r="R110" s="82"/>
      <c r="S110" s="82"/>
      <c r="T110" s="82">
        <f>SUM(D101:S105)</f>
        <v>0</v>
      </c>
      <c r="U110" s="90"/>
      <c r="V110" s="19"/>
    </row>
    <row r="111" spans="2:22" ht="22.5" hidden="1" customHeight="1" x14ac:dyDescent="0.2">
      <c r="B111" s="7"/>
      <c r="C111" s="90"/>
      <c r="D111" s="82"/>
      <c r="E111" s="82"/>
      <c r="F111" s="82"/>
      <c r="G111" s="82"/>
      <c r="H111" s="82"/>
      <c r="I111" s="82"/>
      <c r="J111" s="82"/>
      <c r="K111" s="82"/>
      <c r="L111" s="82"/>
      <c r="M111" s="82"/>
      <c r="N111" s="82"/>
      <c r="O111" s="82"/>
      <c r="P111" s="82"/>
      <c r="Q111" s="82"/>
      <c r="R111" s="82"/>
      <c r="S111" s="82"/>
      <c r="T111" s="82"/>
      <c r="U111" s="90"/>
      <c r="V111" s="11"/>
    </row>
    <row r="112" spans="2:22" ht="21.75" hidden="1" customHeight="1" x14ac:dyDescent="0.2">
      <c r="B112" s="7"/>
      <c r="C112" s="90" t="s">
        <v>28</v>
      </c>
      <c r="D112" s="82"/>
      <c r="E112" s="82"/>
      <c r="F112" s="82"/>
      <c r="G112" s="82"/>
      <c r="H112" s="82"/>
      <c r="I112" s="82"/>
      <c r="J112" s="82"/>
      <c r="K112" s="82"/>
      <c r="L112" s="82"/>
      <c r="M112" s="82"/>
      <c r="N112" s="82"/>
      <c r="O112" s="82"/>
      <c r="P112" s="82"/>
      <c r="Q112" s="82"/>
      <c r="R112" s="82"/>
      <c r="S112" s="82"/>
      <c r="T112" s="82"/>
      <c r="U112" s="90"/>
      <c r="V112" s="14"/>
    </row>
    <row r="113" spans="2:22" ht="21.75" hidden="1" customHeight="1" x14ac:dyDescent="0.2">
      <c r="B113" s="7"/>
      <c r="C113" s="90" t="s">
        <v>3</v>
      </c>
      <c r="D113" s="82"/>
      <c r="E113" s="82"/>
      <c r="F113" s="82"/>
      <c r="G113" s="82"/>
      <c r="H113" s="82"/>
      <c r="I113" s="82"/>
      <c r="J113" s="82"/>
      <c r="K113" s="82"/>
      <c r="L113" s="82"/>
      <c r="M113" s="82"/>
      <c r="N113" s="82"/>
      <c r="O113" s="82"/>
      <c r="P113" s="82"/>
      <c r="Q113" s="82"/>
      <c r="R113" s="82"/>
      <c r="S113" s="82"/>
      <c r="T113" s="82"/>
      <c r="U113" s="90"/>
      <c r="V113" s="14"/>
    </row>
    <row r="114" spans="2:22" ht="21.75" hidden="1" customHeight="1" x14ac:dyDescent="0.2">
      <c r="B114" s="7"/>
      <c r="C114" s="90" t="s">
        <v>4</v>
      </c>
      <c r="D114" s="82"/>
      <c r="E114" s="82"/>
      <c r="F114" s="82"/>
      <c r="G114" s="82"/>
      <c r="H114" s="82"/>
      <c r="I114" s="82"/>
      <c r="J114" s="82"/>
      <c r="K114" s="82"/>
      <c r="L114" s="82"/>
      <c r="M114" s="82"/>
      <c r="N114" s="82"/>
      <c r="O114" s="82"/>
      <c r="P114" s="82"/>
      <c r="Q114" s="82"/>
      <c r="R114" s="82"/>
      <c r="S114" s="82"/>
      <c r="T114" s="82"/>
      <c r="U114" s="90"/>
      <c r="V114" s="14"/>
    </row>
    <row r="115" spans="2:22" ht="20.25" hidden="1" customHeight="1" x14ac:dyDescent="0.2">
      <c r="B115" s="7"/>
      <c r="C115" s="90" t="s">
        <v>5</v>
      </c>
      <c r="D115" s="82"/>
      <c r="E115" s="82"/>
      <c r="F115" s="82"/>
      <c r="G115" s="82"/>
      <c r="H115" s="82"/>
      <c r="I115" s="82"/>
      <c r="J115" s="82"/>
      <c r="K115" s="82"/>
      <c r="L115" s="82"/>
      <c r="M115" s="82"/>
      <c r="N115" s="82"/>
      <c r="O115" s="82"/>
      <c r="P115" s="82"/>
      <c r="Q115" s="82"/>
      <c r="R115" s="82"/>
      <c r="S115" s="82"/>
      <c r="T115" s="82"/>
      <c r="U115" s="90"/>
      <c r="V115" s="14"/>
    </row>
    <row r="116" spans="2:22" ht="18.75" hidden="1" customHeight="1" x14ac:dyDescent="0.2">
      <c r="B116" s="7"/>
      <c r="C116" s="90" t="s">
        <v>6</v>
      </c>
      <c r="D116" s="82"/>
      <c r="E116" s="82"/>
      <c r="F116" s="82"/>
      <c r="G116" s="82"/>
      <c r="H116" s="82"/>
      <c r="I116" s="82"/>
      <c r="J116" s="82"/>
      <c r="K116" s="82"/>
      <c r="L116" s="82"/>
      <c r="M116" s="82"/>
      <c r="N116" s="82"/>
      <c r="O116" s="82"/>
      <c r="P116" s="82"/>
      <c r="Q116" s="82"/>
      <c r="R116" s="82"/>
      <c r="S116" s="82"/>
      <c r="T116" s="82"/>
      <c r="U116" s="90"/>
      <c r="V116" s="14"/>
    </row>
    <row r="117" spans="2:22" ht="18.75" hidden="1" customHeight="1" x14ac:dyDescent="0.2">
      <c r="B117" s="7"/>
      <c r="C117" s="90" t="s">
        <v>7</v>
      </c>
      <c r="D117" s="82"/>
      <c r="E117" s="82"/>
      <c r="F117" s="82"/>
      <c r="G117" s="82"/>
      <c r="H117" s="82"/>
      <c r="I117" s="82"/>
      <c r="J117" s="82"/>
      <c r="K117" s="82"/>
      <c r="L117" s="82"/>
      <c r="M117" s="82"/>
      <c r="N117" s="82"/>
      <c r="O117" s="82"/>
      <c r="P117" s="82"/>
      <c r="Q117" s="82"/>
      <c r="R117" s="82"/>
      <c r="S117" s="82"/>
      <c r="T117" s="82"/>
      <c r="U117" s="90"/>
      <c r="V117" s="14"/>
    </row>
    <row r="118" spans="2:22" ht="19.5" hidden="1" customHeight="1" x14ac:dyDescent="0.2">
      <c r="B118" s="7"/>
      <c r="C118" s="90"/>
      <c r="D118" s="82"/>
      <c r="E118" s="82"/>
      <c r="F118" s="82"/>
      <c r="G118" s="82"/>
      <c r="H118" s="82"/>
      <c r="I118" s="82"/>
      <c r="J118" s="82"/>
      <c r="K118" s="82"/>
      <c r="L118" s="82"/>
      <c r="M118" s="82"/>
      <c r="N118" s="82"/>
      <c r="O118" s="82"/>
      <c r="P118" s="82"/>
      <c r="Q118" s="82"/>
      <c r="R118" s="82"/>
      <c r="S118" s="82"/>
      <c r="T118" s="82"/>
      <c r="U118" s="90"/>
      <c r="V118" s="14"/>
    </row>
    <row r="119" spans="2:22" ht="21" hidden="1" customHeight="1" x14ac:dyDescent="0.2">
      <c r="B119" s="7"/>
      <c r="C119" s="90" t="s">
        <v>25</v>
      </c>
      <c r="D119" s="82"/>
      <c r="E119" s="82"/>
      <c r="F119" s="82"/>
      <c r="G119" s="82"/>
      <c r="H119" s="82"/>
      <c r="I119" s="82"/>
      <c r="J119" s="82"/>
      <c r="K119" s="82"/>
      <c r="L119" s="82"/>
      <c r="M119" s="82"/>
      <c r="N119" s="82"/>
      <c r="O119" s="82"/>
      <c r="P119" s="82"/>
      <c r="Q119" s="82"/>
      <c r="R119" s="82"/>
      <c r="S119" s="82"/>
      <c r="T119" s="82"/>
      <c r="U119" s="90"/>
      <c r="V119" s="14"/>
    </row>
    <row r="120" spans="2:22" ht="19.5" hidden="1" customHeight="1" x14ac:dyDescent="0.2">
      <c r="B120" s="7"/>
      <c r="C120" s="90" t="s">
        <v>26</v>
      </c>
      <c r="D120" s="82"/>
      <c r="E120" s="82"/>
      <c r="F120" s="82"/>
      <c r="G120" s="82"/>
      <c r="H120" s="82"/>
      <c r="I120" s="82"/>
      <c r="J120" s="82"/>
      <c r="K120" s="82"/>
      <c r="L120" s="82"/>
      <c r="M120" s="82"/>
      <c r="N120" s="82"/>
      <c r="O120" s="82"/>
      <c r="P120" s="82"/>
      <c r="Q120" s="82"/>
      <c r="R120" s="82"/>
      <c r="S120" s="82"/>
      <c r="T120" s="82"/>
      <c r="U120" s="90"/>
      <c r="V120" s="14"/>
    </row>
    <row r="121" spans="2:22" ht="21" hidden="1" customHeight="1" x14ac:dyDescent="0.2">
      <c r="B121" s="7"/>
      <c r="C121" s="90"/>
      <c r="D121" s="82"/>
      <c r="E121" s="82"/>
      <c r="F121" s="82"/>
      <c r="G121" s="82"/>
      <c r="H121" s="82"/>
      <c r="I121" s="82"/>
      <c r="J121" s="82"/>
      <c r="K121" s="82"/>
      <c r="L121" s="82"/>
      <c r="M121" s="82"/>
      <c r="N121" s="82"/>
      <c r="O121" s="82"/>
      <c r="P121" s="82"/>
      <c r="Q121" s="82"/>
      <c r="R121" s="82"/>
      <c r="S121" s="82"/>
      <c r="T121" s="82"/>
      <c r="U121" s="90"/>
      <c r="V121" s="14"/>
    </row>
    <row r="122" spans="2:22" hidden="1" x14ac:dyDescent="0.2">
      <c r="B122" s="7"/>
      <c r="C122" s="90" t="s">
        <v>27</v>
      </c>
      <c r="D122" s="82"/>
      <c r="E122" s="82"/>
      <c r="F122" s="82"/>
      <c r="G122" s="82"/>
      <c r="H122" s="82"/>
      <c r="I122" s="82"/>
      <c r="J122" s="82"/>
      <c r="K122" s="82"/>
      <c r="L122" s="82"/>
      <c r="M122" s="82"/>
      <c r="N122" s="82"/>
      <c r="O122" s="82"/>
      <c r="P122" s="82"/>
      <c r="Q122" s="82"/>
      <c r="R122" s="82"/>
      <c r="S122" s="82"/>
      <c r="T122" s="82"/>
      <c r="U122" s="90"/>
      <c r="V122" s="14"/>
    </row>
    <row r="123" spans="2:22" hidden="1" x14ac:dyDescent="0.2">
      <c r="B123" s="7"/>
      <c r="C123" s="90"/>
      <c r="D123" s="82"/>
      <c r="E123" s="82"/>
      <c r="F123" s="82"/>
      <c r="G123" s="82"/>
      <c r="H123" s="82"/>
      <c r="I123" s="82"/>
      <c r="J123" s="82"/>
      <c r="K123" s="82"/>
      <c r="L123" s="82"/>
      <c r="M123" s="82"/>
      <c r="N123" s="82"/>
      <c r="O123" s="82"/>
      <c r="P123" s="82"/>
      <c r="Q123" s="82"/>
      <c r="R123" s="82"/>
      <c r="S123" s="82"/>
      <c r="T123" s="82"/>
      <c r="U123" s="90"/>
      <c r="V123" s="11"/>
    </row>
    <row r="124" spans="2:22" hidden="1" x14ac:dyDescent="0.2">
      <c r="B124" s="7"/>
      <c r="C124" s="90"/>
      <c r="D124" s="82"/>
      <c r="E124" s="82"/>
      <c r="F124" s="82"/>
      <c r="G124" s="82"/>
      <c r="H124" s="82"/>
      <c r="I124" s="82"/>
      <c r="J124" s="82"/>
      <c r="K124" s="82"/>
      <c r="L124" s="82"/>
      <c r="M124" s="82"/>
      <c r="N124" s="82"/>
      <c r="O124" s="82"/>
      <c r="P124" s="82"/>
      <c r="Q124" s="82"/>
      <c r="R124" s="82"/>
      <c r="S124" s="82"/>
      <c r="T124" s="82"/>
      <c r="U124" s="90"/>
      <c r="V124" s="11"/>
    </row>
    <row r="125" spans="2:22" hidden="1" x14ac:dyDescent="0.2">
      <c r="B125" s="7"/>
      <c r="C125" s="90"/>
      <c r="D125" s="82"/>
      <c r="E125" s="82"/>
      <c r="F125" s="82"/>
      <c r="G125" s="82"/>
      <c r="H125" s="82"/>
      <c r="I125" s="82"/>
      <c r="J125" s="82"/>
      <c r="K125" s="82"/>
      <c r="L125" s="82"/>
      <c r="M125" s="82"/>
      <c r="N125" s="82"/>
      <c r="O125" s="82"/>
      <c r="P125" s="82"/>
      <c r="Q125" s="82"/>
      <c r="R125" s="82"/>
      <c r="S125" s="82"/>
      <c r="T125" s="82"/>
      <c r="U125" s="90"/>
      <c r="V125" s="11"/>
    </row>
    <row r="126" spans="2:22" hidden="1" x14ac:dyDescent="0.2">
      <c r="B126" s="7"/>
      <c r="C126" s="90"/>
      <c r="D126" s="82"/>
      <c r="E126" s="82"/>
      <c r="F126" s="82"/>
      <c r="G126" s="82"/>
      <c r="H126" s="82"/>
      <c r="I126" s="82"/>
      <c r="J126" s="82"/>
      <c r="K126" s="82"/>
      <c r="L126" s="82"/>
      <c r="M126" s="82"/>
      <c r="N126" s="82"/>
      <c r="O126" s="82"/>
      <c r="P126" s="82"/>
      <c r="Q126" s="82"/>
      <c r="R126" s="82"/>
      <c r="S126" s="82"/>
      <c r="T126" s="82"/>
      <c r="U126" s="90"/>
      <c r="V126" s="11"/>
    </row>
    <row r="127" spans="2:22" hidden="1" x14ac:dyDescent="0.2">
      <c r="B127" s="7">
        <v>2010</v>
      </c>
      <c r="C127" s="90" t="s">
        <v>2</v>
      </c>
      <c r="D127" s="82"/>
      <c r="E127" s="82"/>
      <c r="F127" s="82"/>
      <c r="G127" s="82"/>
      <c r="H127" s="82"/>
      <c r="I127" s="82"/>
      <c r="J127" s="82"/>
      <c r="K127" s="82"/>
      <c r="L127" s="82"/>
      <c r="M127" s="82"/>
      <c r="N127" s="82"/>
      <c r="O127" s="82"/>
      <c r="P127" s="82"/>
      <c r="Q127" s="82"/>
      <c r="R127" s="82"/>
      <c r="S127" s="82"/>
      <c r="T127" s="82" t="s">
        <v>24</v>
      </c>
      <c r="U127" s="90"/>
      <c r="V127" s="8"/>
    </row>
    <row r="128" spans="2:22" hidden="1" x14ac:dyDescent="0.2">
      <c r="B128" s="7"/>
      <c r="C128" s="90" t="s">
        <v>3</v>
      </c>
      <c r="D128" s="82"/>
      <c r="E128" s="82"/>
      <c r="F128" s="82"/>
      <c r="G128" s="82"/>
      <c r="H128" s="82"/>
      <c r="I128" s="82"/>
      <c r="J128" s="82"/>
      <c r="K128" s="82"/>
      <c r="L128" s="82"/>
      <c r="M128" s="82"/>
      <c r="N128" s="82"/>
      <c r="O128" s="82"/>
      <c r="P128" s="82"/>
      <c r="Q128" s="82"/>
      <c r="R128" s="82"/>
      <c r="S128" s="82"/>
      <c r="T128" s="82">
        <v>2097</v>
      </c>
      <c r="U128" s="90"/>
      <c r="V128" s="18"/>
    </row>
    <row r="129" spans="2:22" hidden="1" x14ac:dyDescent="0.2">
      <c r="B129" s="7"/>
      <c r="C129" s="90" t="s">
        <v>4</v>
      </c>
      <c r="D129" s="82"/>
      <c r="E129" s="82"/>
      <c r="F129" s="82"/>
      <c r="G129" s="82"/>
      <c r="H129" s="82"/>
      <c r="I129" s="82"/>
      <c r="J129" s="82"/>
      <c r="K129" s="82"/>
      <c r="L129" s="82"/>
      <c r="M129" s="82"/>
      <c r="N129" s="82"/>
      <c r="O129" s="82"/>
      <c r="P129" s="82"/>
      <c r="Q129" s="82"/>
      <c r="R129" s="82"/>
      <c r="S129" s="82"/>
      <c r="T129" s="82">
        <v>20765</v>
      </c>
      <c r="U129" s="90"/>
      <c r="V129" s="18"/>
    </row>
    <row r="130" spans="2:22" hidden="1" x14ac:dyDescent="0.2">
      <c r="B130" s="7"/>
      <c r="C130" s="90" t="s">
        <v>5</v>
      </c>
      <c r="D130" s="82"/>
      <c r="E130" s="82"/>
      <c r="F130" s="82"/>
      <c r="G130" s="82"/>
      <c r="H130" s="82"/>
      <c r="I130" s="82"/>
      <c r="J130" s="82"/>
      <c r="K130" s="82"/>
      <c r="L130" s="82"/>
      <c r="M130" s="82"/>
      <c r="N130" s="82"/>
      <c r="O130" s="82"/>
      <c r="P130" s="82"/>
      <c r="Q130" s="82"/>
      <c r="R130" s="82"/>
      <c r="S130" s="82"/>
      <c r="T130" s="82">
        <v>2776</v>
      </c>
      <c r="U130" s="90"/>
      <c r="V130" s="18"/>
    </row>
    <row r="131" spans="2:22" hidden="1" x14ac:dyDescent="0.2">
      <c r="B131" s="7"/>
      <c r="C131" s="90" t="s">
        <v>6</v>
      </c>
      <c r="D131" s="82"/>
      <c r="E131" s="82"/>
      <c r="F131" s="82"/>
      <c r="G131" s="82"/>
      <c r="H131" s="82"/>
      <c r="I131" s="82"/>
      <c r="J131" s="82"/>
      <c r="K131" s="82"/>
      <c r="L131" s="82"/>
      <c r="M131" s="82"/>
      <c r="N131" s="82"/>
      <c r="O131" s="82"/>
      <c r="P131" s="82"/>
      <c r="Q131" s="82"/>
      <c r="R131" s="82"/>
      <c r="S131" s="82"/>
      <c r="T131" s="82">
        <v>1635</v>
      </c>
      <c r="U131" s="90"/>
      <c r="V131" s="18"/>
    </row>
    <row r="132" spans="2:22" hidden="1" x14ac:dyDescent="0.2">
      <c r="C132" s="90" t="s">
        <v>7</v>
      </c>
      <c r="D132" s="82"/>
      <c r="E132" s="82"/>
      <c r="F132" s="82"/>
      <c r="G132" s="82"/>
      <c r="H132" s="82"/>
      <c r="I132" s="82"/>
      <c r="J132" s="82"/>
      <c r="K132" s="82"/>
      <c r="L132" s="82"/>
      <c r="M132" s="82"/>
      <c r="N132" s="82"/>
      <c r="O132" s="82"/>
      <c r="P132" s="82"/>
      <c r="Q132" s="82"/>
      <c r="R132" s="82"/>
      <c r="S132" s="82"/>
      <c r="T132" s="82">
        <v>734</v>
      </c>
      <c r="U132" s="90"/>
      <c r="V132" s="18"/>
    </row>
    <row r="133" spans="2:22" hidden="1" x14ac:dyDescent="0.2">
      <c r="C133" s="90"/>
      <c r="D133" s="82"/>
      <c r="E133" s="82"/>
      <c r="F133" s="82"/>
      <c r="G133" s="82"/>
      <c r="H133" s="82"/>
      <c r="I133" s="82"/>
      <c r="J133" s="82"/>
      <c r="K133" s="82"/>
      <c r="L133" s="82"/>
      <c r="M133" s="82"/>
      <c r="N133" s="82"/>
      <c r="O133" s="82"/>
      <c r="P133" s="82"/>
      <c r="Q133" s="82"/>
      <c r="R133" s="82"/>
      <c r="S133" s="82"/>
      <c r="T133" s="82"/>
      <c r="U133" s="90"/>
      <c r="V133" s="18"/>
    </row>
    <row r="134" spans="2:22" hidden="1" x14ac:dyDescent="0.2">
      <c r="C134" s="90" t="s">
        <v>25</v>
      </c>
      <c r="D134" s="82"/>
      <c r="E134" s="82"/>
      <c r="F134" s="82"/>
      <c r="G134" s="82"/>
      <c r="H134" s="82"/>
      <c r="I134" s="82"/>
      <c r="J134" s="82"/>
      <c r="K134" s="82"/>
      <c r="L134" s="82"/>
      <c r="M134" s="82"/>
      <c r="N134" s="82"/>
      <c r="O134" s="82"/>
      <c r="P134" s="82"/>
      <c r="Q134" s="82"/>
      <c r="R134" s="82"/>
      <c r="S134" s="82"/>
      <c r="T134" s="82">
        <v>17224</v>
      </c>
      <c r="U134" s="90"/>
      <c r="V134" s="18"/>
    </row>
    <row r="135" spans="2:22" hidden="1" x14ac:dyDescent="0.2">
      <c r="C135" s="90" t="s">
        <v>26</v>
      </c>
      <c r="D135" s="82"/>
      <c r="E135" s="82"/>
      <c r="F135" s="82"/>
      <c r="G135" s="82"/>
      <c r="H135" s="82"/>
      <c r="I135" s="82"/>
      <c r="J135" s="82"/>
      <c r="K135" s="82"/>
      <c r="L135" s="82"/>
      <c r="M135" s="82"/>
      <c r="N135" s="82"/>
      <c r="O135" s="82"/>
      <c r="P135" s="82"/>
      <c r="Q135" s="82"/>
      <c r="R135" s="82"/>
      <c r="S135" s="82"/>
      <c r="T135" s="82">
        <v>16548</v>
      </c>
      <c r="U135" s="90"/>
      <c r="V135" s="18"/>
    </row>
    <row r="136" spans="2:22" hidden="1" x14ac:dyDescent="0.2">
      <c r="C136" s="90"/>
      <c r="D136" s="82"/>
      <c r="E136" s="82"/>
      <c r="F136" s="82"/>
      <c r="G136" s="82"/>
      <c r="H136" s="82"/>
      <c r="I136" s="82"/>
      <c r="J136" s="82"/>
      <c r="K136" s="82"/>
      <c r="L136" s="82"/>
      <c r="M136" s="82"/>
      <c r="N136" s="82"/>
      <c r="O136" s="82"/>
      <c r="P136" s="82"/>
      <c r="Q136" s="82"/>
      <c r="R136" s="82"/>
      <c r="S136" s="82"/>
      <c r="T136" s="82"/>
      <c r="U136" s="90"/>
      <c r="V136" s="18"/>
    </row>
    <row r="137" spans="2:22" hidden="1" x14ac:dyDescent="0.2">
      <c r="C137" s="90" t="s">
        <v>27</v>
      </c>
      <c r="D137" s="82"/>
      <c r="E137" s="82"/>
      <c r="F137" s="82"/>
      <c r="G137" s="82"/>
      <c r="H137" s="82"/>
      <c r="I137" s="82"/>
      <c r="J137" s="82"/>
      <c r="K137" s="82"/>
      <c r="L137" s="82"/>
      <c r="M137" s="82"/>
      <c r="N137" s="82"/>
      <c r="O137" s="82"/>
      <c r="P137" s="82"/>
      <c r="Q137" s="82"/>
      <c r="R137" s="82"/>
      <c r="S137" s="82"/>
      <c r="T137" s="82">
        <f>SUM(D128:S132)</f>
        <v>0</v>
      </c>
      <c r="U137" s="90"/>
      <c r="V137" s="19"/>
    </row>
    <row r="138" spans="2:22" hidden="1" x14ac:dyDescent="0.2">
      <c r="C138" s="90"/>
      <c r="D138" s="82"/>
      <c r="E138" s="82"/>
      <c r="F138" s="82"/>
      <c r="G138" s="82"/>
      <c r="H138" s="82"/>
      <c r="I138" s="82"/>
      <c r="J138" s="82"/>
      <c r="K138" s="82"/>
      <c r="L138" s="82"/>
      <c r="M138" s="82"/>
      <c r="N138" s="82"/>
      <c r="O138" s="82"/>
      <c r="P138" s="82"/>
      <c r="Q138" s="82"/>
      <c r="R138" s="82"/>
      <c r="S138" s="82"/>
      <c r="T138" s="82"/>
      <c r="U138" s="90"/>
      <c r="V138" s="11"/>
    </row>
    <row r="139" spans="2:22" hidden="1" x14ac:dyDescent="0.2">
      <c r="C139" s="90"/>
      <c r="D139" s="82"/>
      <c r="E139" s="82"/>
      <c r="F139" s="82"/>
      <c r="G139" s="82"/>
      <c r="H139" s="82"/>
      <c r="I139" s="82"/>
      <c r="J139" s="82"/>
      <c r="K139" s="82"/>
      <c r="L139" s="82"/>
      <c r="M139" s="82"/>
      <c r="N139" s="82"/>
      <c r="O139" s="82"/>
      <c r="P139" s="82"/>
      <c r="Q139" s="82"/>
      <c r="R139" s="82"/>
      <c r="S139" s="82"/>
      <c r="T139" s="82"/>
      <c r="U139" s="90"/>
      <c r="V139" s="11"/>
    </row>
    <row r="140" spans="2:22" hidden="1" x14ac:dyDescent="0.2">
      <c r="C140" s="90"/>
      <c r="D140" s="82"/>
      <c r="E140" s="82"/>
      <c r="F140" s="82"/>
      <c r="G140" s="82"/>
      <c r="H140" s="82"/>
      <c r="I140" s="82"/>
      <c r="J140" s="82"/>
      <c r="K140" s="82"/>
      <c r="L140" s="82"/>
      <c r="M140" s="82"/>
      <c r="N140" s="82"/>
      <c r="O140" s="82"/>
      <c r="P140" s="82"/>
      <c r="Q140" s="82"/>
      <c r="R140" s="82"/>
      <c r="S140" s="82"/>
      <c r="T140" s="82"/>
      <c r="U140" s="90"/>
      <c r="V140" s="11"/>
    </row>
    <row r="141" spans="2:22" hidden="1" x14ac:dyDescent="0.2">
      <c r="C141" s="90"/>
      <c r="D141" s="82"/>
      <c r="E141" s="82"/>
      <c r="F141" s="82"/>
      <c r="G141" s="82"/>
      <c r="H141" s="82"/>
      <c r="I141" s="82"/>
      <c r="J141" s="82"/>
      <c r="K141" s="82"/>
      <c r="L141" s="82"/>
      <c r="M141" s="82"/>
      <c r="N141" s="82"/>
      <c r="O141" s="82"/>
      <c r="P141" s="82"/>
      <c r="Q141" s="82"/>
      <c r="R141" s="82"/>
      <c r="S141" s="82"/>
      <c r="T141" s="82"/>
      <c r="U141" s="90"/>
      <c r="V141" s="11"/>
    </row>
    <row r="142" spans="2:22" hidden="1" x14ac:dyDescent="0.2">
      <c r="C142" s="90" t="s">
        <v>28</v>
      </c>
      <c r="D142" s="82"/>
      <c r="E142" s="82"/>
      <c r="F142" s="82"/>
      <c r="G142" s="82"/>
      <c r="H142" s="82"/>
      <c r="I142" s="82"/>
      <c r="J142" s="82"/>
      <c r="K142" s="82"/>
      <c r="L142" s="82"/>
      <c r="M142" s="82"/>
      <c r="N142" s="82"/>
      <c r="O142" s="82"/>
      <c r="P142" s="82"/>
      <c r="Q142" s="82"/>
      <c r="R142" s="82"/>
      <c r="S142" s="82"/>
      <c r="T142" s="82"/>
      <c r="U142" s="90"/>
      <c r="V142" s="14"/>
    </row>
    <row r="143" spans="2:22" hidden="1" x14ac:dyDescent="0.2">
      <c r="C143" s="90" t="s">
        <v>3</v>
      </c>
      <c r="D143" s="82"/>
      <c r="E143" s="82"/>
      <c r="F143" s="82"/>
      <c r="G143" s="82"/>
      <c r="H143" s="82"/>
      <c r="I143" s="82"/>
      <c r="J143" s="82"/>
      <c r="K143" s="82"/>
      <c r="L143" s="82"/>
      <c r="M143" s="82"/>
      <c r="N143" s="82"/>
      <c r="O143" s="82"/>
      <c r="P143" s="82"/>
      <c r="Q143" s="82"/>
      <c r="R143" s="82"/>
      <c r="S143" s="82"/>
      <c r="T143" s="82"/>
      <c r="U143" s="90"/>
      <c r="V143" s="14"/>
    </row>
    <row r="144" spans="2:22" hidden="1" x14ac:dyDescent="0.2">
      <c r="C144" s="90" t="s">
        <v>4</v>
      </c>
      <c r="D144" s="82"/>
      <c r="E144" s="82"/>
      <c r="F144" s="82"/>
      <c r="G144" s="82"/>
      <c r="H144" s="82"/>
      <c r="I144" s="82"/>
      <c r="J144" s="82"/>
      <c r="K144" s="82"/>
      <c r="L144" s="82"/>
      <c r="M144" s="82"/>
      <c r="N144" s="82"/>
      <c r="O144" s="82"/>
      <c r="P144" s="82"/>
      <c r="Q144" s="82"/>
      <c r="R144" s="82"/>
      <c r="S144" s="82"/>
      <c r="T144" s="82"/>
      <c r="U144" s="90"/>
      <c r="V144" s="14"/>
    </row>
    <row r="145" spans="3:22" hidden="1" x14ac:dyDescent="0.2">
      <c r="C145" s="90" t="s">
        <v>5</v>
      </c>
      <c r="D145" s="82"/>
      <c r="E145" s="82"/>
      <c r="F145" s="82"/>
      <c r="G145" s="82"/>
      <c r="H145" s="82"/>
      <c r="I145" s="82"/>
      <c r="J145" s="82"/>
      <c r="K145" s="82"/>
      <c r="L145" s="82"/>
      <c r="M145" s="82"/>
      <c r="N145" s="82"/>
      <c r="O145" s="82"/>
      <c r="P145" s="82"/>
      <c r="Q145" s="82"/>
      <c r="R145" s="82"/>
      <c r="S145" s="82"/>
      <c r="T145" s="82"/>
      <c r="U145" s="90"/>
      <c r="V145" s="14"/>
    </row>
    <row r="146" spans="3:22" hidden="1" x14ac:dyDescent="0.2">
      <c r="C146" s="90" t="s">
        <v>6</v>
      </c>
      <c r="D146" s="82"/>
      <c r="E146" s="82"/>
      <c r="F146" s="82"/>
      <c r="G146" s="82"/>
      <c r="H146" s="82"/>
      <c r="I146" s="82"/>
      <c r="J146" s="82"/>
      <c r="K146" s="82"/>
      <c r="L146" s="82"/>
      <c r="M146" s="82"/>
      <c r="N146" s="82"/>
      <c r="O146" s="82"/>
      <c r="P146" s="82"/>
      <c r="Q146" s="82"/>
      <c r="R146" s="82"/>
      <c r="S146" s="82"/>
      <c r="T146" s="82"/>
      <c r="U146" s="90"/>
      <c r="V146" s="14"/>
    </row>
    <row r="147" spans="3:22" hidden="1" x14ac:dyDescent="0.2">
      <c r="C147" s="90" t="s">
        <v>7</v>
      </c>
      <c r="D147" s="82"/>
      <c r="E147" s="82"/>
      <c r="F147" s="82"/>
      <c r="G147" s="82"/>
      <c r="H147" s="82"/>
      <c r="I147" s="82"/>
      <c r="J147" s="82"/>
      <c r="K147" s="82"/>
      <c r="L147" s="82"/>
      <c r="M147" s="82"/>
      <c r="N147" s="82"/>
      <c r="O147" s="82"/>
      <c r="P147" s="82"/>
      <c r="Q147" s="82"/>
      <c r="R147" s="82"/>
      <c r="S147" s="82"/>
      <c r="T147" s="82"/>
      <c r="U147" s="90"/>
      <c r="V147" s="14"/>
    </row>
    <row r="148" spans="3:22" hidden="1" x14ac:dyDescent="0.2">
      <c r="C148" s="90"/>
      <c r="D148" s="82"/>
      <c r="E148" s="82"/>
      <c r="F148" s="82"/>
      <c r="G148" s="82"/>
      <c r="H148" s="82"/>
      <c r="I148" s="82"/>
      <c r="J148" s="82"/>
      <c r="K148" s="82"/>
      <c r="L148" s="82"/>
      <c r="M148" s="82"/>
      <c r="N148" s="82"/>
      <c r="O148" s="82"/>
      <c r="P148" s="82"/>
      <c r="Q148" s="82"/>
      <c r="R148" s="82"/>
      <c r="S148" s="82"/>
      <c r="T148" s="82"/>
      <c r="U148" s="90"/>
      <c r="V148" s="14"/>
    </row>
    <row r="149" spans="3:22" hidden="1" x14ac:dyDescent="0.2">
      <c r="C149" s="90" t="s">
        <v>25</v>
      </c>
      <c r="D149" s="82"/>
      <c r="E149" s="82"/>
      <c r="F149" s="82"/>
      <c r="G149" s="82"/>
      <c r="H149" s="82"/>
      <c r="I149" s="82"/>
      <c r="J149" s="82"/>
      <c r="K149" s="82"/>
      <c r="L149" s="82"/>
      <c r="M149" s="82"/>
      <c r="N149" s="82"/>
      <c r="O149" s="82"/>
      <c r="P149" s="82"/>
      <c r="Q149" s="82"/>
      <c r="R149" s="82"/>
      <c r="S149" s="82"/>
      <c r="T149" s="82"/>
      <c r="U149" s="90"/>
      <c r="V149" s="14"/>
    </row>
    <row r="150" spans="3:22" hidden="1" x14ac:dyDescent="0.2">
      <c r="C150" s="90" t="s">
        <v>26</v>
      </c>
      <c r="D150" s="82"/>
      <c r="E150" s="82"/>
      <c r="F150" s="82"/>
      <c r="G150" s="82"/>
      <c r="H150" s="82"/>
      <c r="I150" s="82"/>
      <c r="J150" s="82"/>
      <c r="K150" s="82"/>
      <c r="L150" s="82"/>
      <c r="M150" s="82"/>
      <c r="N150" s="82"/>
      <c r="O150" s="82"/>
      <c r="P150" s="82"/>
      <c r="Q150" s="82"/>
      <c r="R150" s="82"/>
      <c r="S150" s="82"/>
      <c r="T150" s="82"/>
      <c r="U150" s="90"/>
      <c r="V150" s="14"/>
    </row>
    <row r="151" spans="3:22" hidden="1" x14ac:dyDescent="0.2">
      <c r="C151" s="90"/>
      <c r="D151" s="82"/>
      <c r="E151" s="82"/>
      <c r="F151" s="82"/>
      <c r="G151" s="82"/>
      <c r="H151" s="82"/>
      <c r="I151" s="82"/>
      <c r="J151" s="82"/>
      <c r="K151" s="82"/>
      <c r="L151" s="82"/>
      <c r="M151" s="82"/>
      <c r="N151" s="82"/>
      <c r="O151" s="82"/>
      <c r="P151" s="82"/>
      <c r="Q151" s="82"/>
      <c r="R151" s="82"/>
      <c r="S151" s="82"/>
      <c r="T151" s="82"/>
      <c r="U151" s="90"/>
      <c r="V151" s="14"/>
    </row>
    <row r="152" spans="3:22" hidden="1" x14ac:dyDescent="0.2">
      <c r="C152" s="90" t="s">
        <v>27</v>
      </c>
      <c r="D152" s="82"/>
      <c r="E152" s="82"/>
      <c r="F152" s="82"/>
      <c r="G152" s="82"/>
      <c r="H152" s="82"/>
      <c r="I152" s="82"/>
      <c r="J152" s="82"/>
      <c r="K152" s="82"/>
      <c r="L152" s="82"/>
      <c r="M152" s="82"/>
      <c r="N152" s="82"/>
      <c r="O152" s="82"/>
      <c r="P152" s="82"/>
      <c r="Q152" s="82"/>
      <c r="R152" s="82"/>
      <c r="S152" s="82"/>
      <c r="T152" s="82"/>
      <c r="U152" s="90"/>
      <c r="V152" s="14"/>
    </row>
    <row r="153" spans="3:22" hidden="1" x14ac:dyDescent="0.2">
      <c r="C153" s="90"/>
      <c r="D153" s="82"/>
      <c r="E153" s="82"/>
      <c r="F153" s="82"/>
      <c r="G153" s="82"/>
      <c r="H153" s="82"/>
      <c r="I153" s="82"/>
      <c r="J153" s="82"/>
      <c r="K153" s="82"/>
      <c r="L153" s="82"/>
      <c r="M153" s="82"/>
      <c r="N153" s="82"/>
      <c r="O153" s="82"/>
      <c r="P153" s="82"/>
      <c r="Q153" s="82"/>
      <c r="R153" s="82"/>
      <c r="S153" s="82"/>
      <c r="T153" s="82"/>
      <c r="U153" s="90"/>
      <c r="V153" s="20"/>
    </row>
    <row r="154" spans="3:22" ht="15.75" thickBot="1" x14ac:dyDescent="0.25">
      <c r="C154" s="91"/>
      <c r="D154" s="88"/>
      <c r="E154" s="88"/>
      <c r="F154" s="88"/>
      <c r="G154" s="88"/>
      <c r="H154" s="88"/>
      <c r="I154" s="88"/>
      <c r="J154" s="88"/>
      <c r="K154" s="88"/>
      <c r="L154" s="88"/>
      <c r="M154" s="88"/>
      <c r="N154" s="88"/>
      <c r="O154" s="88"/>
      <c r="P154" s="88"/>
      <c r="Q154" s="88"/>
      <c r="R154" s="88"/>
      <c r="S154" s="88"/>
      <c r="T154" s="88"/>
      <c r="U154" s="91"/>
      <c r="V154" s="9"/>
    </row>
    <row r="156" spans="3:22" x14ac:dyDescent="0.2">
      <c r="D156" s="1">
        <v>322144.75705659657</v>
      </c>
      <c r="E156" s="1">
        <v>405154.48347390624</v>
      </c>
      <c r="F156" s="1">
        <v>1030439.8545358699</v>
      </c>
      <c r="G156" s="1">
        <v>416230.52096611878</v>
      </c>
      <c r="H156" s="1">
        <v>348502.45150237216</v>
      </c>
      <c r="I156" s="1">
        <v>597491.5002204437</v>
      </c>
      <c r="J156" s="1">
        <v>1617031.942315618</v>
      </c>
      <c r="K156" s="1">
        <v>269698.6875808693</v>
      </c>
      <c r="L156" s="1">
        <v>177966.56949968851</v>
      </c>
      <c r="M156" s="1">
        <v>651745.82945080753</v>
      </c>
      <c r="N156" s="1">
        <v>240809.61120429385</v>
      </c>
      <c r="O156" s="1">
        <v>739631.50442564813</v>
      </c>
      <c r="P156" s="1">
        <v>102967.78474385393</v>
      </c>
      <c r="Q156" s="1">
        <v>415109.43764556479</v>
      </c>
      <c r="R156" s="1">
        <v>343643.79176450858</v>
      </c>
      <c r="S156" s="1">
        <v>4355960.6433411604</v>
      </c>
    </row>
    <row r="157" spans="3:22" ht="15.75" thickBot="1" x14ac:dyDescent="0.25"/>
    <row r="158" spans="3:22" ht="15.75" x14ac:dyDescent="0.25">
      <c r="D158" s="84"/>
      <c r="E158" s="107" t="s">
        <v>57</v>
      </c>
      <c r="F158" s="107"/>
      <c r="G158" s="107" t="s">
        <v>58</v>
      </c>
      <c r="H158" s="107"/>
      <c r="I158" s="87" t="s">
        <v>59</v>
      </c>
    </row>
    <row r="159" spans="3:22" ht="15.75" x14ac:dyDescent="0.25">
      <c r="D159" s="77" t="s">
        <v>8</v>
      </c>
      <c r="E159" s="98">
        <f>D67</f>
        <v>132763.68000000002</v>
      </c>
      <c r="F159" s="81"/>
      <c r="G159" s="98">
        <v>501633.59155000007</v>
      </c>
      <c r="H159" s="81"/>
      <c r="I159" s="112">
        <f>E159/G159</f>
        <v>0.26466265863450827</v>
      </c>
      <c r="O159" s="96"/>
      <c r="P159" s="96"/>
      <c r="Q159" s="96"/>
      <c r="R159" s="96"/>
      <c r="S159" s="96"/>
      <c r="T159" s="96"/>
    </row>
    <row r="160" spans="3:22" ht="15.75" x14ac:dyDescent="0.25">
      <c r="D160" s="77" t="s">
        <v>9</v>
      </c>
      <c r="E160" s="98">
        <f>E67</f>
        <v>278628.7</v>
      </c>
      <c r="F160" s="97"/>
      <c r="G160" s="98">
        <v>974006.01124999986</v>
      </c>
      <c r="H160" s="97"/>
      <c r="I160" s="112">
        <f t="shared" ref="I160:I174" si="10">E160/G160</f>
        <v>0.28606466159528032</v>
      </c>
    </row>
    <row r="161" spans="2:19" ht="15.75" x14ac:dyDescent="0.25">
      <c r="B161" s="9"/>
      <c r="C161" s="9"/>
      <c r="D161" s="77" t="s">
        <v>10</v>
      </c>
      <c r="E161" s="98">
        <f>F67</f>
        <v>700374.3600000001</v>
      </c>
      <c r="F161" s="97"/>
      <c r="G161" s="98">
        <v>1881224.0232499999</v>
      </c>
      <c r="H161" s="97"/>
      <c r="I161" s="112">
        <f t="shared" si="10"/>
        <v>0.37229715937288232</v>
      </c>
    </row>
    <row r="162" spans="2:19" ht="15.75" x14ac:dyDescent="0.25">
      <c r="B162" s="9"/>
      <c r="C162" s="6"/>
      <c r="D162" s="77" t="s">
        <v>11</v>
      </c>
      <c r="E162" s="98">
        <f>G67</f>
        <v>176687.56000000003</v>
      </c>
      <c r="F162" s="66"/>
      <c r="G162" s="98">
        <v>651159.79110000003</v>
      </c>
      <c r="H162" s="97"/>
      <c r="I162" s="112">
        <f t="shared" si="10"/>
        <v>0.27134285994766794</v>
      </c>
    </row>
    <row r="163" spans="2:19" ht="15.75" x14ac:dyDescent="0.25">
      <c r="B163" s="9"/>
      <c r="C163" s="9"/>
      <c r="D163" s="77" t="s">
        <v>12</v>
      </c>
      <c r="E163" s="98">
        <f>H67</f>
        <v>146958.56000000003</v>
      </c>
      <c r="F163" s="97"/>
      <c r="G163" s="98">
        <v>540608.46385000006</v>
      </c>
      <c r="H163" s="97"/>
      <c r="I163" s="112">
        <f t="shared" si="10"/>
        <v>0.27183917719937123</v>
      </c>
    </row>
    <row r="164" spans="2:19" ht="15.75" x14ac:dyDescent="0.25">
      <c r="B164" s="9"/>
      <c r="C164" s="9"/>
      <c r="D164" s="77" t="s">
        <v>13</v>
      </c>
      <c r="E164" s="98">
        <f>I67</f>
        <v>401600.36</v>
      </c>
      <c r="F164" s="97"/>
      <c r="G164" s="98">
        <v>1250051.29125</v>
      </c>
      <c r="H164" s="97"/>
      <c r="I164" s="112">
        <f t="shared" si="10"/>
        <v>0.32126710544686221</v>
      </c>
    </row>
    <row r="165" spans="2:19" ht="15.75" x14ac:dyDescent="0.25">
      <c r="B165" s="9"/>
      <c r="C165" s="9"/>
      <c r="D165" s="77" t="s">
        <v>14</v>
      </c>
      <c r="E165" s="98">
        <f>J67</f>
        <v>1049818.8400000003</v>
      </c>
      <c r="F165" s="97"/>
      <c r="G165" s="98">
        <v>2447867.6255000001</v>
      </c>
      <c r="H165" s="97"/>
      <c r="I165" s="112">
        <f t="shared" si="10"/>
        <v>0.42887075635291549</v>
      </c>
    </row>
    <row r="166" spans="2:19" ht="15.75" x14ac:dyDescent="0.25">
      <c r="B166" s="9"/>
      <c r="C166" s="9"/>
      <c r="D166" s="77" t="s">
        <v>15</v>
      </c>
      <c r="E166" s="98">
        <f>K67</f>
        <v>116681.46000000002</v>
      </c>
      <c r="F166" s="97"/>
      <c r="G166" s="98">
        <v>423065.08334999997</v>
      </c>
      <c r="H166" s="97"/>
      <c r="I166" s="112">
        <f t="shared" si="10"/>
        <v>0.27580026003580621</v>
      </c>
      <c r="S166" s="219"/>
    </row>
    <row r="167" spans="2:19" ht="15.75" x14ac:dyDescent="0.25">
      <c r="B167" s="9"/>
      <c r="C167" s="9"/>
      <c r="D167" s="77" t="s">
        <v>16</v>
      </c>
      <c r="E167" s="98">
        <f>L67</f>
        <v>76195.98000000001</v>
      </c>
      <c r="F167" s="97"/>
      <c r="G167" s="98">
        <v>279920.13594999997</v>
      </c>
      <c r="H167" s="97"/>
      <c r="I167" s="112">
        <f t="shared" si="10"/>
        <v>0.27220614101734475</v>
      </c>
      <c r="S167" s="219"/>
    </row>
    <row r="168" spans="2:19" ht="15.75" x14ac:dyDescent="0.25">
      <c r="B168" s="9"/>
      <c r="C168" s="9"/>
      <c r="D168" s="77" t="s">
        <v>17</v>
      </c>
      <c r="E168" s="98">
        <f>M67</f>
        <v>407144.78</v>
      </c>
      <c r="F168" s="97"/>
      <c r="G168" s="98">
        <v>1332230.2650000001</v>
      </c>
      <c r="H168" s="97"/>
      <c r="I168" s="112">
        <f t="shared" si="10"/>
        <v>0.30561141770788397</v>
      </c>
      <c r="S168" s="219"/>
    </row>
    <row r="169" spans="2:19" ht="15.75" x14ac:dyDescent="0.25">
      <c r="B169" s="9"/>
      <c r="C169" s="9"/>
      <c r="D169" s="77" t="s">
        <v>18</v>
      </c>
      <c r="E169" s="98">
        <f>N67</f>
        <v>95273.360000000015</v>
      </c>
      <c r="F169" s="97"/>
      <c r="G169" s="98">
        <v>344378.71549999993</v>
      </c>
      <c r="H169" s="97"/>
      <c r="I169" s="112">
        <f t="shared" si="10"/>
        <v>0.27665286997099575</v>
      </c>
      <c r="R169" s="5"/>
      <c r="S169" s="219"/>
    </row>
    <row r="170" spans="2:19" ht="15.75" x14ac:dyDescent="0.25">
      <c r="B170" s="9"/>
      <c r="C170" s="9"/>
      <c r="D170" s="77" t="s">
        <v>19</v>
      </c>
      <c r="E170" s="98">
        <f>O67</f>
        <v>506982.42000000004</v>
      </c>
      <c r="F170" s="97"/>
      <c r="G170" s="98">
        <v>1562005.93875</v>
      </c>
      <c r="H170" s="97"/>
      <c r="I170" s="112">
        <f t="shared" si="10"/>
        <v>0.32457137801006969</v>
      </c>
      <c r="S170" s="219"/>
    </row>
    <row r="171" spans="2:19" ht="15.75" x14ac:dyDescent="0.25">
      <c r="B171" s="9"/>
      <c r="C171" s="9"/>
      <c r="D171" s="77" t="s">
        <v>20</v>
      </c>
      <c r="E171" s="98">
        <f>P67</f>
        <v>48473.740000000005</v>
      </c>
      <c r="F171" s="97"/>
      <c r="G171" s="98">
        <v>168358.78150000001</v>
      </c>
      <c r="H171" s="97"/>
      <c r="I171" s="112">
        <f t="shared" si="10"/>
        <v>0.28791928504186759</v>
      </c>
      <c r="S171" s="219"/>
    </row>
    <row r="172" spans="2:19" ht="15.75" x14ac:dyDescent="0.25">
      <c r="B172" s="9"/>
      <c r="C172" s="9"/>
      <c r="D172" s="77" t="s">
        <v>21</v>
      </c>
      <c r="E172" s="98">
        <f>Q67</f>
        <v>284386.06000000006</v>
      </c>
      <c r="F172" s="97"/>
      <c r="G172" s="98">
        <v>995075.96000000008</v>
      </c>
      <c r="H172" s="97"/>
      <c r="I172" s="112">
        <f t="shared" si="10"/>
        <v>0.28579331772822653</v>
      </c>
      <c r="S172" s="219"/>
    </row>
    <row r="173" spans="2:19" ht="15.75" x14ac:dyDescent="0.25">
      <c r="B173" s="9"/>
      <c r="C173" s="9"/>
      <c r="D173" s="77" t="s">
        <v>22</v>
      </c>
      <c r="E173" s="98">
        <f>R67</f>
        <v>150881.5</v>
      </c>
      <c r="F173" s="97"/>
      <c r="G173" s="98">
        <v>539862.85990000004</v>
      </c>
      <c r="H173" s="97"/>
      <c r="I173" s="112">
        <f t="shared" si="10"/>
        <v>0.27948116310121446</v>
      </c>
      <c r="S173" s="219"/>
    </row>
    <row r="174" spans="2:19" ht="16.5" thickBot="1" x14ac:dyDescent="0.3">
      <c r="B174" s="9"/>
      <c r="C174" s="9"/>
      <c r="D174" s="103" t="s">
        <v>23</v>
      </c>
      <c r="E174" s="104">
        <f>S67</f>
        <v>2880141.6000000006</v>
      </c>
      <c r="F174" s="105"/>
      <c r="G174" s="104">
        <v>3527549.4961999995</v>
      </c>
      <c r="H174" s="105"/>
      <c r="I174" s="113">
        <f t="shared" si="10"/>
        <v>0.81647092495869744</v>
      </c>
      <c r="S174" s="219"/>
    </row>
    <row r="175" spans="2:19" x14ac:dyDescent="0.2">
      <c r="B175" s="9"/>
      <c r="C175" s="9"/>
      <c r="D175" s="21"/>
      <c r="E175" s="9"/>
      <c r="F175" s="9"/>
      <c r="G175" s="9"/>
      <c r="H175" s="9"/>
      <c r="I175" s="9"/>
      <c r="S175" s="219"/>
    </row>
    <row r="176" spans="2:19" x14ac:dyDescent="0.2">
      <c r="B176" s="9"/>
      <c r="C176" s="9"/>
      <c r="D176" s="21"/>
      <c r="E176" s="9"/>
      <c r="F176" s="9"/>
      <c r="G176" s="9"/>
      <c r="H176" s="9"/>
      <c r="I176" s="9"/>
      <c r="S176" s="219"/>
    </row>
    <row r="177" spans="2:19" x14ac:dyDescent="0.2">
      <c r="B177" s="9"/>
      <c r="C177" s="9"/>
      <c r="D177" s="21" t="s">
        <v>60</v>
      </c>
      <c r="E177" s="9"/>
      <c r="F177" s="9"/>
      <c r="G177" s="9"/>
      <c r="H177" s="9"/>
      <c r="I177" s="9"/>
      <c r="S177" s="219"/>
    </row>
    <row r="178" spans="2:19" x14ac:dyDescent="0.2">
      <c r="B178" s="9"/>
      <c r="C178" s="9"/>
      <c r="D178" s="21"/>
      <c r="E178" s="9"/>
      <c r="F178" s="9"/>
      <c r="G178" s="9"/>
      <c r="H178" s="9"/>
      <c r="I178" s="9"/>
      <c r="S178" s="219"/>
    </row>
    <row r="179" spans="2:19" x14ac:dyDescent="0.2">
      <c r="B179" s="9"/>
      <c r="C179" s="9"/>
      <c r="D179" s="21"/>
      <c r="E179" s="9"/>
      <c r="F179" s="9"/>
      <c r="G179" s="9"/>
      <c r="H179" s="9"/>
      <c r="I179" s="9"/>
      <c r="S179" s="219"/>
    </row>
    <row r="180" spans="2:19" x14ac:dyDescent="0.2">
      <c r="B180" s="9"/>
      <c r="C180" s="9"/>
      <c r="D180" s="21"/>
      <c r="E180" s="9"/>
      <c r="F180" s="9"/>
      <c r="G180" s="9"/>
      <c r="H180" s="9"/>
      <c r="I180" s="9"/>
      <c r="S180" s="219"/>
    </row>
    <row r="181" spans="2:19" x14ac:dyDescent="0.2">
      <c r="B181" s="9"/>
      <c r="C181" s="9"/>
      <c r="D181" s="21"/>
      <c r="E181" s="9"/>
      <c r="F181" s="9"/>
      <c r="G181" s="9"/>
      <c r="H181" s="9"/>
      <c r="I181" s="9"/>
      <c r="S181" s="219">
        <v>273.98259788688625</v>
      </c>
    </row>
    <row r="182" spans="2:19" x14ac:dyDescent="0.2">
      <c r="B182" s="9"/>
      <c r="C182" s="9"/>
      <c r="D182" s="9"/>
      <c r="E182" s="9"/>
      <c r="F182" s="9"/>
      <c r="G182" s="9"/>
      <c r="H182" s="9"/>
      <c r="I182" s="9"/>
      <c r="J182" s="9"/>
      <c r="K182" s="9"/>
      <c r="L182" s="9"/>
      <c r="M182" s="9"/>
      <c r="N182" s="9"/>
      <c r="O182" s="9"/>
      <c r="P182" s="9"/>
      <c r="Q182" s="9"/>
      <c r="R182" s="9"/>
    </row>
    <row r="183" spans="2:19" x14ac:dyDescent="0.2">
      <c r="B183" s="9"/>
      <c r="C183" s="9"/>
      <c r="D183" s="36"/>
      <c r="E183" s="9"/>
      <c r="F183" s="9"/>
      <c r="G183" s="9"/>
      <c r="H183" s="9"/>
      <c r="I183" s="9"/>
      <c r="J183" s="9"/>
      <c r="K183" s="9"/>
      <c r="L183" s="9"/>
      <c r="M183" s="9"/>
      <c r="N183" s="9"/>
      <c r="O183" s="9"/>
      <c r="P183" s="9"/>
      <c r="Q183" s="9"/>
      <c r="R183" s="9"/>
    </row>
    <row r="184" spans="2:19" x14ac:dyDescent="0.2">
      <c r="B184" s="9"/>
      <c r="C184" s="9"/>
      <c r="D184" s="9"/>
      <c r="E184" s="9"/>
      <c r="F184" s="9"/>
      <c r="G184" s="9"/>
      <c r="H184" s="9"/>
      <c r="I184" s="9"/>
      <c r="J184" s="9"/>
      <c r="K184" s="9"/>
      <c r="L184" s="9"/>
      <c r="M184" s="9"/>
      <c r="N184" s="9"/>
      <c r="O184" s="9"/>
      <c r="P184" s="9"/>
      <c r="Q184" s="9"/>
      <c r="R184" s="9"/>
    </row>
    <row r="185" spans="2:19" x14ac:dyDescent="0.2">
      <c r="B185" s="9"/>
      <c r="C185" s="9"/>
      <c r="D185" s="9"/>
      <c r="E185" s="9"/>
      <c r="F185" s="9"/>
      <c r="G185" s="194"/>
      <c r="H185" s="194"/>
      <c r="I185" s="194"/>
      <c r="J185" s="9"/>
      <c r="K185" s="194"/>
      <c r="L185" s="195"/>
      <c r="M185" s="194"/>
      <c r="N185" s="9"/>
      <c r="O185" s="9"/>
      <c r="P185" s="194"/>
      <c r="Q185" s="194"/>
      <c r="R185" s="9"/>
    </row>
    <row r="186" spans="2:19" ht="15.75" x14ac:dyDescent="0.25">
      <c r="B186" s="9"/>
      <c r="C186" s="9"/>
      <c r="D186" s="9"/>
      <c r="E186" s="9"/>
      <c r="F186" s="114"/>
      <c r="G186" s="193"/>
      <c r="H186" s="96"/>
      <c r="I186" s="114"/>
      <c r="J186" s="9"/>
      <c r="K186" s="193"/>
      <c r="L186" s="193"/>
      <c r="M186" s="194"/>
      <c r="N186" s="9"/>
      <c r="O186" s="9"/>
      <c r="P186" s="196"/>
      <c r="Q186" s="194"/>
      <c r="R186" s="9"/>
    </row>
    <row r="187" spans="2:19" ht="15.75" x14ac:dyDescent="0.25">
      <c r="E187" s="9"/>
      <c r="F187" s="37"/>
      <c r="G187" s="193"/>
      <c r="H187" s="194"/>
      <c r="I187" s="114"/>
      <c r="J187" s="9"/>
      <c r="K187" s="193"/>
      <c r="L187" s="193"/>
      <c r="M187" s="194"/>
      <c r="N187" s="9"/>
      <c r="O187" s="9"/>
      <c r="P187" s="196"/>
      <c r="Q187" s="194"/>
      <c r="R187" s="9"/>
    </row>
    <row r="188" spans="2:19" ht="15.75" x14ac:dyDescent="0.25">
      <c r="E188" s="9"/>
      <c r="F188" s="37"/>
      <c r="G188" s="193"/>
      <c r="H188" s="194"/>
      <c r="I188" s="114"/>
      <c r="J188" s="9"/>
      <c r="K188" s="193"/>
      <c r="L188" s="193"/>
      <c r="M188" s="194"/>
      <c r="N188" s="9"/>
      <c r="O188" s="9"/>
      <c r="P188" s="196"/>
      <c r="Q188" s="194"/>
      <c r="R188" s="9"/>
    </row>
    <row r="189" spans="2:19" ht="15.75" x14ac:dyDescent="0.25">
      <c r="E189" s="9"/>
      <c r="F189" s="197"/>
      <c r="G189" s="193"/>
      <c r="H189" s="194"/>
      <c r="I189" s="114"/>
      <c r="J189" s="9"/>
      <c r="K189" s="193"/>
      <c r="L189" s="193"/>
      <c r="M189" s="194"/>
      <c r="N189" s="9"/>
      <c r="O189" s="9"/>
      <c r="P189" s="196"/>
      <c r="Q189" s="194"/>
      <c r="R189" s="9"/>
    </row>
    <row r="190" spans="2:19" ht="15.75" x14ac:dyDescent="0.25">
      <c r="E190" s="9"/>
      <c r="F190" s="197"/>
      <c r="G190" s="193"/>
      <c r="H190" s="194"/>
      <c r="I190" s="114"/>
      <c r="J190" s="9"/>
      <c r="K190" s="193"/>
      <c r="L190" s="193"/>
      <c r="M190" s="194"/>
      <c r="N190" s="9"/>
      <c r="O190" s="9"/>
      <c r="P190" s="196"/>
      <c r="Q190" s="194"/>
      <c r="R190" s="9"/>
    </row>
    <row r="191" spans="2:19" ht="15.75" x14ac:dyDescent="0.25">
      <c r="E191" s="9"/>
      <c r="F191" s="37"/>
      <c r="G191" s="193"/>
      <c r="H191" s="194"/>
      <c r="I191" s="114"/>
      <c r="J191" s="9"/>
      <c r="K191" s="193"/>
      <c r="L191" s="193"/>
      <c r="M191" s="194"/>
      <c r="N191" s="9"/>
      <c r="O191" s="9"/>
      <c r="P191" s="196"/>
      <c r="Q191" s="194"/>
      <c r="R191" s="9"/>
    </row>
    <row r="192" spans="2:19" ht="15.75" x14ac:dyDescent="0.25">
      <c r="E192" s="9"/>
      <c r="F192" s="37"/>
      <c r="G192" s="193"/>
      <c r="H192" s="194"/>
      <c r="I192" s="114"/>
      <c r="J192" s="9"/>
      <c r="K192" s="193"/>
      <c r="L192" s="193"/>
      <c r="M192" s="194"/>
      <c r="N192" s="9"/>
      <c r="O192" s="9"/>
      <c r="P192" s="196"/>
      <c r="Q192" s="194"/>
      <c r="R192" s="9"/>
    </row>
    <row r="193" spans="4:18" ht="15.75" x14ac:dyDescent="0.25">
      <c r="E193" s="9"/>
      <c r="F193" s="197"/>
      <c r="G193" s="193"/>
      <c r="H193" s="194"/>
      <c r="I193" s="114"/>
      <c r="J193" s="9"/>
      <c r="K193" s="193"/>
      <c r="L193" s="193"/>
      <c r="M193" s="194"/>
      <c r="N193" s="9"/>
      <c r="O193" s="9"/>
      <c r="P193" s="196"/>
      <c r="Q193" s="194"/>
      <c r="R193" s="9"/>
    </row>
    <row r="194" spans="4:18" ht="15.75" x14ac:dyDescent="0.25">
      <c r="E194" s="9"/>
      <c r="F194" s="197"/>
      <c r="G194" s="193"/>
      <c r="H194" s="194"/>
      <c r="I194" s="114"/>
      <c r="J194" s="9"/>
      <c r="K194" s="193"/>
      <c r="L194" s="193"/>
      <c r="M194" s="194"/>
      <c r="N194" s="9"/>
      <c r="O194" s="9"/>
      <c r="P194" s="196"/>
      <c r="Q194" s="194"/>
      <c r="R194" s="9"/>
    </row>
    <row r="195" spans="4:18" ht="15.75" x14ac:dyDescent="0.25">
      <c r="E195" s="9"/>
      <c r="F195" s="37"/>
      <c r="G195" s="193"/>
      <c r="H195" s="194"/>
      <c r="I195" s="114"/>
      <c r="J195" s="9"/>
      <c r="K195" s="193"/>
      <c r="L195" s="193"/>
      <c r="M195" s="194"/>
      <c r="N195" s="9"/>
      <c r="O195" s="9"/>
      <c r="P195" s="196"/>
      <c r="Q195" s="194"/>
      <c r="R195" s="9"/>
    </row>
    <row r="196" spans="4:18" ht="15.75" x14ac:dyDescent="0.25">
      <c r="E196" s="9"/>
      <c r="F196" s="37"/>
      <c r="G196" s="193"/>
      <c r="H196" s="194"/>
      <c r="I196" s="114"/>
      <c r="J196" s="9"/>
      <c r="K196" s="193"/>
      <c r="L196" s="193"/>
      <c r="M196" s="194"/>
      <c r="N196" s="9"/>
      <c r="O196" s="9"/>
      <c r="P196" s="196"/>
      <c r="Q196" s="194"/>
      <c r="R196" s="9"/>
    </row>
    <row r="197" spans="4:18" ht="15.75" x14ac:dyDescent="0.25">
      <c r="E197" s="9"/>
      <c r="F197" s="37"/>
      <c r="G197" s="193"/>
      <c r="H197" s="194"/>
      <c r="I197" s="114"/>
      <c r="J197" s="9"/>
      <c r="K197" s="193"/>
      <c r="L197" s="193"/>
      <c r="M197" s="194"/>
      <c r="N197" s="9"/>
      <c r="O197" s="9"/>
      <c r="P197" s="196"/>
      <c r="Q197" s="194"/>
      <c r="R197" s="9"/>
    </row>
    <row r="198" spans="4:18" ht="15.75" x14ac:dyDescent="0.25">
      <c r="E198" s="9"/>
      <c r="F198" s="197"/>
      <c r="G198" s="193"/>
      <c r="H198" s="194"/>
      <c r="I198" s="114"/>
      <c r="J198" s="9"/>
      <c r="K198" s="193"/>
      <c r="L198" s="193"/>
      <c r="M198" s="194"/>
      <c r="N198" s="9"/>
      <c r="O198" s="9"/>
      <c r="P198" s="196"/>
      <c r="Q198" s="194"/>
      <c r="R198" s="9"/>
    </row>
    <row r="199" spans="4:18" ht="15.75" x14ac:dyDescent="0.25">
      <c r="E199" s="9"/>
      <c r="F199" s="37"/>
      <c r="G199" s="193"/>
      <c r="H199" s="194"/>
      <c r="I199" s="114"/>
      <c r="J199" s="9"/>
      <c r="K199" s="193"/>
      <c r="L199" s="193"/>
      <c r="M199" s="194"/>
      <c r="N199" s="9"/>
      <c r="O199" s="9"/>
      <c r="P199" s="196"/>
      <c r="Q199" s="194"/>
      <c r="R199" s="9"/>
    </row>
    <row r="200" spans="4:18" ht="15.75" x14ac:dyDescent="0.25">
      <c r="E200" s="9"/>
      <c r="F200" s="197"/>
      <c r="G200" s="193"/>
      <c r="H200" s="194"/>
      <c r="I200" s="114"/>
      <c r="J200" s="9"/>
      <c r="K200" s="193"/>
      <c r="L200" s="193"/>
      <c r="M200" s="194"/>
      <c r="N200" s="9"/>
      <c r="O200" s="9"/>
      <c r="P200" s="196"/>
      <c r="Q200" s="194"/>
      <c r="R200" s="9"/>
    </row>
    <row r="201" spans="4:18" ht="15.75" x14ac:dyDescent="0.25">
      <c r="E201" s="9"/>
      <c r="F201" s="37"/>
      <c r="G201" s="193"/>
      <c r="H201" s="194"/>
      <c r="I201" s="114"/>
      <c r="J201" s="9"/>
      <c r="K201" s="193"/>
      <c r="L201" s="193"/>
      <c r="M201" s="194"/>
      <c r="N201" s="9"/>
      <c r="O201" s="9"/>
      <c r="P201" s="196"/>
      <c r="Q201" s="194"/>
      <c r="R201" s="9"/>
    </row>
    <row r="202" spans="4:18" x14ac:dyDescent="0.2">
      <c r="E202" s="9"/>
      <c r="F202" s="9"/>
      <c r="G202" s="36"/>
      <c r="H202" s="9"/>
      <c r="I202" s="9"/>
      <c r="J202" s="9"/>
      <c r="K202" s="36"/>
      <c r="L202" s="9"/>
      <c r="M202" s="9"/>
      <c r="N202" s="9"/>
      <c r="O202" s="9"/>
      <c r="P202" s="9"/>
      <c r="Q202" s="9"/>
      <c r="R202" s="9"/>
    </row>
    <row r="203" spans="4:18" x14ac:dyDescent="0.2">
      <c r="E203" s="9"/>
      <c r="F203" s="9"/>
      <c r="G203" s="9"/>
      <c r="H203" s="9"/>
      <c r="I203" s="9"/>
      <c r="J203" s="9"/>
      <c r="K203" s="9"/>
      <c r="L203" s="9"/>
      <c r="M203" s="9"/>
      <c r="N203" s="9"/>
      <c r="O203" s="9"/>
      <c r="P203" s="9"/>
      <c r="Q203" s="9"/>
      <c r="R203" s="9"/>
    </row>
    <row r="204" spans="4:18" x14ac:dyDescent="0.2">
      <c r="D204" s="119"/>
      <c r="E204" s="117"/>
      <c r="F204" s="117"/>
      <c r="G204" s="9"/>
      <c r="H204" s="9"/>
      <c r="I204" s="9"/>
      <c r="J204" s="9"/>
      <c r="K204" s="9"/>
      <c r="L204" s="9"/>
      <c r="M204" s="9"/>
      <c r="N204" s="9"/>
      <c r="O204" s="9"/>
      <c r="P204" s="9"/>
      <c r="Q204" s="9"/>
      <c r="R204" s="9"/>
    </row>
    <row r="205" spans="4:18" x14ac:dyDescent="0.2">
      <c r="D205" s="117"/>
      <c r="E205" s="117"/>
      <c r="F205" s="117"/>
      <c r="G205" s="116"/>
      <c r="H205" s="116"/>
      <c r="I205" s="116"/>
      <c r="J205" s="116"/>
      <c r="K205" s="116"/>
      <c r="L205" s="9"/>
      <c r="M205" s="9"/>
      <c r="N205" s="9"/>
      <c r="O205" s="9"/>
      <c r="P205" s="9"/>
      <c r="Q205" s="9"/>
      <c r="R205" s="9"/>
    </row>
    <row r="206" spans="4:18" x14ac:dyDescent="0.2">
      <c r="D206" s="117"/>
      <c r="E206" s="117"/>
      <c r="F206" s="118"/>
      <c r="G206" s="116"/>
      <c r="H206" s="116"/>
      <c r="I206" s="116"/>
      <c r="J206" s="116"/>
      <c r="K206" s="116"/>
      <c r="L206" s="9"/>
      <c r="M206" s="9"/>
      <c r="N206" s="9"/>
      <c r="O206" s="9"/>
      <c r="P206" s="9"/>
      <c r="Q206" s="9"/>
      <c r="R206" s="9"/>
    </row>
    <row r="207" spans="4:18" x14ac:dyDescent="0.2">
      <c r="D207" s="117"/>
      <c r="E207" s="117"/>
      <c r="F207" s="118"/>
      <c r="G207" s="116"/>
      <c r="H207" s="116"/>
      <c r="I207" s="116"/>
      <c r="J207" s="116"/>
      <c r="K207" s="116"/>
      <c r="L207" s="9"/>
      <c r="M207" s="9"/>
      <c r="N207" s="9"/>
      <c r="O207" s="9"/>
      <c r="P207" s="9"/>
      <c r="Q207" s="9"/>
      <c r="R207" s="9"/>
    </row>
    <row r="208" spans="4:18" x14ac:dyDescent="0.2">
      <c r="D208" s="117"/>
      <c r="E208" s="117"/>
      <c r="F208" s="118"/>
      <c r="G208" s="116"/>
      <c r="H208" s="116"/>
      <c r="I208" s="116"/>
      <c r="J208" s="116"/>
      <c r="K208" s="116"/>
    </row>
    <row r="209" spans="4:11" x14ac:dyDescent="0.2">
      <c r="D209" s="117"/>
      <c r="E209" s="117"/>
      <c r="F209" s="117"/>
      <c r="G209" s="116"/>
      <c r="H209" s="116"/>
      <c r="I209" s="116"/>
      <c r="J209" s="116"/>
      <c r="K209" s="116"/>
    </row>
    <row r="210" spans="4:11" x14ac:dyDescent="0.2">
      <c r="D210" s="117"/>
      <c r="E210" s="117"/>
      <c r="F210" s="117"/>
      <c r="G210" s="116"/>
      <c r="H210" s="116"/>
      <c r="I210" s="116"/>
      <c r="J210" s="116"/>
      <c r="K210" s="116"/>
    </row>
    <row r="211" spans="4:11" x14ac:dyDescent="0.2">
      <c r="D211" s="116"/>
      <c r="E211" s="116"/>
      <c r="F211" s="116"/>
      <c r="G211" s="116"/>
      <c r="H211" s="116"/>
      <c r="I211" s="116"/>
      <c r="J211" s="116"/>
      <c r="K211" s="116"/>
    </row>
    <row r="212" spans="4:11" x14ac:dyDescent="0.2">
      <c r="D212" s="116"/>
      <c r="E212" s="116"/>
      <c r="F212" s="116"/>
      <c r="G212" s="116"/>
      <c r="H212" s="116"/>
      <c r="I212" s="116"/>
      <c r="J212" s="116"/>
      <c r="K212" s="116"/>
    </row>
    <row r="213" spans="4:11" x14ac:dyDescent="0.2">
      <c r="D213" s="116"/>
      <c r="E213" s="116"/>
      <c r="F213" s="116"/>
      <c r="G213" s="116"/>
      <c r="H213" s="116"/>
      <c r="I213" s="116"/>
      <c r="J213" s="116"/>
      <c r="K213" s="116"/>
    </row>
    <row r="214" spans="4:11" x14ac:dyDescent="0.2">
      <c r="D214" s="116"/>
      <c r="E214" s="116"/>
      <c r="F214" s="116"/>
      <c r="G214" s="116"/>
      <c r="H214" s="116"/>
      <c r="I214" s="116"/>
      <c r="J214" s="116"/>
      <c r="K214" s="116"/>
    </row>
    <row r="215" spans="4:11" x14ac:dyDescent="0.2">
      <c r="D215" s="116"/>
      <c r="E215" s="116"/>
      <c r="F215" s="116"/>
      <c r="G215" s="116"/>
      <c r="H215" s="116"/>
      <c r="I215" s="116"/>
      <c r="J215" s="116"/>
      <c r="K215" s="116"/>
    </row>
    <row r="216" spans="4:11" x14ac:dyDescent="0.2">
      <c r="D216" s="116"/>
      <c r="E216" s="116"/>
      <c r="F216" s="116"/>
      <c r="G216" s="116"/>
      <c r="H216" s="116"/>
      <c r="I216" s="116"/>
      <c r="J216" s="116"/>
      <c r="K216" s="116"/>
    </row>
    <row r="217" spans="4:11" x14ac:dyDescent="0.2">
      <c r="D217" s="116"/>
      <c r="E217" s="116"/>
      <c r="F217" s="116"/>
      <c r="G217" s="116"/>
      <c r="H217" s="116"/>
      <c r="I217" s="116"/>
      <c r="J217" s="116"/>
      <c r="K217" s="116"/>
    </row>
    <row r="218" spans="4:11" x14ac:dyDescent="0.2">
      <c r="D218" s="116"/>
      <c r="E218" s="116"/>
      <c r="F218" s="116"/>
      <c r="G218" s="116"/>
      <c r="H218" s="116"/>
      <c r="I218" s="116"/>
      <c r="J218" s="116"/>
      <c r="K218" s="116"/>
    </row>
    <row r="219" spans="4:11" x14ac:dyDescent="0.2">
      <c r="D219" s="116"/>
      <c r="E219" s="116"/>
      <c r="F219" s="116"/>
      <c r="G219" s="116"/>
      <c r="H219" s="116"/>
      <c r="I219" s="116"/>
      <c r="J219" s="116"/>
      <c r="K219" s="116"/>
    </row>
    <row r="220" spans="4:11" x14ac:dyDescent="0.2">
      <c r="D220" s="116"/>
      <c r="E220" s="116"/>
      <c r="F220" s="116"/>
      <c r="G220" s="116"/>
      <c r="H220" s="116"/>
      <c r="I220" s="116"/>
      <c r="J220" s="116"/>
      <c r="K220" s="116"/>
    </row>
    <row r="221" spans="4:11" x14ac:dyDescent="0.2">
      <c r="D221" s="116"/>
      <c r="E221" s="116"/>
      <c r="F221" s="116"/>
      <c r="G221" s="116"/>
      <c r="H221" s="116"/>
      <c r="I221" s="116"/>
      <c r="J221" s="116"/>
      <c r="K221" s="116"/>
    </row>
    <row r="222" spans="4:11" x14ac:dyDescent="0.2">
      <c r="D222" s="116"/>
      <c r="E222" s="116"/>
      <c r="F222" s="116"/>
      <c r="G222" s="116"/>
      <c r="H222" s="116"/>
      <c r="I222" s="116"/>
      <c r="J222" s="116"/>
      <c r="K222" s="116"/>
    </row>
    <row r="223" spans="4:11" x14ac:dyDescent="0.2">
      <c r="D223" s="116"/>
      <c r="E223" s="116"/>
      <c r="F223" s="116"/>
      <c r="G223" s="116"/>
      <c r="H223" s="116"/>
      <c r="I223" s="116"/>
      <c r="J223" s="116"/>
      <c r="K223" s="116"/>
    </row>
    <row r="224" spans="4:11" x14ac:dyDescent="0.2">
      <c r="D224" s="116"/>
      <c r="E224" s="116"/>
      <c r="F224" s="116"/>
      <c r="G224" s="116"/>
      <c r="H224" s="116"/>
      <c r="I224" s="116"/>
      <c r="J224" s="116"/>
      <c r="K224" s="116"/>
    </row>
    <row r="225" spans="4:11" x14ac:dyDescent="0.2">
      <c r="D225" s="116"/>
      <c r="E225" s="116"/>
      <c r="F225" s="116"/>
      <c r="G225" s="116"/>
      <c r="H225" s="116"/>
      <c r="I225" s="116"/>
      <c r="J225" s="116"/>
      <c r="K225" s="116"/>
    </row>
    <row r="226" spans="4:11" x14ac:dyDescent="0.2">
      <c r="D226" s="116"/>
      <c r="E226" s="116"/>
      <c r="F226" s="116"/>
      <c r="G226" s="116"/>
      <c r="H226" s="116"/>
      <c r="I226" s="116"/>
      <c r="J226" s="116"/>
      <c r="K226" s="116"/>
    </row>
  </sheetData>
  <mergeCells count="1">
    <mergeCell ref="C2:D2"/>
  </mergeCells>
  <pageMargins left="0.7" right="0.7" top="0.75" bottom="0.75" header="0.3" footer="0.3"/>
  <pageSetup paperSize="9" orientation="portrait" r:id="rId1"/>
  <ignoredErrors>
    <ignoredError sqref="C57" twoDigitTextYear="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109"/>
  <sheetViews>
    <sheetView topLeftCell="A55" zoomScale="85" zoomScaleNormal="85" workbookViewId="0">
      <selection activeCell="S32" sqref="S32"/>
    </sheetView>
  </sheetViews>
  <sheetFormatPr defaultColWidth="8.88671875" defaultRowHeight="15" x14ac:dyDescent="0.2"/>
  <cols>
    <col min="1" max="1" width="2.6640625" style="1" customWidth="1"/>
    <col min="2" max="4" width="16.44140625" style="1" customWidth="1"/>
    <col min="5" max="5" width="10.33203125" style="1" bestFit="1" customWidth="1"/>
    <col min="6" max="6" width="8.88671875" style="1"/>
    <col min="7" max="7" width="11.33203125" style="1" customWidth="1"/>
    <col min="8" max="8" width="8.88671875" style="1"/>
    <col min="9" max="9" width="7.6640625" style="1" customWidth="1"/>
    <col min="10" max="10" width="12.44140625" style="1" customWidth="1"/>
    <col min="11" max="11" width="8.88671875" style="1"/>
    <col min="12" max="12" width="8.33203125" style="1" customWidth="1"/>
    <col min="13" max="14" width="10.77734375" style="1" customWidth="1"/>
    <col min="15" max="15" width="13.109375" style="1" customWidth="1"/>
    <col min="16" max="16" width="12.5546875" style="1" customWidth="1"/>
    <col min="17" max="17" width="13.5546875" style="1" customWidth="1"/>
    <col min="18" max="18" width="10.5546875" style="1" customWidth="1"/>
    <col min="19" max="19" width="11.44140625" style="1" customWidth="1"/>
    <col min="20" max="20" width="11.6640625" style="1" customWidth="1"/>
    <col min="21" max="21" width="11.109375" style="1" customWidth="1"/>
    <col min="22" max="22" width="11" style="1" customWidth="1"/>
    <col min="23" max="23" width="12.77734375" style="1" customWidth="1"/>
    <col min="24" max="24" width="11.21875" style="1" customWidth="1"/>
    <col min="25" max="25" width="10.88671875" style="1" customWidth="1"/>
    <col min="26" max="26" width="10.21875" style="1" customWidth="1"/>
    <col min="27" max="27" width="12.33203125" style="1" customWidth="1"/>
    <col min="28" max="28" width="11.21875" style="1" customWidth="1"/>
    <col min="29" max="29" width="8.88671875" style="1"/>
    <col min="30" max="30" width="11.88671875" style="1" customWidth="1"/>
    <col min="31" max="31" width="12.109375" style="1" customWidth="1"/>
    <col min="32" max="32" width="11.33203125" style="1" customWidth="1"/>
    <col min="33" max="33" width="10.5546875" style="1" customWidth="1"/>
    <col min="34" max="34" width="11.33203125" style="1" customWidth="1"/>
    <col min="35" max="35" width="11.44140625" style="1" customWidth="1"/>
    <col min="36" max="36" width="10.88671875" style="1" customWidth="1"/>
    <col min="37" max="16384" width="8.88671875" style="1"/>
  </cols>
  <sheetData>
    <row r="2" spans="2:41" ht="15.75" x14ac:dyDescent="0.25">
      <c r="B2" s="23" t="s">
        <v>561</v>
      </c>
      <c r="C2" s="23"/>
      <c r="D2" s="23"/>
      <c r="E2" s="22"/>
      <c r="F2" s="22"/>
      <c r="G2" s="22"/>
      <c r="H2" s="22"/>
      <c r="I2" s="22"/>
      <c r="J2" s="36"/>
      <c r="K2" s="23" t="s">
        <v>560</v>
      </c>
      <c r="L2" s="22"/>
      <c r="M2" s="22"/>
      <c r="N2" s="22"/>
      <c r="O2" s="22"/>
      <c r="P2" s="22"/>
      <c r="Q2" s="22"/>
      <c r="R2" s="22"/>
    </row>
    <row r="3" spans="2:41" ht="15.75" thickBot="1" x14ac:dyDescent="0.25">
      <c r="E3" s="22"/>
      <c r="F3" s="22"/>
      <c r="G3" s="22"/>
      <c r="H3" s="22"/>
      <c r="I3" s="22"/>
      <c r="J3" s="36"/>
      <c r="L3" s="22"/>
      <c r="M3" s="22"/>
      <c r="N3" s="22"/>
      <c r="O3" s="22"/>
      <c r="P3" s="22"/>
      <c r="Q3" s="22"/>
      <c r="R3" s="22"/>
      <c r="W3" s="1" t="s">
        <v>391</v>
      </c>
      <c r="AD3" s="1" t="s">
        <v>449</v>
      </c>
      <c r="AE3" s="1" t="s">
        <v>338</v>
      </c>
      <c r="AI3" s="522"/>
      <c r="AJ3" s="522"/>
    </row>
    <row r="4" spans="2:41" ht="19.5" thickBot="1" x14ac:dyDescent="0.35">
      <c r="B4" s="493"/>
      <c r="C4" s="494"/>
      <c r="D4" s="494"/>
      <c r="E4" s="494">
        <v>2009</v>
      </c>
      <c r="F4" s="494">
        <v>2010</v>
      </c>
      <c r="G4" s="494">
        <v>2011</v>
      </c>
      <c r="H4" s="494">
        <v>2012</v>
      </c>
      <c r="I4" s="494">
        <v>2013</v>
      </c>
      <c r="J4" s="6"/>
      <c r="K4" s="435"/>
      <c r="L4" s="494"/>
      <c r="M4" s="494">
        <v>2009</v>
      </c>
      <c r="N4" s="494">
        <v>2010</v>
      </c>
      <c r="O4" s="494">
        <v>2011</v>
      </c>
      <c r="P4" s="494">
        <v>2012</v>
      </c>
      <c r="Q4" s="494">
        <v>2013</v>
      </c>
      <c r="R4" s="494"/>
      <c r="W4" s="493" t="s">
        <v>393</v>
      </c>
      <c r="X4" s="494">
        <v>2008</v>
      </c>
      <c r="Y4" s="494">
        <v>2009</v>
      </c>
      <c r="Z4" s="494">
        <v>2010</v>
      </c>
      <c r="AA4" s="494">
        <v>2011</v>
      </c>
      <c r="AB4" s="495">
        <v>2012</v>
      </c>
      <c r="AD4" s="603" t="s">
        <v>336</v>
      </c>
      <c r="AG4" s="604"/>
      <c r="AH4" s="604">
        <v>2007</v>
      </c>
      <c r="AI4" s="604">
        <v>2008</v>
      </c>
      <c r="AJ4" s="604">
        <v>2009</v>
      </c>
      <c r="AK4" s="604">
        <v>2010</v>
      </c>
      <c r="AL4" s="604">
        <v>2011</v>
      </c>
      <c r="AM4" s="604">
        <v>2012</v>
      </c>
      <c r="AN4" s="604">
        <v>2013</v>
      </c>
      <c r="AO4" s="604">
        <v>2014</v>
      </c>
    </row>
    <row r="5" spans="2:41" ht="15.75" x14ac:dyDescent="0.25">
      <c r="B5" s="496" t="s">
        <v>8</v>
      </c>
      <c r="C5" s="738"/>
      <c r="D5" s="738"/>
      <c r="E5" s="498">
        <v>8151</v>
      </c>
      <c r="F5" s="498">
        <v>8245</v>
      </c>
      <c r="G5" s="498">
        <v>8147</v>
      </c>
      <c r="H5" s="498">
        <v>8958</v>
      </c>
      <c r="I5" s="498">
        <v>9242</v>
      </c>
      <c r="J5" s="36"/>
      <c r="K5" s="496" t="s">
        <v>8</v>
      </c>
      <c r="L5" s="498"/>
      <c r="M5" s="498">
        <v>1385.67</v>
      </c>
      <c r="N5" s="498">
        <v>1401.65</v>
      </c>
      <c r="O5" s="498">
        <v>1384.99</v>
      </c>
      <c r="P5" s="498">
        <v>1522.86</v>
      </c>
      <c r="Q5" s="498">
        <v>1548.0350000000001</v>
      </c>
      <c r="R5" s="498"/>
      <c r="W5" s="496" t="s">
        <v>8</v>
      </c>
      <c r="X5" s="497">
        <v>30029.93</v>
      </c>
      <c r="Y5" s="498">
        <v>81321.240000000005</v>
      </c>
      <c r="Z5" s="497">
        <v>102003.11</v>
      </c>
      <c r="AA5" s="498">
        <v>116183.19</v>
      </c>
      <c r="AB5" s="525">
        <v>82262.649999999994</v>
      </c>
      <c r="AD5" s="592" t="s">
        <v>8</v>
      </c>
      <c r="AH5" s="1">
        <v>510</v>
      </c>
      <c r="AI5" s="1">
        <v>518</v>
      </c>
      <c r="AJ5" s="1">
        <v>498</v>
      </c>
      <c r="AK5" s="1">
        <v>488</v>
      </c>
      <c r="AL5" s="620">
        <v>480</v>
      </c>
      <c r="AM5" s="620">
        <v>476</v>
      </c>
      <c r="AN5" s="620">
        <v>475</v>
      </c>
      <c r="AO5" s="625">
        <v>474</v>
      </c>
    </row>
    <row r="6" spans="2:41" ht="15.75" x14ac:dyDescent="0.25">
      <c r="B6" s="52" t="s">
        <v>9</v>
      </c>
      <c r="C6" s="6"/>
      <c r="D6" s="6"/>
      <c r="E6" s="36">
        <v>12531</v>
      </c>
      <c r="F6" s="36">
        <v>13671</v>
      </c>
      <c r="G6" s="36">
        <v>14677</v>
      </c>
      <c r="H6" s="36">
        <v>15284</v>
      </c>
      <c r="I6" s="36">
        <v>16160</v>
      </c>
      <c r="J6" s="36"/>
      <c r="K6" s="52" t="s">
        <v>9</v>
      </c>
      <c r="L6" s="36"/>
      <c r="M6" s="36">
        <v>2286.9074999999998</v>
      </c>
      <c r="N6" s="36">
        <v>2494.9575</v>
      </c>
      <c r="O6" s="36">
        <v>2641.86</v>
      </c>
      <c r="P6" s="36">
        <v>2751.12</v>
      </c>
      <c r="Q6" s="36">
        <v>2908.8</v>
      </c>
      <c r="R6" s="36"/>
      <c r="W6" s="52" t="s">
        <v>9</v>
      </c>
      <c r="X6" s="502">
        <v>134983.38999999998</v>
      </c>
      <c r="Y6" s="36">
        <v>211251.25</v>
      </c>
      <c r="Z6" s="502">
        <v>201892.09</v>
      </c>
      <c r="AA6" s="36">
        <v>91779.75</v>
      </c>
      <c r="AB6" s="531">
        <v>33160.93</v>
      </c>
      <c r="AD6" s="562" t="s">
        <v>9</v>
      </c>
      <c r="AH6" s="1">
        <v>923</v>
      </c>
      <c r="AI6" s="1">
        <v>921</v>
      </c>
      <c r="AJ6" s="1">
        <v>924</v>
      </c>
      <c r="AK6" s="1">
        <v>943</v>
      </c>
      <c r="AL6" s="621">
        <v>978</v>
      </c>
      <c r="AM6" s="621">
        <v>960</v>
      </c>
      <c r="AN6" s="621">
        <v>947</v>
      </c>
      <c r="AO6" s="626">
        <v>932</v>
      </c>
    </row>
    <row r="7" spans="2:41" ht="15.75" x14ac:dyDescent="0.25">
      <c r="B7" s="52" t="s">
        <v>10</v>
      </c>
      <c r="C7" s="6"/>
      <c r="D7" s="6"/>
      <c r="E7" s="36">
        <v>38056</v>
      </c>
      <c r="F7" s="36">
        <v>40748</v>
      </c>
      <c r="G7" s="36">
        <v>42333</v>
      </c>
      <c r="H7" s="36">
        <v>43306</v>
      </c>
      <c r="I7" s="36">
        <v>46000</v>
      </c>
      <c r="J7" s="36"/>
      <c r="K7" s="52" t="s">
        <v>10</v>
      </c>
      <c r="L7" s="36"/>
      <c r="M7" s="36">
        <v>7420.92</v>
      </c>
      <c r="N7" s="36">
        <v>7945.86</v>
      </c>
      <c r="O7" s="36">
        <v>8254.9349999999995</v>
      </c>
      <c r="P7" s="36">
        <v>8444.67</v>
      </c>
      <c r="Q7" s="36">
        <v>8970</v>
      </c>
      <c r="R7" s="36"/>
      <c r="W7" s="52" t="s">
        <v>10</v>
      </c>
      <c r="X7" s="502">
        <v>113688.56999999999</v>
      </c>
      <c r="Y7" s="36">
        <v>225026.62</v>
      </c>
      <c r="Z7" s="502">
        <v>168202.21</v>
      </c>
      <c r="AA7" s="36">
        <v>118430.2</v>
      </c>
      <c r="AB7" s="531">
        <v>164328.98000000001</v>
      </c>
      <c r="AD7" s="562" t="s">
        <v>10</v>
      </c>
      <c r="AH7" s="1">
        <v>2457</v>
      </c>
      <c r="AI7" s="1">
        <v>2483</v>
      </c>
      <c r="AJ7" s="1">
        <v>2486</v>
      </c>
      <c r="AK7" s="1">
        <v>2502</v>
      </c>
      <c r="AL7" s="621">
        <v>2527</v>
      </c>
      <c r="AM7" s="621">
        <v>2531</v>
      </c>
      <c r="AN7" s="621">
        <v>2520</v>
      </c>
      <c r="AO7" s="626">
        <v>2534</v>
      </c>
    </row>
    <row r="8" spans="2:41" ht="15.75" x14ac:dyDescent="0.25">
      <c r="B8" s="52" t="s">
        <v>11</v>
      </c>
      <c r="C8" s="6"/>
      <c r="D8" s="6"/>
      <c r="E8" s="36">
        <v>8157</v>
      </c>
      <c r="F8" s="36">
        <v>8751</v>
      </c>
      <c r="G8" s="36">
        <v>9578</v>
      </c>
      <c r="H8" s="36">
        <v>9838</v>
      </c>
      <c r="I8" s="36">
        <v>10168</v>
      </c>
      <c r="J8" s="36"/>
      <c r="K8" s="52" t="s">
        <v>11</v>
      </c>
      <c r="L8" s="36"/>
      <c r="M8" s="36">
        <v>1386.69</v>
      </c>
      <c r="N8" s="36">
        <v>1487.67</v>
      </c>
      <c r="O8" s="36">
        <v>1652.2049999999999</v>
      </c>
      <c r="P8" s="36">
        <v>1697.0550000000001</v>
      </c>
      <c r="Q8" s="36">
        <v>1753.98</v>
      </c>
      <c r="R8" s="36"/>
      <c r="W8" s="52" t="s">
        <v>11</v>
      </c>
      <c r="X8" s="502">
        <v>123793.71</v>
      </c>
      <c r="Y8" s="36">
        <v>230586.18</v>
      </c>
      <c r="Z8" s="502">
        <v>179764.1</v>
      </c>
      <c r="AA8" s="36">
        <v>107773.96</v>
      </c>
      <c r="AB8" s="531">
        <v>127690.03</v>
      </c>
      <c r="AD8" s="562" t="s">
        <v>11</v>
      </c>
      <c r="AH8" s="1">
        <v>582</v>
      </c>
      <c r="AI8" s="1">
        <v>576</v>
      </c>
      <c r="AJ8" s="1">
        <v>561</v>
      </c>
      <c r="AK8" s="1">
        <v>580</v>
      </c>
      <c r="AL8" s="621">
        <v>577</v>
      </c>
      <c r="AM8" s="621">
        <v>578</v>
      </c>
      <c r="AN8" s="621">
        <v>572</v>
      </c>
      <c r="AO8" s="626">
        <v>568</v>
      </c>
    </row>
    <row r="9" spans="2:41" ht="15.75" x14ac:dyDescent="0.25">
      <c r="B9" s="52" t="s">
        <v>12</v>
      </c>
      <c r="C9" s="6"/>
      <c r="D9" s="6"/>
      <c r="E9" s="36">
        <v>5629</v>
      </c>
      <c r="F9" s="36">
        <v>6221</v>
      </c>
      <c r="G9" s="36">
        <v>6915</v>
      </c>
      <c r="H9" s="36">
        <v>6970</v>
      </c>
      <c r="I9" s="36">
        <v>6978</v>
      </c>
      <c r="J9" s="36"/>
      <c r="K9" s="52" t="s">
        <v>12</v>
      </c>
      <c r="L9" s="36"/>
      <c r="M9" s="36">
        <v>1041.365</v>
      </c>
      <c r="N9" s="36">
        <v>1150.885</v>
      </c>
      <c r="O9" s="36">
        <v>1227.4124999999999</v>
      </c>
      <c r="P9" s="36">
        <v>1219.75</v>
      </c>
      <c r="Q9" s="36">
        <v>1221.1500000000001</v>
      </c>
      <c r="R9" s="36"/>
      <c r="W9" s="52" t="s">
        <v>12</v>
      </c>
      <c r="X9" s="502">
        <v>2499.63</v>
      </c>
      <c r="Y9" s="36">
        <v>4833.5600000000004</v>
      </c>
      <c r="Z9" s="502">
        <v>8075.81</v>
      </c>
      <c r="AA9" s="36">
        <v>5729.07</v>
      </c>
      <c r="AB9" s="531">
        <v>3990.84</v>
      </c>
      <c r="AD9" s="562" t="s">
        <v>12</v>
      </c>
      <c r="AH9" s="1">
        <v>443</v>
      </c>
      <c r="AI9" s="1">
        <v>456</v>
      </c>
      <c r="AJ9" s="1">
        <v>457</v>
      </c>
      <c r="AK9" s="1">
        <v>475</v>
      </c>
      <c r="AL9" s="621">
        <v>492</v>
      </c>
      <c r="AM9" s="621">
        <v>495</v>
      </c>
      <c r="AN9" s="621">
        <v>500</v>
      </c>
      <c r="AO9" s="626">
        <v>494</v>
      </c>
    </row>
    <row r="10" spans="2:41" ht="15.75" x14ac:dyDescent="0.25">
      <c r="B10" s="52" t="s">
        <v>13</v>
      </c>
      <c r="C10" s="6"/>
      <c r="D10" s="6"/>
      <c r="E10" s="36">
        <v>21527</v>
      </c>
      <c r="F10" s="36">
        <v>23664</v>
      </c>
      <c r="G10" s="36">
        <v>24971</v>
      </c>
      <c r="H10" s="36">
        <v>26103</v>
      </c>
      <c r="I10" s="36">
        <v>27141</v>
      </c>
      <c r="J10" s="36"/>
      <c r="K10" s="52" t="s">
        <v>13</v>
      </c>
      <c r="L10" s="36"/>
      <c r="M10" s="36">
        <v>3551.9549999999999</v>
      </c>
      <c r="N10" s="36">
        <v>3904.56</v>
      </c>
      <c r="O10" s="36">
        <v>4120.2150000000001</v>
      </c>
      <c r="P10" s="36">
        <v>4306.9949999999999</v>
      </c>
      <c r="Q10" s="36">
        <v>4478.2650000000003</v>
      </c>
      <c r="R10" s="36"/>
      <c r="W10" s="52" t="s">
        <v>13</v>
      </c>
      <c r="X10" s="502">
        <v>31520.239999999998</v>
      </c>
      <c r="Y10" s="36">
        <v>61258.53</v>
      </c>
      <c r="Z10" s="502">
        <v>59736.82</v>
      </c>
      <c r="AA10" s="36">
        <v>99653.75</v>
      </c>
      <c r="AB10" s="531">
        <v>93632.71</v>
      </c>
      <c r="AD10" s="562" t="s">
        <v>13</v>
      </c>
      <c r="AH10" s="1">
        <v>1409</v>
      </c>
      <c r="AI10" s="1">
        <v>1440</v>
      </c>
      <c r="AJ10" s="1">
        <v>1463</v>
      </c>
      <c r="AK10" s="1">
        <v>1508</v>
      </c>
      <c r="AL10" s="621">
        <v>1526</v>
      </c>
      <c r="AM10" s="621">
        <v>1522</v>
      </c>
      <c r="AN10" s="621">
        <v>1540</v>
      </c>
      <c r="AO10" s="626">
        <v>1532</v>
      </c>
    </row>
    <row r="11" spans="2:41" ht="15.75" x14ac:dyDescent="0.25">
      <c r="B11" s="52" t="s">
        <v>14</v>
      </c>
      <c r="C11" s="6"/>
      <c r="D11" s="6"/>
      <c r="E11" s="36">
        <v>64500</v>
      </c>
      <c r="F11" s="36">
        <v>71111</v>
      </c>
      <c r="G11" s="36">
        <v>76448</v>
      </c>
      <c r="H11" s="36">
        <v>81817</v>
      </c>
      <c r="I11" s="36">
        <v>88070</v>
      </c>
      <c r="J11" s="36"/>
      <c r="K11" s="52" t="s">
        <v>14</v>
      </c>
      <c r="L11" s="36"/>
      <c r="M11" s="36">
        <v>10965</v>
      </c>
      <c r="N11" s="36">
        <v>12088.87</v>
      </c>
      <c r="O11" s="36">
        <v>12996.16</v>
      </c>
      <c r="P11" s="36">
        <v>13908.89</v>
      </c>
      <c r="Q11" s="36">
        <v>14971.9</v>
      </c>
      <c r="R11" s="36"/>
      <c r="W11" s="52" t="s">
        <v>14</v>
      </c>
      <c r="X11" s="502">
        <v>303876.73</v>
      </c>
      <c r="Y11" s="36">
        <v>640446.56000000006</v>
      </c>
      <c r="Z11" s="502">
        <v>681604.15</v>
      </c>
      <c r="AA11" s="36">
        <v>713716.77</v>
      </c>
      <c r="AB11" s="531">
        <v>591525.92000000004</v>
      </c>
      <c r="AD11" s="562" t="s">
        <v>14</v>
      </c>
      <c r="AH11" s="1">
        <v>3774</v>
      </c>
      <c r="AI11" s="1">
        <v>3917</v>
      </c>
      <c r="AJ11" s="1">
        <v>4022</v>
      </c>
      <c r="AK11" s="1">
        <v>4098</v>
      </c>
      <c r="AL11" s="621">
        <v>4249</v>
      </c>
      <c r="AM11" s="621">
        <v>4355</v>
      </c>
      <c r="AN11" s="621">
        <v>4424</v>
      </c>
      <c r="AO11" s="626">
        <v>4560</v>
      </c>
    </row>
    <row r="12" spans="2:41" ht="15.75" x14ac:dyDescent="0.25">
      <c r="B12" s="52" t="s">
        <v>15</v>
      </c>
      <c r="C12" s="6"/>
      <c r="D12" s="6"/>
      <c r="E12" s="36">
        <v>5990</v>
      </c>
      <c r="F12" s="36">
        <v>6398</v>
      </c>
      <c r="G12" s="36">
        <v>6261</v>
      </c>
      <c r="H12" s="36">
        <v>6430</v>
      </c>
      <c r="I12" s="36">
        <v>6422</v>
      </c>
      <c r="J12" s="36"/>
      <c r="K12" s="52" t="s">
        <v>15</v>
      </c>
      <c r="L12" s="36"/>
      <c r="M12" s="36">
        <v>1108.1500000000001</v>
      </c>
      <c r="N12" s="36">
        <v>1183.6300000000001</v>
      </c>
      <c r="O12" s="36">
        <v>1158.2850000000001</v>
      </c>
      <c r="P12" s="36">
        <v>1189.55</v>
      </c>
      <c r="Q12" s="36">
        <v>1188.07</v>
      </c>
      <c r="R12" s="36"/>
      <c r="W12" s="52" t="s">
        <v>15</v>
      </c>
      <c r="X12" s="502">
        <v>12351.64</v>
      </c>
      <c r="Y12" s="36">
        <v>31256.57</v>
      </c>
      <c r="Z12" s="502">
        <v>24207.64</v>
      </c>
      <c r="AA12" s="36">
        <v>12490.93</v>
      </c>
      <c r="AB12" s="531">
        <v>6184.55</v>
      </c>
      <c r="AD12" s="562" t="s">
        <v>15</v>
      </c>
      <c r="AH12" s="1">
        <v>366</v>
      </c>
      <c r="AI12" s="1">
        <v>360</v>
      </c>
      <c r="AJ12" s="1">
        <v>372</v>
      </c>
      <c r="AK12" s="1">
        <v>364</v>
      </c>
      <c r="AL12" s="621">
        <v>361</v>
      </c>
      <c r="AM12" s="621">
        <v>338</v>
      </c>
      <c r="AN12" s="621">
        <v>330</v>
      </c>
      <c r="AO12" s="626">
        <v>328</v>
      </c>
    </row>
    <row r="13" spans="2:41" ht="15.75" x14ac:dyDescent="0.25">
      <c r="B13" s="52" t="s">
        <v>16</v>
      </c>
      <c r="C13" s="6"/>
      <c r="D13" s="6"/>
      <c r="E13" s="36">
        <v>3695</v>
      </c>
      <c r="F13" s="36">
        <v>4212</v>
      </c>
      <c r="G13" s="36">
        <v>4305</v>
      </c>
      <c r="H13" s="36">
        <v>4532</v>
      </c>
      <c r="I13" s="36">
        <v>4548</v>
      </c>
      <c r="J13" s="36"/>
      <c r="K13" s="52" t="s">
        <v>16</v>
      </c>
      <c r="L13" s="36"/>
      <c r="M13" s="36">
        <v>683.57500000000005</v>
      </c>
      <c r="N13" s="36">
        <v>779.22</v>
      </c>
      <c r="O13" s="36">
        <v>796.42499999999995</v>
      </c>
      <c r="P13" s="36">
        <v>883.74</v>
      </c>
      <c r="Q13" s="36">
        <v>886.86</v>
      </c>
      <c r="R13" s="36"/>
      <c r="W13" s="52" t="s">
        <v>16</v>
      </c>
      <c r="X13" s="502">
        <v>2331.4800000000005</v>
      </c>
      <c r="Y13" s="36">
        <v>6850.79</v>
      </c>
      <c r="Z13" s="502">
        <v>9196.25</v>
      </c>
      <c r="AA13" s="36">
        <v>9115.4500000000007</v>
      </c>
      <c r="AB13" s="531">
        <v>6836.75</v>
      </c>
      <c r="AD13" s="562" t="s">
        <v>16</v>
      </c>
      <c r="AH13" s="1">
        <v>284</v>
      </c>
      <c r="AI13" s="1">
        <v>262</v>
      </c>
      <c r="AJ13" s="1">
        <v>261</v>
      </c>
      <c r="AK13" s="1">
        <v>259</v>
      </c>
      <c r="AL13" s="621">
        <v>249</v>
      </c>
      <c r="AM13" s="621">
        <v>245</v>
      </c>
      <c r="AN13" s="621">
        <v>251</v>
      </c>
      <c r="AO13" s="626">
        <v>253</v>
      </c>
    </row>
    <row r="14" spans="2:41" ht="15.75" x14ac:dyDescent="0.25">
      <c r="B14" s="52" t="s">
        <v>17</v>
      </c>
      <c r="C14" s="6"/>
      <c r="D14" s="6"/>
      <c r="E14" s="36">
        <v>29368</v>
      </c>
      <c r="F14" s="36">
        <v>32048</v>
      </c>
      <c r="G14" s="36">
        <v>34349</v>
      </c>
      <c r="H14" s="36">
        <v>35413</v>
      </c>
      <c r="I14" s="36">
        <v>38149</v>
      </c>
      <c r="J14" s="36"/>
      <c r="K14" s="52" t="s">
        <v>17</v>
      </c>
      <c r="L14" s="36"/>
      <c r="M14" s="36">
        <v>4845.72</v>
      </c>
      <c r="N14" s="36">
        <v>5287.92</v>
      </c>
      <c r="O14" s="36">
        <v>5667.585</v>
      </c>
      <c r="P14" s="36">
        <v>5754.6125000000002</v>
      </c>
      <c r="Q14" s="36">
        <v>6199.2124999999996</v>
      </c>
      <c r="R14" s="36"/>
      <c r="W14" s="52" t="s">
        <v>17</v>
      </c>
      <c r="X14" s="502">
        <v>19987.2</v>
      </c>
      <c r="Y14" s="36">
        <v>72667.45</v>
      </c>
      <c r="Z14" s="502">
        <v>77975.37</v>
      </c>
      <c r="AA14" s="36">
        <v>65709.399999999994</v>
      </c>
      <c r="AB14" s="531">
        <v>32351.53</v>
      </c>
      <c r="AD14" s="562" t="s">
        <v>17</v>
      </c>
      <c r="AH14" s="1">
        <v>1773</v>
      </c>
      <c r="AI14" s="1">
        <v>1783</v>
      </c>
      <c r="AJ14" s="1">
        <v>1782</v>
      </c>
      <c r="AK14" s="1">
        <v>1814</v>
      </c>
      <c r="AL14" s="621">
        <v>1860</v>
      </c>
      <c r="AM14" s="621">
        <v>1883</v>
      </c>
      <c r="AN14" s="621">
        <v>1926</v>
      </c>
      <c r="AO14" s="626">
        <v>1943</v>
      </c>
    </row>
    <row r="15" spans="2:41" ht="15.75" x14ac:dyDescent="0.25">
      <c r="B15" s="52" t="s">
        <v>18</v>
      </c>
      <c r="C15" s="6"/>
      <c r="D15" s="6"/>
      <c r="E15" s="36">
        <v>6108</v>
      </c>
      <c r="F15" s="36">
        <v>6606</v>
      </c>
      <c r="G15" s="36">
        <v>7152</v>
      </c>
      <c r="H15" s="36">
        <v>7609</v>
      </c>
      <c r="I15" s="36">
        <v>7830</v>
      </c>
      <c r="J15" s="36"/>
      <c r="K15" s="52" t="s">
        <v>18</v>
      </c>
      <c r="L15" s="36"/>
      <c r="M15" s="36">
        <v>1129.98</v>
      </c>
      <c r="N15" s="36">
        <v>1222.1099999999999</v>
      </c>
      <c r="O15" s="36">
        <v>1323.12</v>
      </c>
      <c r="P15" s="36">
        <v>1407.665</v>
      </c>
      <c r="Q15" s="36">
        <v>1448.55</v>
      </c>
      <c r="R15" s="36"/>
      <c r="W15" s="52" t="s">
        <v>18</v>
      </c>
      <c r="X15" s="502">
        <v>33657.539999999994</v>
      </c>
      <c r="Y15" s="36">
        <v>51474.77</v>
      </c>
      <c r="Z15" s="502">
        <v>50376.36</v>
      </c>
      <c r="AA15" s="36">
        <v>39922.160000000003</v>
      </c>
      <c r="AB15" s="531">
        <v>31210.880000000001</v>
      </c>
      <c r="AD15" s="562" t="s">
        <v>18</v>
      </c>
      <c r="AH15" s="1">
        <v>387</v>
      </c>
      <c r="AI15" s="1">
        <v>387</v>
      </c>
      <c r="AJ15" s="1">
        <v>391</v>
      </c>
      <c r="AK15" s="1">
        <v>394</v>
      </c>
      <c r="AL15" s="621">
        <v>399</v>
      </c>
      <c r="AM15" s="621">
        <v>392</v>
      </c>
      <c r="AN15" s="621">
        <v>413</v>
      </c>
      <c r="AO15" s="626">
        <v>418</v>
      </c>
    </row>
    <row r="16" spans="2:41" ht="15.75" x14ac:dyDescent="0.25">
      <c r="B16" s="52" t="s">
        <v>19</v>
      </c>
      <c r="C16" s="6"/>
      <c r="D16" s="6"/>
      <c r="E16" s="36">
        <v>26221</v>
      </c>
      <c r="F16" s="36">
        <v>28353</v>
      </c>
      <c r="G16" s="36">
        <v>30452</v>
      </c>
      <c r="H16" s="36">
        <v>31196</v>
      </c>
      <c r="I16" s="36">
        <v>32575</v>
      </c>
      <c r="J16" s="36"/>
      <c r="K16" s="52" t="s">
        <v>19</v>
      </c>
      <c r="L16" s="36"/>
      <c r="M16" s="36">
        <v>4326.4650000000001</v>
      </c>
      <c r="N16" s="36">
        <v>4607.3625000000002</v>
      </c>
      <c r="O16" s="36">
        <v>4948.45</v>
      </c>
      <c r="P16" s="36">
        <v>5069.3500000000004</v>
      </c>
      <c r="Q16" s="36">
        <v>5293.4375</v>
      </c>
      <c r="R16" s="36"/>
      <c r="W16" s="52" t="s">
        <v>19</v>
      </c>
      <c r="X16" s="502">
        <v>140733.82</v>
      </c>
      <c r="Y16" s="36">
        <v>328500.18</v>
      </c>
      <c r="Z16" s="502">
        <v>487437.67</v>
      </c>
      <c r="AA16" s="36">
        <v>549176.93000000005</v>
      </c>
      <c r="AB16" s="531">
        <v>438529.56</v>
      </c>
      <c r="AD16" s="562" t="s">
        <v>19</v>
      </c>
      <c r="AH16" s="1">
        <v>1731</v>
      </c>
      <c r="AI16" s="1">
        <v>1753</v>
      </c>
      <c r="AJ16" s="1">
        <v>1792</v>
      </c>
      <c r="AK16" s="1">
        <v>1802</v>
      </c>
      <c r="AL16" s="621">
        <v>1810</v>
      </c>
      <c r="AM16" s="621">
        <v>1823</v>
      </c>
      <c r="AN16" s="621">
        <v>1813</v>
      </c>
      <c r="AO16" s="626">
        <v>1825</v>
      </c>
    </row>
    <row r="17" spans="2:41" ht="15.75" x14ac:dyDescent="0.25">
      <c r="B17" s="52" t="s">
        <v>20</v>
      </c>
      <c r="C17" s="6"/>
      <c r="D17" s="6"/>
      <c r="E17" s="36">
        <v>1793</v>
      </c>
      <c r="F17" s="36">
        <v>2013</v>
      </c>
      <c r="G17" s="36">
        <v>2088</v>
      </c>
      <c r="H17" s="36">
        <v>1852</v>
      </c>
      <c r="I17" s="36">
        <v>2000</v>
      </c>
      <c r="J17" s="36"/>
      <c r="K17" s="52" t="s">
        <v>20</v>
      </c>
      <c r="L17" s="36"/>
      <c r="M17" s="36">
        <v>313.77499999999998</v>
      </c>
      <c r="N17" s="36">
        <v>352.27499999999998</v>
      </c>
      <c r="O17" s="36">
        <v>375.84</v>
      </c>
      <c r="P17" s="36">
        <v>333.36</v>
      </c>
      <c r="Q17" s="36">
        <v>360</v>
      </c>
      <c r="R17" s="36"/>
      <c r="W17" s="52" t="s">
        <v>20</v>
      </c>
      <c r="X17" s="502">
        <v>769.29</v>
      </c>
      <c r="Y17" s="36">
        <v>1455.66</v>
      </c>
      <c r="Z17" s="502">
        <v>1226.75</v>
      </c>
      <c r="AA17" s="36">
        <v>4180.95</v>
      </c>
      <c r="AB17" s="531">
        <v>4992.46</v>
      </c>
      <c r="AD17" s="562" t="s">
        <v>20</v>
      </c>
      <c r="AH17" s="1">
        <v>116</v>
      </c>
      <c r="AI17" s="1">
        <v>115</v>
      </c>
      <c r="AJ17" s="1">
        <v>125</v>
      </c>
      <c r="AK17" s="1">
        <v>119</v>
      </c>
      <c r="AL17" s="621">
        <v>103</v>
      </c>
      <c r="AM17" s="621">
        <v>101</v>
      </c>
      <c r="AN17" s="621">
        <v>100</v>
      </c>
      <c r="AO17" s="626">
        <v>101</v>
      </c>
    </row>
    <row r="18" spans="2:41" ht="15.75" x14ac:dyDescent="0.25">
      <c r="B18" s="52" t="s">
        <v>21</v>
      </c>
      <c r="C18" s="6"/>
      <c r="D18" s="6"/>
      <c r="E18" s="36">
        <v>15507</v>
      </c>
      <c r="F18" s="36">
        <v>16504</v>
      </c>
      <c r="G18" s="36">
        <v>17138</v>
      </c>
      <c r="H18" s="36">
        <v>17313</v>
      </c>
      <c r="I18" s="36">
        <v>18852</v>
      </c>
      <c r="J18" s="36"/>
      <c r="K18" s="52" t="s">
        <v>21</v>
      </c>
      <c r="L18" s="36"/>
      <c r="M18" s="36">
        <v>2868.7950000000001</v>
      </c>
      <c r="N18" s="36">
        <v>3053.24</v>
      </c>
      <c r="O18" s="36">
        <v>3170.53</v>
      </c>
      <c r="P18" s="36">
        <v>3289.47</v>
      </c>
      <c r="Q18" s="36">
        <v>3581.88</v>
      </c>
      <c r="R18" s="36"/>
      <c r="W18" s="52" t="s">
        <v>21</v>
      </c>
      <c r="X18" s="502">
        <v>7874.2300000000005</v>
      </c>
      <c r="Y18" s="36">
        <v>12805.48</v>
      </c>
      <c r="Z18" s="502">
        <v>8951.25</v>
      </c>
      <c r="AA18" s="36">
        <v>9650.2999999999993</v>
      </c>
      <c r="AB18" s="531">
        <v>10117.56</v>
      </c>
      <c r="AD18" s="562" t="s">
        <v>21</v>
      </c>
      <c r="AH18" s="1">
        <v>1052</v>
      </c>
      <c r="AI18" s="1">
        <v>1031</v>
      </c>
      <c r="AJ18" s="1">
        <v>1032</v>
      </c>
      <c r="AK18" s="1">
        <v>1019</v>
      </c>
      <c r="AL18" s="621">
        <v>1032</v>
      </c>
      <c r="AM18" s="621">
        <v>1035</v>
      </c>
      <c r="AN18" s="621">
        <v>1029</v>
      </c>
      <c r="AO18" s="626">
        <v>1035</v>
      </c>
    </row>
    <row r="19" spans="2:41" ht="15.75" x14ac:dyDescent="0.25">
      <c r="B19" s="52" t="s">
        <v>22</v>
      </c>
      <c r="C19" s="6"/>
      <c r="D19" s="6"/>
      <c r="E19" s="36">
        <v>5777</v>
      </c>
      <c r="F19" s="36">
        <v>6371</v>
      </c>
      <c r="G19" s="36">
        <v>6709</v>
      </c>
      <c r="H19" s="36">
        <v>6603</v>
      </c>
      <c r="I19" s="36">
        <v>6947</v>
      </c>
      <c r="J19" s="36"/>
      <c r="K19" s="52" t="s">
        <v>22</v>
      </c>
      <c r="L19" s="36"/>
      <c r="M19" s="36">
        <v>1010.975</v>
      </c>
      <c r="N19" s="36">
        <v>1114.925</v>
      </c>
      <c r="O19" s="36">
        <v>1174.075</v>
      </c>
      <c r="P19" s="36">
        <v>1188.54</v>
      </c>
      <c r="Q19" s="36">
        <v>1250.46</v>
      </c>
      <c r="R19" s="36"/>
      <c r="W19" s="52" t="s">
        <v>22</v>
      </c>
      <c r="X19" s="502">
        <v>3209.87</v>
      </c>
      <c r="Y19" s="36">
        <v>6135.26</v>
      </c>
      <c r="Z19" s="502">
        <v>4266.38</v>
      </c>
      <c r="AA19" s="36">
        <v>4220.3900000000003</v>
      </c>
      <c r="AB19" s="531">
        <v>3964.83</v>
      </c>
      <c r="AD19" s="562" t="s">
        <v>22</v>
      </c>
      <c r="AH19" s="1">
        <v>444</v>
      </c>
      <c r="AI19" s="1">
        <v>449</v>
      </c>
      <c r="AJ19" s="1">
        <v>445</v>
      </c>
      <c r="AK19" s="1">
        <v>452</v>
      </c>
      <c r="AL19" s="621">
        <v>449</v>
      </c>
      <c r="AM19" s="621">
        <v>422</v>
      </c>
      <c r="AN19" s="621">
        <v>433</v>
      </c>
      <c r="AO19" s="626">
        <v>439</v>
      </c>
    </row>
    <row r="20" spans="2:41" ht="16.5" thickBot="1" x14ac:dyDescent="0.3">
      <c r="B20" s="504" t="s">
        <v>23</v>
      </c>
      <c r="C20" s="282"/>
      <c r="D20" s="282"/>
      <c r="E20" s="506">
        <v>210939</v>
      </c>
      <c r="F20" s="506">
        <v>224602</v>
      </c>
      <c r="G20" s="506">
        <v>234491</v>
      </c>
      <c r="H20" s="506">
        <v>242628</v>
      </c>
      <c r="I20" s="506">
        <v>253690</v>
      </c>
      <c r="J20" s="36"/>
      <c r="K20" s="504" t="s">
        <v>23</v>
      </c>
      <c r="L20" s="506"/>
      <c r="M20" s="506">
        <v>34804.934999999998</v>
      </c>
      <c r="N20" s="506">
        <v>37059.33</v>
      </c>
      <c r="O20" s="506">
        <v>38691.014999999999</v>
      </c>
      <c r="P20" s="506">
        <v>40033.620000000003</v>
      </c>
      <c r="Q20" s="506">
        <v>41858.85</v>
      </c>
      <c r="R20" s="506"/>
      <c r="W20" s="504" t="s">
        <v>23</v>
      </c>
      <c r="X20" s="502">
        <v>4265635.5199999996</v>
      </c>
      <c r="Y20" s="36">
        <v>9804634.3300000001</v>
      </c>
      <c r="Z20" s="502">
        <v>8985874.8000000007</v>
      </c>
      <c r="AA20" s="36">
        <v>7442181.0700000003</v>
      </c>
      <c r="AB20" s="531">
        <v>4228020.12</v>
      </c>
      <c r="AD20" s="593" t="s">
        <v>23</v>
      </c>
      <c r="AH20" s="1">
        <v>10902</v>
      </c>
      <c r="AI20" s="1">
        <v>11005</v>
      </c>
      <c r="AJ20" s="1">
        <v>11123</v>
      </c>
      <c r="AK20" s="1">
        <v>11190</v>
      </c>
      <c r="AL20" s="622">
        <v>11263</v>
      </c>
      <c r="AM20" s="622">
        <v>11346</v>
      </c>
      <c r="AN20" s="622">
        <v>11393</v>
      </c>
      <c r="AO20" s="627">
        <v>11480</v>
      </c>
    </row>
    <row r="21" spans="2:41" ht="19.5" thickBot="1" x14ac:dyDescent="0.35">
      <c r="B21" s="493" t="s">
        <v>81</v>
      </c>
      <c r="C21" s="494"/>
      <c r="D21" s="494"/>
      <c r="E21" s="511">
        <v>463949</v>
      </c>
      <c r="F21" s="511">
        <v>499518</v>
      </c>
      <c r="G21" s="511">
        <v>526014</v>
      </c>
      <c r="H21" s="511">
        <v>545852</v>
      </c>
      <c r="I21" s="511">
        <v>574772</v>
      </c>
      <c r="J21" s="222"/>
      <c r="K21" s="435" t="s">
        <v>81</v>
      </c>
      <c r="L21" s="511"/>
      <c r="M21" s="511">
        <v>79130.877499999988</v>
      </c>
      <c r="N21" s="511">
        <v>85134.465000000011</v>
      </c>
      <c r="O21" s="511">
        <v>89583.102499999994</v>
      </c>
      <c r="P21" s="511">
        <v>93001.247499999998</v>
      </c>
      <c r="Q21" s="511">
        <v>97919.450000000012</v>
      </c>
      <c r="R21" s="511"/>
      <c r="W21" s="493" t="s">
        <v>247</v>
      </c>
      <c r="X21" s="510">
        <v>5226942.7899999991</v>
      </c>
      <c r="Y21" s="511">
        <v>11770504.43</v>
      </c>
      <c r="Z21" s="510">
        <v>11050790.76</v>
      </c>
      <c r="AA21" s="511">
        <v>9389914.2699999996</v>
      </c>
      <c r="AB21" s="539">
        <v>5858800.3000000007</v>
      </c>
      <c r="AD21" s="594" t="s">
        <v>24</v>
      </c>
      <c r="AH21" s="1">
        <v>27153</v>
      </c>
      <c r="AI21" s="623">
        <v>27456</v>
      </c>
      <c r="AJ21" s="623">
        <v>27734</v>
      </c>
      <c r="AK21" s="623">
        <v>28007</v>
      </c>
      <c r="AL21" s="623">
        <v>28355</v>
      </c>
      <c r="AM21" s="623">
        <v>28502</v>
      </c>
      <c r="AN21" s="623">
        <v>28666</v>
      </c>
      <c r="AO21" s="624">
        <v>28916</v>
      </c>
    </row>
    <row r="22" spans="2:41" ht="15.75" x14ac:dyDescent="0.25">
      <c r="B22" s="6"/>
      <c r="C22" s="6"/>
      <c r="D22" s="6"/>
      <c r="E22" s="222"/>
      <c r="F22" s="222"/>
      <c r="G22" s="222"/>
      <c r="H22" s="222"/>
      <c r="I22" s="222"/>
      <c r="J22" s="222"/>
      <c r="K22" s="6"/>
      <c r="L22" s="222"/>
      <c r="M22" s="222"/>
      <c r="N22" s="222"/>
      <c r="O22" s="222"/>
      <c r="P22" s="222"/>
      <c r="Q22" s="222"/>
      <c r="R22" s="222"/>
    </row>
    <row r="23" spans="2:41" x14ac:dyDescent="0.2">
      <c r="B23" s="1" t="s">
        <v>456</v>
      </c>
      <c r="H23" s="1">
        <f>518*1600*M26</f>
        <v>140896</v>
      </c>
      <c r="N23" s="218"/>
      <c r="O23" s="218"/>
      <c r="P23" s="218"/>
    </row>
    <row r="24" spans="2:41" ht="15.75" thickBot="1" x14ac:dyDescent="0.25">
      <c r="B24" s="1" t="s">
        <v>457</v>
      </c>
      <c r="S24" s="1" t="s">
        <v>455</v>
      </c>
      <c r="U24" s="1" t="s">
        <v>398</v>
      </c>
      <c r="W24" s="1" t="s">
        <v>787</v>
      </c>
      <c r="AD24" s="1" t="s">
        <v>397</v>
      </c>
    </row>
    <row r="25" spans="2:41" ht="16.5" thickBot="1" x14ac:dyDescent="0.3">
      <c r="B25" s="493" t="s">
        <v>243</v>
      </c>
      <c r="C25" s="493">
        <v>2008</v>
      </c>
      <c r="D25" s="494">
        <v>2009</v>
      </c>
      <c r="E25" s="493">
        <v>2010</v>
      </c>
      <c r="F25" s="494">
        <v>2011</v>
      </c>
      <c r="G25" s="495">
        <v>2012</v>
      </c>
      <c r="H25" s="496" t="s">
        <v>244</v>
      </c>
      <c r="J25" s="493" t="s">
        <v>246</v>
      </c>
      <c r="K25" s="493">
        <v>2008</v>
      </c>
      <c r="L25" s="494">
        <v>2009</v>
      </c>
      <c r="M25" s="493">
        <v>2010</v>
      </c>
      <c r="N25" s="494">
        <v>2011</v>
      </c>
      <c r="O25" s="495">
        <v>2012</v>
      </c>
      <c r="P25" s="496" t="s">
        <v>244</v>
      </c>
      <c r="S25" s="435" t="s">
        <v>453</v>
      </c>
      <c r="U25" s="435" t="s">
        <v>392</v>
      </c>
      <c r="W25" s="493" t="s">
        <v>393</v>
      </c>
      <c r="X25" s="494">
        <v>2008</v>
      </c>
      <c r="Y25" s="494">
        <v>2009</v>
      </c>
      <c r="Z25" s="494">
        <v>2010</v>
      </c>
      <c r="AA25" s="494">
        <v>2011</v>
      </c>
      <c r="AB25" s="495">
        <v>2012</v>
      </c>
      <c r="AD25" s="592">
        <v>2008</v>
      </c>
      <c r="AE25" s="738">
        <v>2009</v>
      </c>
      <c r="AF25" s="592">
        <v>2010</v>
      </c>
      <c r="AG25" s="738">
        <v>2011</v>
      </c>
      <c r="AH25" s="4">
        <v>2012</v>
      </c>
      <c r="AI25" s="496" t="s">
        <v>394</v>
      </c>
    </row>
    <row r="26" spans="2:41" ht="16.5" thickBot="1" x14ac:dyDescent="0.3">
      <c r="B26" s="496" t="s">
        <v>8</v>
      </c>
      <c r="C26" s="497">
        <v>14231.546943483279</v>
      </c>
      <c r="D26" s="498">
        <v>13959.140018169432</v>
      </c>
      <c r="E26" s="497">
        <v>14613.7159225136</v>
      </c>
      <c r="F26" s="498">
        <v>14440.050385728064</v>
      </c>
      <c r="G26" s="525">
        <v>16289.063235294119</v>
      </c>
      <c r="H26" s="526">
        <f>AVERAGE(C26:G26)</f>
        <v>14706.7033010377</v>
      </c>
      <c r="J26" s="496" t="s">
        <v>8</v>
      </c>
      <c r="K26" s="811">
        <v>0.17</v>
      </c>
      <c r="L26" s="812">
        <v>0.17</v>
      </c>
      <c r="M26" s="811">
        <v>0.17</v>
      </c>
      <c r="N26" s="812">
        <v>0.17</v>
      </c>
      <c r="O26" s="813">
        <v>0.17</v>
      </c>
      <c r="P26" s="829">
        <f>AVERAGE(K26:O26)</f>
        <v>0.17</v>
      </c>
      <c r="S26" s="496">
        <v>476</v>
      </c>
      <c r="U26" s="563">
        <f>AI26</f>
        <v>975.61104636830146</v>
      </c>
      <c r="V26" s="563">
        <v>1235.2753028827326</v>
      </c>
      <c r="W26" s="496" t="s">
        <v>8</v>
      </c>
      <c r="X26" s="497">
        <f>X5/AH5</f>
        <v>58.882215686274513</v>
      </c>
      <c r="Y26" s="497">
        <f t="shared" ref="Y26:AB41" si="0">Y5/AI5</f>
        <v>156.99081081081081</v>
      </c>
      <c r="Z26" s="497">
        <f t="shared" si="0"/>
        <v>204.82552208835341</v>
      </c>
      <c r="AA26" s="497">
        <f t="shared" si="0"/>
        <v>238.08030737704919</v>
      </c>
      <c r="AB26" s="497">
        <f t="shared" si="0"/>
        <v>171.38052083333332</v>
      </c>
      <c r="AD26" s="1204">
        <f>X26/$K$42</f>
        <v>350.82646090216747</v>
      </c>
      <c r="AE26" s="1205">
        <f>Y26/$L$42</f>
        <v>920.66715646038142</v>
      </c>
      <c r="AF26" s="1205">
        <f t="shared" ref="AF26:AF42" si="1">Z26/$M$42</f>
        <v>1202.1823116263706</v>
      </c>
      <c r="AG26" s="1205">
        <f t="shared" ref="AG26:AG42" si="2">AA26/$N$42</f>
        <v>1398.0344946709474</v>
      </c>
      <c r="AH26" s="1205">
        <f t="shared" ref="AH26:AH41" si="3">AB26/$O$42</f>
        <v>1006.3448081816401</v>
      </c>
      <c r="AI26" s="526">
        <f>AVERAGE(AD26:AH26)</f>
        <v>975.61104636830146</v>
      </c>
    </row>
    <row r="27" spans="2:41" ht="16.5" thickBot="1" x14ac:dyDescent="0.3">
      <c r="B27" s="52" t="s">
        <v>9</v>
      </c>
      <c r="C27" s="502">
        <v>11896.78072709763</v>
      </c>
      <c r="D27" s="36">
        <v>11891.150833667991</v>
      </c>
      <c r="E27" s="502">
        <v>12881.417600664177</v>
      </c>
      <c r="F27" s="36">
        <v>13275.795569694827</v>
      </c>
      <c r="G27" s="531">
        <v>13441.957452851624</v>
      </c>
      <c r="H27" s="526">
        <f t="shared" ref="H27:H41" si="4">AVERAGE(C27:G27)</f>
        <v>12677.42043679525</v>
      </c>
      <c r="J27" s="52" t="s">
        <v>9</v>
      </c>
      <c r="K27" s="814">
        <v>0.18</v>
      </c>
      <c r="L27" s="815">
        <v>0.1825</v>
      </c>
      <c r="M27" s="814">
        <v>0.1825</v>
      </c>
      <c r="N27" s="815">
        <v>0.18</v>
      </c>
      <c r="O27" s="816">
        <v>0.18</v>
      </c>
      <c r="P27" s="829">
        <f t="shared" ref="P27:P42" si="5">AVERAGE(K27:O27)</f>
        <v>0.18099999999999997</v>
      </c>
      <c r="S27" s="52">
        <v>960</v>
      </c>
      <c r="U27" s="563">
        <f t="shared" ref="U27:U42" si="6">AI27</f>
        <v>853.90568366086404</v>
      </c>
      <c r="V27" s="570">
        <v>666.18988307843154</v>
      </c>
      <c r="W27" s="52" t="s">
        <v>9</v>
      </c>
      <c r="X27" s="497">
        <f t="shared" ref="X27:X42" si="7">X6/AH6</f>
        <v>146.2441928494041</v>
      </c>
      <c r="Y27" s="497">
        <f t="shared" si="0"/>
        <v>229.37160694896852</v>
      </c>
      <c r="Z27" s="497">
        <f t="shared" si="0"/>
        <v>218.49793290043289</v>
      </c>
      <c r="AA27" s="497">
        <f t="shared" si="0"/>
        <v>97.327412513255567</v>
      </c>
      <c r="AB27" s="497">
        <f t="shared" si="0"/>
        <v>33.90688139059305</v>
      </c>
      <c r="AD27" s="1206">
        <f t="shared" ref="AD27:AD42" si="8">X27/$K$42</f>
        <v>871.33834905621677</v>
      </c>
      <c r="AE27" s="36">
        <f t="shared" ref="AE27:AE42" si="9">Y27/$L$42</f>
        <v>1345.1418210518157</v>
      </c>
      <c r="AF27" s="36">
        <f t="shared" si="1"/>
        <v>1282.429784050637</v>
      </c>
      <c r="AG27" s="36">
        <f t="shared" si="2"/>
        <v>571.51757518151157</v>
      </c>
      <c r="AH27" s="36">
        <f t="shared" si="3"/>
        <v>199.10088896414004</v>
      </c>
      <c r="AI27" s="526">
        <f t="shared" ref="AI27:AI42" si="10">AVERAGE(AD27:AH27)</f>
        <v>853.90568366086404</v>
      </c>
      <c r="AJ27" s="563">
        <v>639542.28775529424</v>
      </c>
    </row>
    <row r="28" spans="2:41" ht="16.5" thickBot="1" x14ac:dyDescent="0.3">
      <c r="B28" s="52" t="s">
        <v>10</v>
      </c>
      <c r="C28" s="502">
        <v>14016.626274626276</v>
      </c>
      <c r="D28" s="36">
        <v>14001.245742846228</v>
      </c>
      <c r="E28" s="502">
        <v>14859.903521257504</v>
      </c>
      <c r="F28" s="36">
        <v>15019.080919879481</v>
      </c>
      <c r="G28" s="531">
        <v>15260.400434284093</v>
      </c>
      <c r="H28" s="526">
        <f t="shared" si="4"/>
        <v>14631.451378578717</v>
      </c>
      <c r="J28" s="52" t="s">
        <v>10</v>
      </c>
      <c r="K28" s="814">
        <v>0.185</v>
      </c>
      <c r="L28" s="815">
        <v>0.19500000000000001</v>
      </c>
      <c r="M28" s="814">
        <v>0.19500000000000001</v>
      </c>
      <c r="N28" s="815">
        <v>0.19500000000000001</v>
      </c>
      <c r="O28" s="816">
        <v>0.19500000000000001</v>
      </c>
      <c r="P28" s="829">
        <f t="shared" si="5"/>
        <v>0.193</v>
      </c>
      <c r="S28" s="52">
        <v>2531</v>
      </c>
      <c r="U28" s="563">
        <f t="shared" si="6"/>
        <v>372.8172551399465</v>
      </c>
      <c r="V28" s="570">
        <v>348.68996250605983</v>
      </c>
      <c r="W28" s="52" t="s">
        <v>10</v>
      </c>
      <c r="X28" s="497">
        <f t="shared" si="7"/>
        <v>46.271294261294258</v>
      </c>
      <c r="Y28" s="497">
        <f t="shared" si="0"/>
        <v>90.626910994764401</v>
      </c>
      <c r="Z28" s="497">
        <f t="shared" si="0"/>
        <v>67.659778761061943</v>
      </c>
      <c r="AA28" s="497">
        <f t="shared" si="0"/>
        <v>47.334212629896079</v>
      </c>
      <c r="AB28" s="497">
        <f t="shared" si="0"/>
        <v>65.029275821131776</v>
      </c>
      <c r="AD28" s="1206">
        <f t="shared" si="8"/>
        <v>275.68925893589642</v>
      </c>
      <c r="AE28" s="36">
        <f t="shared" si="9"/>
        <v>531.47837133529924</v>
      </c>
      <c r="AF28" s="36">
        <f t="shared" si="1"/>
        <v>397.11549813609531</v>
      </c>
      <c r="AG28" s="36">
        <f t="shared" si="2"/>
        <v>277.95185063283049</v>
      </c>
      <c r="AH28" s="36">
        <f t="shared" si="3"/>
        <v>381.85129665961114</v>
      </c>
      <c r="AI28" s="526">
        <f t="shared" si="10"/>
        <v>372.8172551399465</v>
      </c>
      <c r="AJ28" s="563">
        <v>882534.2951028375</v>
      </c>
    </row>
    <row r="29" spans="2:41" ht="16.5" thickBot="1" x14ac:dyDescent="0.3">
      <c r="B29" s="52" t="s">
        <v>11</v>
      </c>
      <c r="C29" s="502">
        <v>13315.306650495248</v>
      </c>
      <c r="D29" s="36">
        <v>12952.965890522877</v>
      </c>
      <c r="E29" s="502">
        <v>14112.415854042152</v>
      </c>
      <c r="F29" s="36">
        <v>14600.60539730135</v>
      </c>
      <c r="G29" s="531">
        <v>14927.662522291716</v>
      </c>
      <c r="H29" s="526">
        <f t="shared" si="4"/>
        <v>13981.79126293067</v>
      </c>
      <c r="J29" s="52" t="s">
        <v>11</v>
      </c>
      <c r="K29" s="814">
        <v>0.17</v>
      </c>
      <c r="L29" s="815">
        <v>0.17</v>
      </c>
      <c r="M29" s="814">
        <v>0.17</v>
      </c>
      <c r="N29" s="815">
        <v>0.17249999999999999</v>
      </c>
      <c r="O29" s="816">
        <v>0.17249999999999999</v>
      </c>
      <c r="P29" s="829">
        <f t="shared" si="5"/>
        <v>0.17099999999999999</v>
      </c>
      <c r="S29" s="52">
        <v>578</v>
      </c>
      <c r="U29" s="563">
        <f t="shared" si="6"/>
        <v>1577.26685597652</v>
      </c>
      <c r="V29" s="570">
        <v>1405.8505550292166</v>
      </c>
      <c r="W29" s="52" t="s">
        <v>11</v>
      </c>
      <c r="X29" s="497">
        <f t="shared" si="7"/>
        <v>212.70396907216497</v>
      </c>
      <c r="Y29" s="497">
        <f t="shared" si="0"/>
        <v>400.32322916666664</v>
      </c>
      <c r="Z29" s="497">
        <f t="shared" si="0"/>
        <v>320.43511586452763</v>
      </c>
      <c r="AA29" s="497">
        <f t="shared" si="0"/>
        <v>185.81717241379312</v>
      </c>
      <c r="AB29" s="497">
        <f t="shared" si="0"/>
        <v>221.29987868284229</v>
      </c>
      <c r="AD29" s="1206">
        <f t="shared" si="8"/>
        <v>1267.3127160672761</v>
      </c>
      <c r="AE29" s="36">
        <f t="shared" si="9"/>
        <v>2347.6816710378585</v>
      </c>
      <c r="AF29" s="36">
        <f t="shared" si="1"/>
        <v>1880.7296297290181</v>
      </c>
      <c r="AG29" s="36">
        <f t="shared" si="2"/>
        <v>1091.1394545760911</v>
      </c>
      <c r="AH29" s="36">
        <f t="shared" si="3"/>
        <v>1299.4708084723563</v>
      </c>
      <c r="AI29" s="526">
        <f t="shared" si="10"/>
        <v>1577.26685597652</v>
      </c>
      <c r="AJ29" s="563">
        <v>812581.62080688716</v>
      </c>
    </row>
    <row r="30" spans="2:41" ht="16.5" thickBot="1" x14ac:dyDescent="0.3">
      <c r="B30" s="52" t="s">
        <v>12</v>
      </c>
      <c r="C30" s="502">
        <v>10261.966322982125</v>
      </c>
      <c r="D30" s="36">
        <v>9967.0318871503096</v>
      </c>
      <c r="E30" s="502">
        <v>10696.366077236977</v>
      </c>
      <c r="F30" s="36">
        <v>11655.825055596739</v>
      </c>
      <c r="G30" s="531">
        <v>11553.919976771198</v>
      </c>
      <c r="H30" s="526">
        <f t="shared" si="4"/>
        <v>10827.02186394747</v>
      </c>
      <c r="J30" s="52" t="s">
        <v>12</v>
      </c>
      <c r="K30" s="814">
        <v>0.185</v>
      </c>
      <c r="L30" s="815">
        <v>0.185</v>
      </c>
      <c r="M30" s="814">
        <v>0.185</v>
      </c>
      <c r="N30" s="815">
        <v>0.17749999999999999</v>
      </c>
      <c r="O30" s="816">
        <v>0.17499999999999999</v>
      </c>
      <c r="P30" s="829">
        <f t="shared" si="5"/>
        <v>0.18149999999999999</v>
      </c>
      <c r="S30" s="52">
        <v>495</v>
      </c>
      <c r="U30" s="563">
        <f t="shared" si="6"/>
        <v>63.591022511931612</v>
      </c>
      <c r="V30" s="570">
        <v>70.353716330072373</v>
      </c>
      <c r="W30" s="52" t="s">
        <v>12</v>
      </c>
      <c r="X30" s="497">
        <f t="shared" si="7"/>
        <v>5.6425056433408578</v>
      </c>
      <c r="Y30" s="497">
        <f t="shared" si="0"/>
        <v>10.599912280701755</v>
      </c>
      <c r="Z30" s="497">
        <f t="shared" si="0"/>
        <v>17.671356673960613</v>
      </c>
      <c r="AA30" s="497">
        <f t="shared" si="0"/>
        <v>12.061199999999999</v>
      </c>
      <c r="AB30" s="497">
        <f t="shared" si="0"/>
        <v>8.1114634146341462</v>
      </c>
      <c r="AD30" s="1206">
        <f t="shared" si="8"/>
        <v>33.61864465190655</v>
      </c>
      <c r="AE30" s="36">
        <f t="shared" si="9"/>
        <v>62.162817350906572</v>
      </c>
      <c r="AF30" s="36">
        <f t="shared" si="1"/>
        <v>103.71848292768993</v>
      </c>
      <c r="AG30" s="36">
        <f t="shared" si="2"/>
        <v>70.824730667122424</v>
      </c>
      <c r="AH30" s="36">
        <f t="shared" si="3"/>
        <v>47.630436962032569</v>
      </c>
      <c r="AI30" s="526">
        <f t="shared" si="10"/>
        <v>63.591022511931612</v>
      </c>
      <c r="AJ30" s="563">
        <v>34825.089583385823</v>
      </c>
    </row>
    <row r="31" spans="2:41" ht="16.5" thickBot="1" x14ac:dyDescent="0.3">
      <c r="B31" s="52" t="s">
        <v>13</v>
      </c>
      <c r="C31" s="502">
        <v>13408.19179732026</v>
      </c>
      <c r="D31" s="36">
        <v>13064.885942760942</v>
      </c>
      <c r="E31" s="502">
        <v>13975.399407609933</v>
      </c>
      <c r="F31" s="36">
        <v>14050.480548187446</v>
      </c>
      <c r="G31" s="531">
        <v>14348.477342229635</v>
      </c>
      <c r="H31" s="526">
        <f t="shared" si="4"/>
        <v>13769.487007621641</v>
      </c>
      <c r="J31" s="52" t="s">
        <v>13</v>
      </c>
      <c r="K31" s="814">
        <v>0.16500000000000001</v>
      </c>
      <c r="L31" s="815">
        <v>0.16500000000000001</v>
      </c>
      <c r="M31" s="814">
        <v>0.16500000000000001</v>
      </c>
      <c r="N31" s="815">
        <v>0.16500000000000001</v>
      </c>
      <c r="O31" s="816">
        <v>0.16500000000000001</v>
      </c>
      <c r="P31" s="829">
        <f t="shared" si="5"/>
        <v>0.16500000000000001</v>
      </c>
      <c r="S31" s="52">
        <v>1522</v>
      </c>
      <c r="U31" s="563">
        <f t="shared" si="6"/>
        <v>274.15254675240834</v>
      </c>
      <c r="V31" s="570">
        <v>325.36175352284152</v>
      </c>
      <c r="W31" s="52" t="s">
        <v>13</v>
      </c>
      <c r="X31" s="497">
        <f t="shared" si="7"/>
        <v>22.370645848119231</v>
      </c>
      <c r="Y31" s="497">
        <f t="shared" si="0"/>
        <v>42.540645833333329</v>
      </c>
      <c r="Z31" s="497">
        <f t="shared" si="0"/>
        <v>40.831729323308274</v>
      </c>
      <c r="AA31" s="497">
        <f t="shared" si="0"/>
        <v>66.083388594164461</v>
      </c>
      <c r="AB31" s="497">
        <f t="shared" si="0"/>
        <v>61.358263433813896</v>
      </c>
      <c r="AD31" s="1206">
        <f t="shared" si="8"/>
        <v>133.28667101806872</v>
      </c>
      <c r="AE31" s="36">
        <f t="shared" si="9"/>
        <v>249.47813971457052</v>
      </c>
      <c r="AF31" s="36">
        <f t="shared" si="1"/>
        <v>239.653643965437</v>
      </c>
      <c r="AG31" s="36">
        <f t="shared" si="2"/>
        <v>388.04913265284455</v>
      </c>
      <c r="AH31" s="36">
        <f t="shared" si="3"/>
        <v>360.29514641112092</v>
      </c>
      <c r="AI31" s="526">
        <f t="shared" si="10"/>
        <v>274.15254675240834</v>
      </c>
      <c r="AJ31" s="563">
        <v>495200.58886176482</v>
      </c>
    </row>
    <row r="32" spans="2:41" ht="16.5" thickBot="1" x14ac:dyDescent="0.3">
      <c r="B32" s="52" t="s">
        <v>14</v>
      </c>
      <c r="C32" s="502">
        <v>15005.928504629197</v>
      </c>
      <c r="D32" s="36">
        <v>15106.831383561846</v>
      </c>
      <c r="E32" s="502">
        <v>16073.146181296985</v>
      </c>
      <c r="F32" s="36">
        <v>16800.346194700429</v>
      </c>
      <c r="G32" s="531">
        <v>17314.539601013388</v>
      </c>
      <c r="H32" s="526">
        <f t="shared" si="4"/>
        <v>16060.158373040369</v>
      </c>
      <c r="J32" s="52" t="s">
        <v>14</v>
      </c>
      <c r="K32" s="814">
        <v>0.17</v>
      </c>
      <c r="L32" s="815">
        <v>0.17</v>
      </c>
      <c r="M32" s="814">
        <v>0.17</v>
      </c>
      <c r="N32" s="815">
        <v>0.17</v>
      </c>
      <c r="O32" s="816">
        <v>0.17</v>
      </c>
      <c r="P32" s="829">
        <f t="shared" si="5"/>
        <v>0.17</v>
      </c>
      <c r="S32" s="52">
        <v>4355</v>
      </c>
      <c r="U32" s="563">
        <f t="shared" si="6"/>
        <v>854.68771680249574</v>
      </c>
      <c r="V32" s="570">
        <v>892.84340369146537</v>
      </c>
      <c r="W32" s="52" t="s">
        <v>14</v>
      </c>
      <c r="X32" s="497">
        <f t="shared" si="7"/>
        <v>80.518476417594059</v>
      </c>
      <c r="Y32" s="497">
        <f t="shared" si="0"/>
        <v>163.50435537401074</v>
      </c>
      <c r="Z32" s="497">
        <f t="shared" si="0"/>
        <v>169.46895822973644</v>
      </c>
      <c r="AA32" s="497">
        <f t="shared" si="0"/>
        <v>174.16221815519765</v>
      </c>
      <c r="AB32" s="497">
        <f t="shared" si="0"/>
        <v>139.21532595904921</v>
      </c>
      <c r="AD32" s="1206">
        <f t="shared" si="8"/>
        <v>479.7375878198107</v>
      </c>
      <c r="AE32" s="36">
        <f t="shared" si="9"/>
        <v>958.86561228405378</v>
      </c>
      <c r="AF32" s="36">
        <f t="shared" si="1"/>
        <v>994.66405297702806</v>
      </c>
      <c r="AG32" s="36">
        <f t="shared" si="2"/>
        <v>1022.7002448537869</v>
      </c>
      <c r="AH32" s="36">
        <f t="shared" si="3"/>
        <v>817.47108607779921</v>
      </c>
      <c r="AI32" s="526">
        <f t="shared" si="10"/>
        <v>854.68771680249574</v>
      </c>
      <c r="AJ32" s="563">
        <v>3888333.0230763317</v>
      </c>
    </row>
    <row r="33" spans="2:36" ht="16.5" thickBot="1" x14ac:dyDescent="0.3">
      <c r="B33" s="52" t="s">
        <v>15</v>
      </c>
      <c r="C33" s="502">
        <v>14451.899424014175</v>
      </c>
      <c r="D33" s="36">
        <v>14824.090840840841</v>
      </c>
      <c r="E33" s="502">
        <v>15029.913978494626</v>
      </c>
      <c r="F33" s="36">
        <v>14831.871398871399</v>
      </c>
      <c r="G33" s="531">
        <v>15152.498465224226</v>
      </c>
      <c r="H33" s="526">
        <f t="shared" si="4"/>
        <v>14858.054821489053</v>
      </c>
      <c r="J33" s="52" t="s">
        <v>15</v>
      </c>
      <c r="K33" s="814">
        <v>0.185</v>
      </c>
      <c r="L33" s="815">
        <v>0.185</v>
      </c>
      <c r="M33" s="814">
        <v>0.185</v>
      </c>
      <c r="N33" s="815">
        <v>0.185</v>
      </c>
      <c r="O33" s="816">
        <v>0.185</v>
      </c>
      <c r="P33" s="829">
        <f t="shared" si="5"/>
        <v>0.185</v>
      </c>
      <c r="S33" s="52">
        <v>338</v>
      </c>
      <c r="U33" s="563">
        <f t="shared" si="6"/>
        <v>278.85820266803648</v>
      </c>
      <c r="V33" s="570">
        <v>248.2698816456915</v>
      </c>
      <c r="W33" s="52" t="s">
        <v>15</v>
      </c>
      <c r="X33" s="497">
        <f t="shared" si="7"/>
        <v>33.747650273224039</v>
      </c>
      <c r="Y33" s="497">
        <f t="shared" si="0"/>
        <v>86.823805555555552</v>
      </c>
      <c r="Z33" s="497">
        <f t="shared" si="0"/>
        <v>65.074301075268821</v>
      </c>
      <c r="AA33" s="497">
        <f t="shared" si="0"/>
        <v>34.315741758241757</v>
      </c>
      <c r="AB33" s="497">
        <f t="shared" si="0"/>
        <v>17.131717451523546</v>
      </c>
      <c r="AD33" s="1206">
        <f t="shared" si="8"/>
        <v>201.07206515802133</v>
      </c>
      <c r="AE33" s="36">
        <f t="shared" si="9"/>
        <v>509.17519159916208</v>
      </c>
      <c r="AF33" s="36">
        <f t="shared" si="1"/>
        <v>381.94055553482895</v>
      </c>
      <c r="AG33" s="36">
        <f t="shared" si="2"/>
        <v>201.50591712847799</v>
      </c>
      <c r="AH33" s="36">
        <f t="shared" si="3"/>
        <v>100.59728391969199</v>
      </c>
      <c r="AI33" s="526">
        <f t="shared" si="10"/>
        <v>278.85820266803648</v>
      </c>
      <c r="AJ33" s="563">
        <v>83915.21999624373</v>
      </c>
    </row>
    <row r="34" spans="2:36" ht="16.5" thickBot="1" x14ac:dyDescent="0.3">
      <c r="B34" s="52" t="s">
        <v>16</v>
      </c>
      <c r="C34" s="502">
        <v>12243.100114198707</v>
      </c>
      <c r="D34" s="36">
        <v>11961.263255622038</v>
      </c>
      <c r="E34" s="502">
        <v>13401.663042352699</v>
      </c>
      <c r="F34" s="36">
        <v>13502.271105081914</v>
      </c>
      <c r="G34" s="531">
        <v>14523.792812274742</v>
      </c>
      <c r="H34" s="526">
        <f t="shared" si="4"/>
        <v>13126.418065906018</v>
      </c>
      <c r="J34" s="52" t="s">
        <v>16</v>
      </c>
      <c r="K34" s="814">
        <v>0.185</v>
      </c>
      <c r="L34" s="815">
        <v>0.185</v>
      </c>
      <c r="M34" s="814">
        <v>0.185</v>
      </c>
      <c r="N34" s="815">
        <v>0.185</v>
      </c>
      <c r="O34" s="816">
        <v>0.19500000000000001</v>
      </c>
      <c r="P34" s="829">
        <f t="shared" si="5"/>
        <v>0.187</v>
      </c>
      <c r="S34" s="52">
        <v>245</v>
      </c>
      <c r="U34" s="563">
        <f t="shared" si="6"/>
        <v>155.39078002257151</v>
      </c>
      <c r="V34" s="570">
        <v>200.88140100682887</v>
      </c>
      <c r="W34" s="52" t="s">
        <v>16</v>
      </c>
      <c r="X34" s="497">
        <f t="shared" si="7"/>
        <v>8.2094366197183124</v>
      </c>
      <c r="Y34" s="497">
        <f t="shared" si="0"/>
        <v>26.148053435114505</v>
      </c>
      <c r="Z34" s="497">
        <f t="shared" si="0"/>
        <v>35.234674329501914</v>
      </c>
      <c r="AA34" s="497">
        <f t="shared" si="0"/>
        <v>35.194787644787645</v>
      </c>
      <c r="AB34" s="497">
        <f t="shared" si="0"/>
        <v>27.456827309236949</v>
      </c>
      <c r="AD34" s="1206">
        <f t="shared" si="8"/>
        <v>48.912690559091494</v>
      </c>
      <c r="AE34" s="36">
        <f t="shared" si="9"/>
        <v>153.34435104034256</v>
      </c>
      <c r="AF34" s="36">
        <f t="shared" si="1"/>
        <v>206.80285251059294</v>
      </c>
      <c r="AG34" s="36">
        <f t="shared" si="2"/>
        <v>206.66777400496247</v>
      </c>
      <c r="AH34" s="36">
        <f t="shared" si="3"/>
        <v>161.22623199786815</v>
      </c>
      <c r="AI34" s="526">
        <f t="shared" si="10"/>
        <v>155.39078002257151</v>
      </c>
      <c r="AJ34" s="563">
        <v>49215.943246673072</v>
      </c>
    </row>
    <row r="35" spans="2:36" ht="16.5" thickBot="1" x14ac:dyDescent="0.3">
      <c r="B35" s="52" t="s">
        <v>17</v>
      </c>
      <c r="C35" s="502">
        <v>14908.320460502304</v>
      </c>
      <c r="D35" s="36">
        <v>14752.789238430292</v>
      </c>
      <c r="E35" s="502">
        <v>16053.454647484949</v>
      </c>
      <c r="F35" s="36">
        <v>16692.817714075707</v>
      </c>
      <c r="G35" s="531">
        <v>16891.604301075269</v>
      </c>
      <c r="H35" s="526">
        <f t="shared" si="4"/>
        <v>15859.797272313706</v>
      </c>
      <c r="J35" s="52" t="s">
        <v>17</v>
      </c>
      <c r="K35" s="814">
        <v>0.17</v>
      </c>
      <c r="L35" s="815">
        <v>0.16500000000000001</v>
      </c>
      <c r="M35" s="814">
        <v>0.16500000000000001</v>
      </c>
      <c r="N35" s="815">
        <v>0.16500000000000001</v>
      </c>
      <c r="O35" s="816">
        <v>0.16250000000000001</v>
      </c>
      <c r="P35" s="829">
        <f t="shared" si="5"/>
        <v>0.16550000000000001</v>
      </c>
      <c r="S35" s="52">
        <v>1883</v>
      </c>
      <c r="U35" s="563">
        <f t="shared" si="6"/>
        <v>175.56854193906577</v>
      </c>
      <c r="V35" s="570">
        <v>182.94949566785712</v>
      </c>
      <c r="W35" s="52" t="s">
        <v>17</v>
      </c>
      <c r="X35" s="497">
        <f t="shared" si="7"/>
        <v>11.273096446700508</v>
      </c>
      <c r="Y35" s="497">
        <f t="shared" si="0"/>
        <v>40.755720695457093</v>
      </c>
      <c r="Z35" s="497">
        <f t="shared" si="0"/>
        <v>43.757222222222218</v>
      </c>
      <c r="AA35" s="497">
        <f t="shared" si="0"/>
        <v>36.223484013230426</v>
      </c>
      <c r="AB35" s="497">
        <f t="shared" si="0"/>
        <v>17.393295698924732</v>
      </c>
      <c r="AD35" s="1206">
        <f t="shared" si="8"/>
        <v>67.166299428617279</v>
      </c>
      <c r="AE35" s="36">
        <f t="shared" si="9"/>
        <v>239.01050824814328</v>
      </c>
      <c r="AF35" s="36">
        <f t="shared" si="1"/>
        <v>256.82423764929354</v>
      </c>
      <c r="AG35" s="36">
        <f t="shared" si="2"/>
        <v>212.70839543841907</v>
      </c>
      <c r="AH35" s="36">
        <f t="shared" si="3"/>
        <v>102.13326893085573</v>
      </c>
      <c r="AI35" s="526">
        <f t="shared" si="10"/>
        <v>175.56854193906577</v>
      </c>
      <c r="AJ35" s="563">
        <v>344493.90034257498</v>
      </c>
    </row>
    <row r="36" spans="2:36" ht="16.5" thickBot="1" x14ac:dyDescent="0.3">
      <c r="B36" s="52" t="s">
        <v>18</v>
      </c>
      <c r="C36" s="502">
        <v>14235.597178573924</v>
      </c>
      <c r="D36" s="36">
        <v>14160.846288148614</v>
      </c>
      <c r="E36" s="502">
        <v>15475.618027234395</v>
      </c>
      <c r="F36" s="36">
        <v>16150.293318699409</v>
      </c>
      <c r="G36" s="531">
        <v>16875.3468807153</v>
      </c>
      <c r="H36" s="526">
        <f t="shared" si="4"/>
        <v>15379.540338674327</v>
      </c>
      <c r="J36" s="52" t="s">
        <v>18</v>
      </c>
      <c r="K36" s="814">
        <v>0.185</v>
      </c>
      <c r="L36" s="815">
        <v>0.185</v>
      </c>
      <c r="M36" s="814">
        <v>0.185</v>
      </c>
      <c r="N36" s="815">
        <v>0.185</v>
      </c>
      <c r="O36" s="816">
        <v>0.185</v>
      </c>
      <c r="P36" s="829">
        <f t="shared" si="5"/>
        <v>0.185</v>
      </c>
      <c r="S36" s="52">
        <v>392</v>
      </c>
      <c r="U36" s="563">
        <f t="shared" si="6"/>
        <v>621.7451783471887</v>
      </c>
      <c r="V36" s="570">
        <v>606.60830976964212</v>
      </c>
      <c r="W36" s="52" t="s">
        <v>18</v>
      </c>
      <c r="X36" s="497">
        <f t="shared" si="7"/>
        <v>86.970387596899215</v>
      </c>
      <c r="Y36" s="497">
        <f t="shared" si="0"/>
        <v>133.00974160206718</v>
      </c>
      <c r="Z36" s="497">
        <f t="shared" si="0"/>
        <v>128.83979539641945</v>
      </c>
      <c r="AA36" s="497">
        <f t="shared" si="0"/>
        <v>101.32527918781727</v>
      </c>
      <c r="AB36" s="497">
        <f t="shared" si="0"/>
        <v>78.222756892230578</v>
      </c>
      <c r="AD36" s="1206">
        <f t="shared" si="8"/>
        <v>518.17875615407877</v>
      </c>
      <c r="AE36" s="36">
        <f t="shared" si="9"/>
        <v>780.03100913899175</v>
      </c>
      <c r="AF36" s="36">
        <f t="shared" si="1"/>
        <v>756.19933238751059</v>
      </c>
      <c r="AG36" s="36">
        <f t="shared" si="2"/>
        <v>594.99350050145461</v>
      </c>
      <c r="AH36" s="36">
        <f t="shared" si="3"/>
        <v>459.32329355390823</v>
      </c>
      <c r="AI36" s="526">
        <f t="shared" si="10"/>
        <v>621.7451783471887</v>
      </c>
      <c r="AJ36" s="563">
        <v>237790.45742969972</v>
      </c>
    </row>
    <row r="37" spans="2:36" ht="16.5" thickBot="1" x14ac:dyDescent="0.3">
      <c r="B37" s="52" t="s">
        <v>19</v>
      </c>
      <c r="C37" s="502">
        <v>13790.361364753357</v>
      </c>
      <c r="D37" s="36">
        <v>13464.54400248924</v>
      </c>
      <c r="E37" s="502">
        <v>14087.736538461539</v>
      </c>
      <c r="F37" s="36">
        <v>14864.889917186032</v>
      </c>
      <c r="G37" s="531">
        <v>15033.088040799001</v>
      </c>
      <c r="H37" s="526">
        <f t="shared" si="4"/>
        <v>14248.123972737832</v>
      </c>
      <c r="J37" s="52" t="s">
        <v>19</v>
      </c>
      <c r="K37" s="814">
        <v>0.16750000000000001</v>
      </c>
      <c r="L37" s="815">
        <v>0.16500000000000001</v>
      </c>
      <c r="M37" s="814">
        <v>0.16250000000000001</v>
      </c>
      <c r="N37" s="815">
        <v>0.16250000000000001</v>
      </c>
      <c r="O37" s="816">
        <v>0.16250000000000001</v>
      </c>
      <c r="P37" s="829">
        <f t="shared" si="5"/>
        <v>0.16399999999999998</v>
      </c>
      <c r="S37" s="52">
        <v>1823</v>
      </c>
      <c r="U37" s="563">
        <f t="shared" si="6"/>
        <v>1278.4237992476562</v>
      </c>
      <c r="V37" s="570">
        <v>1583.6145778767179</v>
      </c>
      <c r="W37" s="52" t="s">
        <v>19</v>
      </c>
      <c r="X37" s="497">
        <f t="shared" si="7"/>
        <v>81.302033506643568</v>
      </c>
      <c r="Y37" s="497">
        <f t="shared" si="0"/>
        <v>187.39314318311466</v>
      </c>
      <c r="Z37" s="497">
        <f t="shared" si="0"/>
        <v>272.00762834821427</v>
      </c>
      <c r="AA37" s="497">
        <f t="shared" si="0"/>
        <v>304.75967258601554</v>
      </c>
      <c r="AB37" s="497">
        <f t="shared" si="0"/>
        <v>242.28152486187844</v>
      </c>
      <c r="AD37" s="1206">
        <f t="shared" si="8"/>
        <v>484.40610372503204</v>
      </c>
      <c r="AE37" s="36">
        <f t="shared" si="9"/>
        <v>1098.9605785429235</v>
      </c>
      <c r="AF37" s="36">
        <f t="shared" si="1"/>
        <v>1596.4942068430671</v>
      </c>
      <c r="AG37" s="36">
        <f t="shared" si="2"/>
        <v>1789.5832694180485</v>
      </c>
      <c r="AH37" s="36">
        <f t="shared" si="3"/>
        <v>1422.6748377092099</v>
      </c>
      <c r="AI37" s="526">
        <f t="shared" si="10"/>
        <v>1278.4237992476562</v>
      </c>
      <c r="AJ37" s="563">
        <v>2886929.3754692567</v>
      </c>
    </row>
    <row r="38" spans="2:36" ht="16.5" thickBot="1" x14ac:dyDescent="0.3">
      <c r="B38" s="52" t="s">
        <v>20</v>
      </c>
      <c r="C38" s="502">
        <v>15849.007881773399</v>
      </c>
      <c r="D38" s="36">
        <v>14805.265590062112</v>
      </c>
      <c r="E38" s="502">
        <v>15415.710171428571</v>
      </c>
      <c r="F38" s="36">
        <v>17001.843604108308</v>
      </c>
      <c r="G38" s="531">
        <v>17202.742718446603</v>
      </c>
      <c r="H38" s="526">
        <f t="shared" si="4"/>
        <v>16054.9139931638</v>
      </c>
      <c r="J38" s="52" t="s">
        <v>20</v>
      </c>
      <c r="K38" s="814">
        <v>0.17499999999999999</v>
      </c>
      <c r="L38" s="815">
        <v>0.17499999999999999</v>
      </c>
      <c r="M38" s="814">
        <v>0.17499999999999999</v>
      </c>
      <c r="N38" s="815">
        <v>0.18</v>
      </c>
      <c r="O38" s="816">
        <v>0.18</v>
      </c>
      <c r="P38" s="829">
        <f t="shared" si="5"/>
        <v>0.17699999999999996</v>
      </c>
      <c r="S38" s="52">
        <v>101</v>
      </c>
      <c r="U38" s="563">
        <f t="shared" si="6"/>
        <v>132.45509533179109</v>
      </c>
      <c r="V38" s="570">
        <v>201.54076751190865</v>
      </c>
      <c r="W38" s="52" t="s">
        <v>20</v>
      </c>
      <c r="X38" s="497">
        <f t="shared" si="7"/>
        <v>6.6318103448275858</v>
      </c>
      <c r="Y38" s="497">
        <f t="shared" si="0"/>
        <v>12.657913043478262</v>
      </c>
      <c r="Z38" s="497">
        <f t="shared" si="0"/>
        <v>9.8140000000000001</v>
      </c>
      <c r="AA38" s="497">
        <f t="shared" si="0"/>
        <v>35.134033613445375</v>
      </c>
      <c r="AB38" s="497">
        <f t="shared" si="0"/>
        <v>48.470485436893206</v>
      </c>
      <c r="AD38" s="1206">
        <f t="shared" si="8"/>
        <v>39.513026565550597</v>
      </c>
      <c r="AE38" s="36">
        <f t="shared" si="9"/>
        <v>74.231891333472859</v>
      </c>
      <c r="AF38" s="36">
        <f t="shared" si="1"/>
        <v>57.601304202763991</v>
      </c>
      <c r="AG38" s="36">
        <f t="shared" si="2"/>
        <v>206.31101946090729</v>
      </c>
      <c r="AH38" s="36">
        <f t="shared" si="3"/>
        <v>284.61823509626072</v>
      </c>
      <c r="AI38" s="526">
        <f t="shared" si="10"/>
        <v>132.45509533179109</v>
      </c>
      <c r="AJ38" s="563">
        <v>20355.617518702773</v>
      </c>
    </row>
    <row r="39" spans="2:36" ht="16.5" thickBot="1" x14ac:dyDescent="0.3">
      <c r="B39" s="52" t="s">
        <v>21</v>
      </c>
      <c r="C39" s="502">
        <v>13455.28583907101</v>
      </c>
      <c r="D39" s="36">
        <v>13444.91026817312</v>
      </c>
      <c r="E39" s="502">
        <v>14142.106851037081</v>
      </c>
      <c r="F39" s="36">
        <v>14899.455693180915</v>
      </c>
      <c r="G39" s="531">
        <v>14715.752447980418</v>
      </c>
      <c r="H39" s="526">
        <f t="shared" si="4"/>
        <v>14131.502219888507</v>
      </c>
      <c r="J39" s="52" t="s">
        <v>21</v>
      </c>
      <c r="K39" s="814">
        <v>0.185</v>
      </c>
      <c r="L39" s="815">
        <v>0.185</v>
      </c>
      <c r="M39" s="814">
        <v>0.185</v>
      </c>
      <c r="N39" s="815">
        <v>0.185</v>
      </c>
      <c r="O39" s="816">
        <v>0.19</v>
      </c>
      <c r="P39" s="829">
        <f t="shared" si="5"/>
        <v>0.186</v>
      </c>
      <c r="S39" s="52">
        <v>1035</v>
      </c>
      <c r="U39" s="563">
        <f t="shared" si="6"/>
        <v>56.30466600982929</v>
      </c>
      <c r="V39" s="570">
        <v>54.304488432818765</v>
      </c>
      <c r="W39" s="52" t="s">
        <v>21</v>
      </c>
      <c r="X39" s="497">
        <f t="shared" si="7"/>
        <v>7.4850095057034229</v>
      </c>
      <c r="Y39" s="497">
        <f t="shared" si="0"/>
        <v>12.420446168768185</v>
      </c>
      <c r="Z39" s="497">
        <f t="shared" si="0"/>
        <v>8.6736918604651159</v>
      </c>
      <c r="AA39" s="497">
        <f t="shared" si="0"/>
        <v>9.4703631010794886</v>
      </c>
      <c r="AB39" s="497">
        <f t="shared" si="0"/>
        <v>9.8038372093023245</v>
      </c>
      <c r="AD39" s="1206">
        <f t="shared" si="8"/>
        <v>44.596477291141106</v>
      </c>
      <c r="AE39" s="36">
        <f t="shared" si="9"/>
        <v>72.839275095849061</v>
      </c>
      <c r="AF39" s="36">
        <f t="shared" si="1"/>
        <v>50.908494336222653</v>
      </c>
      <c r="AG39" s="36">
        <f t="shared" si="2"/>
        <v>55.611043341774383</v>
      </c>
      <c r="AH39" s="36">
        <f t="shared" si="3"/>
        <v>57.56803998415927</v>
      </c>
      <c r="AI39" s="526">
        <f t="shared" si="10"/>
        <v>56.30466600982929</v>
      </c>
      <c r="AJ39" s="563">
        <v>56205.145527967419</v>
      </c>
    </row>
    <row r="40" spans="2:36" ht="16.5" thickBot="1" x14ac:dyDescent="0.3">
      <c r="B40" s="52" t="s">
        <v>22</v>
      </c>
      <c r="C40" s="502">
        <v>12042.626512226512</v>
      </c>
      <c r="D40" s="36">
        <v>11254.477251034043</v>
      </c>
      <c r="E40" s="502">
        <v>11997.971621187802</v>
      </c>
      <c r="F40" s="36">
        <v>12419.850442477877</v>
      </c>
      <c r="G40" s="531">
        <v>12266.160975006187</v>
      </c>
      <c r="H40" s="526">
        <f t="shared" si="4"/>
        <v>11996.217360386485</v>
      </c>
      <c r="J40" s="52" t="s">
        <v>22</v>
      </c>
      <c r="K40" s="814">
        <v>0.17499999999999999</v>
      </c>
      <c r="L40" s="815">
        <v>0.17499999999999999</v>
      </c>
      <c r="M40" s="814">
        <v>0.17499999999999999</v>
      </c>
      <c r="N40" s="815">
        <v>0.17499999999999999</v>
      </c>
      <c r="O40" s="816">
        <v>0.18</v>
      </c>
      <c r="P40" s="829">
        <f t="shared" si="5"/>
        <v>0.17599999999999999</v>
      </c>
      <c r="S40" s="52">
        <v>422</v>
      </c>
      <c r="U40" s="563">
        <f t="shared" si="6"/>
        <v>57.231823684609665</v>
      </c>
      <c r="V40" s="570">
        <v>57.744639410374894</v>
      </c>
      <c r="W40" s="52" t="s">
        <v>22</v>
      </c>
      <c r="X40" s="497">
        <f t="shared" si="7"/>
        <v>7.2294369369369367</v>
      </c>
      <c r="Y40" s="497">
        <f t="shared" si="0"/>
        <v>13.664276169265033</v>
      </c>
      <c r="Z40" s="497">
        <f t="shared" si="0"/>
        <v>9.5873707865168534</v>
      </c>
      <c r="AA40" s="497">
        <f t="shared" si="0"/>
        <v>9.3371460176991157</v>
      </c>
      <c r="AB40" s="497">
        <f t="shared" si="0"/>
        <v>8.8303563474387534</v>
      </c>
      <c r="AD40" s="1206">
        <f t="shared" si="8"/>
        <v>43.073748929801219</v>
      </c>
      <c r="AE40" s="36">
        <f t="shared" si="9"/>
        <v>80.133672925653059</v>
      </c>
      <c r="AF40" s="36">
        <f t="shared" si="1"/>
        <v>56.271149498558181</v>
      </c>
      <c r="AG40" s="36">
        <f t="shared" si="2"/>
        <v>54.828777559706715</v>
      </c>
      <c r="AH40" s="36">
        <f t="shared" si="3"/>
        <v>51.851769509329145</v>
      </c>
      <c r="AI40" s="526">
        <f t="shared" si="10"/>
        <v>57.231823684609665</v>
      </c>
      <c r="AJ40" s="563">
        <v>24368.237831178205</v>
      </c>
    </row>
    <row r="41" spans="2:36" ht="16.5" thickBot="1" x14ac:dyDescent="0.3">
      <c r="B41" s="504" t="s">
        <v>23</v>
      </c>
      <c r="C41" s="502">
        <v>17461.694465465054</v>
      </c>
      <c r="D41" s="36">
        <v>17513.793636501316</v>
      </c>
      <c r="E41" s="502">
        <v>18166.806927496669</v>
      </c>
      <c r="F41" s="36">
        <v>18694.468221084844</v>
      </c>
      <c r="G41" s="531">
        <v>19257.874929710855</v>
      </c>
      <c r="H41" s="526">
        <f t="shared" si="4"/>
        <v>18218.927636051747</v>
      </c>
      <c r="J41" s="504" t="s">
        <v>23</v>
      </c>
      <c r="K41" s="814">
        <v>0.16</v>
      </c>
      <c r="L41" s="815">
        <v>0.16500000000000001</v>
      </c>
      <c r="M41" s="814">
        <v>0.16500000000000001</v>
      </c>
      <c r="N41" s="815">
        <v>0.16500000000000001</v>
      </c>
      <c r="O41" s="816">
        <v>0.16500000000000001</v>
      </c>
      <c r="P41" s="829">
        <f t="shared" si="5"/>
        <v>0.16400000000000001</v>
      </c>
      <c r="S41" s="435">
        <v>11346</v>
      </c>
      <c r="U41" s="563">
        <f t="shared" si="6"/>
        <v>3681.4622853681417</v>
      </c>
      <c r="V41" s="572">
        <v>3562.75377335652</v>
      </c>
      <c r="W41" s="504" t="s">
        <v>23</v>
      </c>
      <c r="X41" s="497">
        <f t="shared" si="7"/>
        <v>391.27091542836172</v>
      </c>
      <c r="Y41" s="497">
        <f t="shared" si="0"/>
        <v>890.92542753293958</v>
      </c>
      <c r="Z41" s="497">
        <f t="shared" si="0"/>
        <v>807.86431718061681</v>
      </c>
      <c r="AA41" s="497">
        <f t="shared" si="0"/>
        <v>665.0742689901698</v>
      </c>
      <c r="AB41" s="497">
        <f t="shared" si="0"/>
        <v>375.39022640504305</v>
      </c>
      <c r="AD41" s="1206">
        <f t="shared" si="8"/>
        <v>2331.23344483249</v>
      </c>
      <c r="AE41" s="36">
        <f t="shared" si="9"/>
        <v>5224.8012208400978</v>
      </c>
      <c r="AF41" s="36">
        <f t="shared" si="1"/>
        <v>4741.5975431504921</v>
      </c>
      <c r="AG41" s="36">
        <f t="shared" si="2"/>
        <v>3905.3913354278275</v>
      </c>
      <c r="AH41" s="36">
        <f t="shared" si="3"/>
        <v>2204.2878825898006</v>
      </c>
      <c r="AI41" s="526">
        <f t="shared" si="10"/>
        <v>3681.4622853681417</v>
      </c>
      <c r="AJ41" s="563">
        <v>40423004.312503077</v>
      </c>
    </row>
    <row r="42" spans="2:36" ht="16.5" thickBot="1" x14ac:dyDescent="0.3">
      <c r="B42" s="493" t="s">
        <v>247</v>
      </c>
      <c r="C42" s="510">
        <v>15349.489506099284</v>
      </c>
      <c r="D42" s="511">
        <v>15302.872018123737</v>
      </c>
      <c r="E42" s="510">
        <v>16115.302734596999</v>
      </c>
      <c r="F42" s="511">
        <v>16621.609460050826</v>
      </c>
      <c r="G42" s="539">
        <v>17037.791059249827</v>
      </c>
      <c r="H42" s="526">
        <f>AVERAGE(C42:G42)</f>
        <v>16085.412955624133</v>
      </c>
      <c r="J42" s="493" t="s">
        <v>247</v>
      </c>
      <c r="K42" s="817">
        <v>0.16783858188705608</v>
      </c>
      <c r="L42" s="818">
        <v>0.170518530729804</v>
      </c>
      <c r="M42" s="817">
        <v>0.17037808667410478</v>
      </c>
      <c r="N42" s="818">
        <v>0.17029644710811351</v>
      </c>
      <c r="O42" s="819">
        <v>0.17030000000000001</v>
      </c>
      <c r="P42" s="829">
        <f t="shared" si="5"/>
        <v>0.16986632927981568</v>
      </c>
      <c r="S42" s="435">
        <v>28502</v>
      </c>
      <c r="U42" s="563">
        <f t="shared" si="6"/>
        <v>1836.3548422365129</v>
      </c>
      <c r="V42" s="573">
        <v>1805.7513650869962</v>
      </c>
      <c r="W42" s="493" t="s">
        <v>247</v>
      </c>
      <c r="X42" s="497">
        <f t="shared" si="7"/>
        <v>192.49964239678854</v>
      </c>
      <c r="Y42" s="497">
        <f t="shared" ref="Y42" si="11">Y21/AI21</f>
        <v>428.70426974067595</v>
      </c>
      <c r="Z42" s="497">
        <f t="shared" ref="Z42" si="12">Z21/AJ21</f>
        <v>398.45643470108888</v>
      </c>
      <c r="AA42" s="497">
        <f t="shared" ref="AA42" si="13">AA21/AK21</f>
        <v>335.27026350555218</v>
      </c>
      <c r="AB42" s="497">
        <f t="shared" ref="AB42" si="14">AB21/AL21</f>
        <v>206.62318109680834</v>
      </c>
      <c r="AD42" s="1201">
        <f t="shared" si="8"/>
        <v>1146.9332035129305</v>
      </c>
      <c r="AE42" s="1201">
        <f t="shared" si="9"/>
        <v>2514.1212975848443</v>
      </c>
      <c r="AF42" s="1201">
        <f t="shared" si="1"/>
        <v>2338.6601086984092</v>
      </c>
      <c r="AG42" s="1202">
        <f t="shared" si="2"/>
        <v>1968.7449104132177</v>
      </c>
      <c r="AH42" s="1207">
        <f>AB42/$N$42</f>
        <v>1213.3146909731629</v>
      </c>
      <c r="AI42" s="540">
        <f t="shared" si="10"/>
        <v>1836.3548422365129</v>
      </c>
      <c r="AJ42" s="563">
        <v>51467525.407709569</v>
      </c>
    </row>
    <row r="43" spans="2:36" ht="15.75" x14ac:dyDescent="0.25">
      <c r="K43" s="1">
        <v>16.783858188705608</v>
      </c>
      <c r="L43" s="1">
        <v>17.0518530729804</v>
      </c>
      <c r="S43" s="9"/>
      <c r="T43" s="9"/>
      <c r="U43" s="9"/>
      <c r="V43" s="9"/>
      <c r="X43" s="1">
        <v>5226942.7899999991</v>
      </c>
      <c r="Y43" s="1">
        <v>11770504.43</v>
      </c>
      <c r="Z43" s="1196">
        <v>11050790.76</v>
      </c>
      <c r="AA43" s="1197">
        <v>9389914.2699999996</v>
      </c>
      <c r="AB43" s="1197">
        <v>5858800.3000000007</v>
      </c>
      <c r="AD43" s="1209">
        <f>X42/K42</f>
        <v>1146.9332035129305</v>
      </c>
      <c r="AE43" s="1209">
        <f t="shared" ref="AE43:AH43" si="15">Y42/L42</f>
        <v>2514.1212975848443</v>
      </c>
      <c r="AF43" s="1209">
        <f t="shared" si="15"/>
        <v>2338.6601086984092</v>
      </c>
      <c r="AG43" s="1209">
        <f t="shared" si="15"/>
        <v>1968.7449104132177</v>
      </c>
      <c r="AH43" s="1209">
        <f t="shared" si="15"/>
        <v>1213.2893781374535</v>
      </c>
      <c r="AI43" s="5"/>
    </row>
    <row r="44" spans="2:36" ht="16.5" thickBot="1" x14ac:dyDescent="0.3">
      <c r="E44" s="1" t="s">
        <v>555</v>
      </c>
      <c r="J44" s="1" t="s">
        <v>551</v>
      </c>
      <c r="S44" s="9"/>
      <c r="T44" s="9"/>
      <c r="U44" s="9"/>
      <c r="V44" s="9"/>
      <c r="W44" s="24" t="s">
        <v>554</v>
      </c>
      <c r="AA44" s="9"/>
      <c r="AB44" s="9"/>
      <c r="AD44" s="9"/>
      <c r="AE44" s="9"/>
      <c r="AI44" s="5"/>
    </row>
    <row r="45" spans="2:36" ht="15.75" thickBot="1" x14ac:dyDescent="0.25">
      <c r="B45" s="544"/>
      <c r="C45" s="3"/>
      <c r="D45" s="3"/>
      <c r="E45" s="3"/>
      <c r="F45" s="3"/>
      <c r="G45" s="3"/>
      <c r="H45" s="3"/>
      <c r="I45" s="3"/>
      <c r="J45" s="3"/>
      <c r="K45" s="499"/>
      <c r="S45" s="9" t="s">
        <v>552</v>
      </c>
      <c r="T45" s="9"/>
      <c r="U45" s="9"/>
      <c r="V45" s="9"/>
      <c r="AD45" s="9"/>
      <c r="AE45" s="9"/>
    </row>
    <row r="46" spans="2:36" ht="16.5" thickBot="1" x14ac:dyDescent="0.3">
      <c r="B46" s="40" t="s">
        <v>248</v>
      </c>
      <c r="C46" s="733"/>
      <c r="D46" s="733"/>
      <c r="E46" s="733"/>
      <c r="F46" s="733"/>
      <c r="G46" s="1008">
        <f>AVERAGE(C42:G42)</f>
        <v>16085.412955624133</v>
      </c>
      <c r="H46" s="9" t="s">
        <v>249</v>
      </c>
      <c r="I46" s="9"/>
      <c r="J46" s="9"/>
      <c r="K46" s="419"/>
      <c r="P46" s="9"/>
      <c r="Q46" s="9"/>
      <c r="R46" s="9"/>
      <c r="S46" s="9"/>
      <c r="AB46" s="570"/>
      <c r="AC46" s="9"/>
      <c r="AD46" s="9"/>
    </row>
    <row r="47" spans="2:36" ht="16.5" thickBot="1" x14ac:dyDescent="0.3">
      <c r="B47" s="40" t="s">
        <v>250</v>
      </c>
      <c r="C47" s="733"/>
      <c r="D47" s="733"/>
      <c r="E47" s="733"/>
      <c r="F47" s="733"/>
      <c r="G47" s="1008">
        <f>G46*1.1</f>
        <v>17693.954251186547</v>
      </c>
      <c r="H47" s="9"/>
      <c r="I47" s="9"/>
      <c r="J47" s="9"/>
      <c r="K47" s="419"/>
      <c r="P47" s="9"/>
      <c r="Q47" s="9"/>
      <c r="R47" s="9"/>
      <c r="S47" s="9"/>
      <c r="AA47" s="9"/>
      <c r="AB47" s="9"/>
      <c r="AC47" s="9"/>
      <c r="AD47" s="9"/>
    </row>
    <row r="48" spans="2:36" x14ac:dyDescent="0.2">
      <c r="B48" s="418"/>
      <c r="C48" s="9"/>
      <c r="D48" s="9"/>
      <c r="E48" s="9"/>
      <c r="F48" s="9"/>
      <c r="G48" s="9"/>
      <c r="H48" s="9"/>
      <c r="I48" s="9"/>
      <c r="J48" s="9"/>
      <c r="K48" s="419"/>
      <c r="P48" s="9"/>
      <c r="Q48" s="9"/>
      <c r="R48" s="9"/>
      <c r="S48" s="9"/>
      <c r="AB48" s="570"/>
      <c r="AC48" s="9"/>
      <c r="AD48" s="9"/>
    </row>
    <row r="49" spans="1:30" ht="15.75" thickBot="1" x14ac:dyDescent="0.25">
      <c r="B49" s="418"/>
      <c r="C49" s="9"/>
      <c r="D49" s="9"/>
      <c r="E49" s="9"/>
      <c r="F49" s="9"/>
      <c r="G49" s="9"/>
      <c r="H49" s="9"/>
      <c r="I49" s="9"/>
      <c r="J49" s="9"/>
      <c r="K49" s="419"/>
      <c r="P49" s="9"/>
      <c r="Q49" s="9"/>
      <c r="R49" s="9"/>
      <c r="S49" s="9"/>
      <c r="AA49" s="9"/>
      <c r="AB49" s="9"/>
      <c r="AC49" s="9"/>
      <c r="AD49" s="9"/>
    </row>
    <row r="50" spans="1:30" ht="16.5" thickBot="1" x14ac:dyDescent="0.3">
      <c r="B50" s="40" t="s">
        <v>251</v>
      </c>
      <c r="C50" s="733"/>
      <c r="D50" s="733"/>
      <c r="E50" s="733"/>
      <c r="F50" s="733"/>
      <c r="G50" s="1008">
        <f>U42</f>
        <v>1836.3548422365129</v>
      </c>
      <c r="H50" s="9" t="s">
        <v>249</v>
      </c>
      <c r="I50" s="9"/>
      <c r="J50" s="9"/>
      <c r="K50" s="419"/>
      <c r="P50" s="9"/>
      <c r="Q50" s="9"/>
      <c r="R50" s="9"/>
      <c r="S50" s="9"/>
    </row>
    <row r="51" spans="1:30" ht="15.75" thickBot="1" x14ac:dyDescent="0.25">
      <c r="B51" s="418"/>
      <c r="C51" s="9"/>
      <c r="D51" s="9"/>
      <c r="E51" s="9"/>
      <c r="F51" s="9"/>
      <c r="G51" s="9"/>
      <c r="H51" s="9"/>
      <c r="I51" s="9"/>
      <c r="J51" s="9"/>
      <c r="K51" s="419"/>
      <c r="P51" s="9"/>
      <c r="Q51" s="9"/>
      <c r="R51" s="9"/>
      <c r="S51" s="9"/>
    </row>
    <row r="52" spans="1:30" ht="16.5" thickBot="1" x14ac:dyDescent="0.3">
      <c r="B52" s="40" t="s">
        <v>252</v>
      </c>
      <c r="C52" s="733"/>
      <c r="D52" s="733"/>
      <c r="E52" s="733"/>
      <c r="F52" s="733"/>
      <c r="G52" s="1009">
        <f>P42</f>
        <v>0.16986632927981568</v>
      </c>
      <c r="H52" s="9" t="s">
        <v>249</v>
      </c>
      <c r="I52" s="9"/>
      <c r="J52" s="9"/>
      <c r="K52" s="419"/>
      <c r="P52" s="9"/>
      <c r="Q52" s="9"/>
      <c r="R52" s="9"/>
      <c r="S52" s="9"/>
    </row>
    <row r="53" spans="1:30" ht="15.75" thickBot="1" x14ac:dyDescent="0.25">
      <c r="B53" s="418"/>
      <c r="C53" s="9"/>
      <c r="D53" s="9"/>
      <c r="E53" s="9"/>
      <c r="F53" s="9"/>
      <c r="G53" s="9"/>
      <c r="H53" s="9"/>
      <c r="I53" s="9"/>
      <c r="J53" s="9"/>
      <c r="K53" s="419"/>
      <c r="P53" s="9"/>
      <c r="Q53" s="9"/>
      <c r="R53" s="9"/>
      <c r="S53" s="9"/>
    </row>
    <row r="54" spans="1:30" ht="16.5" thickBot="1" x14ac:dyDescent="0.3">
      <c r="B54" s="40" t="s">
        <v>253</v>
      </c>
      <c r="C54" s="733"/>
      <c r="D54" s="733"/>
      <c r="E54" s="733"/>
      <c r="F54" s="733"/>
      <c r="G54" s="1010">
        <f>H42+U42</f>
        <v>17921.767797860644</v>
      </c>
      <c r="H54" s="9"/>
      <c r="I54" s="9"/>
      <c r="J54" s="9"/>
      <c r="K54" s="419"/>
      <c r="P54" s="9"/>
      <c r="Q54" s="9"/>
      <c r="R54" s="9"/>
      <c r="S54" s="9"/>
    </row>
    <row r="55" spans="1:30" ht="16.5" thickBot="1" x14ac:dyDescent="0.3">
      <c r="B55" s="40" t="s">
        <v>254</v>
      </c>
      <c r="C55" s="733"/>
      <c r="D55" s="733"/>
      <c r="E55" s="733"/>
      <c r="F55" s="733"/>
      <c r="G55" s="1010">
        <f>G54*Kontrollpanel!L15</f>
        <v>21326.903679454164</v>
      </c>
      <c r="H55" s="9"/>
      <c r="I55" s="9"/>
      <c r="J55" s="9"/>
      <c r="K55" s="419"/>
      <c r="P55" s="9"/>
      <c r="Q55" s="9"/>
      <c r="R55" s="9"/>
      <c r="S55" s="9"/>
    </row>
    <row r="56" spans="1:30" ht="16.5" thickBot="1" x14ac:dyDescent="0.3">
      <c r="B56" s="42" t="s">
        <v>109</v>
      </c>
      <c r="C56" s="1007"/>
      <c r="D56" s="1007"/>
      <c r="E56" s="1007"/>
      <c r="F56" s="1007"/>
      <c r="G56" s="1011">
        <f>Kontrollpanel!L16</f>
        <v>0.9</v>
      </c>
      <c r="H56" s="424"/>
      <c r="I56" s="424"/>
      <c r="J56" s="424"/>
      <c r="K56" s="507"/>
      <c r="P56" s="9"/>
      <c r="Q56" s="9"/>
      <c r="R56" s="9"/>
      <c r="S56" s="9"/>
    </row>
    <row r="57" spans="1:30" ht="15.75" thickBot="1" x14ac:dyDescent="0.25">
      <c r="A57" s="9"/>
      <c r="P57" s="9"/>
      <c r="Q57" s="9"/>
      <c r="R57" s="9"/>
      <c r="S57" s="9"/>
    </row>
    <row r="58" spans="1:30" ht="15.75" thickBot="1" x14ac:dyDescent="0.25">
      <c r="A58" s="9"/>
      <c r="F58" s="553" t="s">
        <v>255</v>
      </c>
      <c r="G58" s="554"/>
      <c r="H58" s="554"/>
      <c r="I58" s="554"/>
      <c r="J58" s="554"/>
      <c r="K58" s="554"/>
      <c r="L58" s="554"/>
      <c r="M58" s="554"/>
      <c r="N58" s="554"/>
      <c r="O58" s="555"/>
      <c r="P58" s="9"/>
      <c r="Q58" s="553" t="s">
        <v>256</v>
      </c>
      <c r="R58" s="554"/>
      <c r="S58" s="554"/>
      <c r="T58" s="554"/>
      <c r="U58" s="554"/>
      <c r="V58" s="555"/>
      <c r="W58" s="554"/>
      <c r="X58" s="554"/>
      <c r="Y58" s="555"/>
    </row>
    <row r="59" spans="1:30" ht="15" customHeight="1" x14ac:dyDescent="0.25">
      <c r="A59" s="556"/>
      <c r="B59" s="1371" t="s">
        <v>557</v>
      </c>
      <c r="C59" s="1408"/>
      <c r="D59" s="1408"/>
      <c r="E59" s="1372"/>
      <c r="F59" s="544"/>
      <c r="G59" s="499"/>
      <c r="H59" s="3"/>
      <c r="I59" s="3"/>
      <c r="J59" s="2"/>
      <c r="K59" s="3"/>
      <c r="L59" s="3"/>
      <c r="M59" s="544"/>
      <c r="N59" s="499"/>
      <c r="O59" s="2"/>
      <c r="Q59" s="1410" t="s">
        <v>258</v>
      </c>
      <c r="R59" s="1411"/>
      <c r="S59" s="1416" t="s">
        <v>259</v>
      </c>
      <c r="T59" s="1417"/>
      <c r="U59" s="1410" t="s">
        <v>260</v>
      </c>
      <c r="V59" s="1411"/>
      <c r="W59" s="1416" t="s">
        <v>261</v>
      </c>
      <c r="X59" s="499"/>
      <c r="Y59" s="499"/>
    </row>
    <row r="60" spans="1:30" ht="15" customHeight="1" x14ac:dyDescent="0.25">
      <c r="A60" s="556"/>
      <c r="B60" s="1366"/>
      <c r="C60" s="1364"/>
      <c r="D60" s="1364"/>
      <c r="E60" s="1367"/>
      <c r="F60" s="1366" t="s">
        <v>262</v>
      </c>
      <c r="G60" s="1367"/>
      <c r="H60" s="1364" t="s">
        <v>263</v>
      </c>
      <c r="I60" s="1364"/>
      <c r="J60" s="1368" t="s">
        <v>264</v>
      </c>
      <c r="K60" s="1365" t="s">
        <v>265</v>
      </c>
      <c r="L60" s="1365"/>
      <c r="M60" s="418"/>
      <c r="N60" s="1369" t="s">
        <v>266</v>
      </c>
      <c r="O60" s="1368" t="s">
        <v>267</v>
      </c>
      <c r="Q60" s="1412"/>
      <c r="R60" s="1413"/>
      <c r="S60" s="1418"/>
      <c r="T60" s="1419"/>
      <c r="U60" s="1412"/>
      <c r="V60" s="1413"/>
      <c r="W60" s="1418"/>
      <c r="X60" s="419"/>
      <c r="Y60" s="419"/>
    </row>
    <row r="61" spans="1:30" ht="16.5" customHeight="1" x14ac:dyDescent="0.25">
      <c r="A61" s="556"/>
      <c r="B61" s="1366"/>
      <c r="C61" s="1364"/>
      <c r="D61" s="1364"/>
      <c r="E61" s="1367"/>
      <c r="F61" s="1366"/>
      <c r="G61" s="1367"/>
      <c r="H61" s="1364"/>
      <c r="I61" s="1364"/>
      <c r="J61" s="1368"/>
      <c r="K61" s="1365"/>
      <c r="L61" s="1365"/>
      <c r="M61" s="418"/>
      <c r="N61" s="1369"/>
      <c r="O61" s="1368"/>
      <c r="Q61" s="1412"/>
      <c r="R61" s="1413"/>
      <c r="S61" s="1418"/>
      <c r="T61" s="1419"/>
      <c r="U61" s="1412"/>
      <c r="V61" s="1413"/>
      <c r="W61" s="1418"/>
      <c r="X61" s="1369" t="s">
        <v>268</v>
      </c>
      <c r="Y61" s="1369" t="s">
        <v>269</v>
      </c>
    </row>
    <row r="62" spans="1:30" ht="16.5" customHeight="1" x14ac:dyDescent="0.25">
      <c r="A62" s="138"/>
      <c r="B62" s="1366"/>
      <c r="C62" s="1364"/>
      <c r="D62" s="1364"/>
      <c r="E62" s="1367"/>
      <c r="F62" s="1366"/>
      <c r="G62" s="1367"/>
      <c r="H62" s="1364"/>
      <c r="I62" s="1364"/>
      <c r="J62" s="1368"/>
      <c r="K62" s="757"/>
      <c r="L62" s="757"/>
      <c r="M62" s="418"/>
      <c r="N62" s="1369"/>
      <c r="O62" s="1368"/>
      <c r="Q62" s="1412"/>
      <c r="R62" s="1413"/>
      <c r="S62" s="1418"/>
      <c r="T62" s="1419"/>
      <c r="U62" s="1412"/>
      <c r="V62" s="1413"/>
      <c r="W62" s="1418"/>
      <c r="X62" s="1369"/>
      <c r="Y62" s="1369"/>
    </row>
    <row r="63" spans="1:30" ht="16.5" customHeight="1" thickBot="1" x14ac:dyDescent="0.3">
      <c r="A63" s="138"/>
      <c r="B63" s="1373"/>
      <c r="C63" s="1409"/>
      <c r="D63" s="1409"/>
      <c r="E63" s="1374"/>
      <c r="F63" s="1366"/>
      <c r="G63" s="1367"/>
      <c r="H63" s="1364"/>
      <c r="I63" s="1364"/>
      <c r="J63" s="1368"/>
      <c r="K63" s="757"/>
      <c r="L63" s="757"/>
      <c r="M63" s="418"/>
      <c r="N63" s="1369"/>
      <c r="O63" s="1368"/>
      <c r="Q63" s="1414"/>
      <c r="R63" s="1415"/>
      <c r="S63" s="1420"/>
      <c r="T63" s="1421"/>
      <c r="U63" s="1414"/>
      <c r="V63" s="1415"/>
      <c r="W63" s="557"/>
      <c r="X63" s="1422"/>
      <c r="Y63" s="1422"/>
    </row>
    <row r="64" spans="1:30" ht="16.5" thickBot="1" x14ac:dyDescent="0.3">
      <c r="A64" s="9"/>
      <c r="B64" s="493"/>
      <c r="C64" s="738"/>
      <c r="D64" s="738"/>
      <c r="E64" s="4">
        <v>2013</v>
      </c>
      <c r="F64" s="558"/>
      <c r="G64" s="559"/>
      <c r="H64" s="560"/>
      <c r="I64" s="560"/>
      <c r="J64" s="561"/>
      <c r="K64" s="421"/>
      <c r="L64" s="421"/>
      <c r="M64" s="420"/>
      <c r="N64" s="422"/>
      <c r="O64" s="561"/>
      <c r="Q64" s="420"/>
      <c r="R64" s="422"/>
      <c r="S64" s="420"/>
      <c r="T64" s="422"/>
      <c r="U64" s="544"/>
      <c r="V64" s="499"/>
      <c r="W64" s="420"/>
      <c r="X64" s="422"/>
      <c r="Y64" s="422"/>
    </row>
    <row r="65" spans="2:27" ht="15.75" x14ac:dyDescent="0.25">
      <c r="B65" s="562" t="s">
        <v>8</v>
      </c>
      <c r="C65" s="6"/>
      <c r="D65" s="6"/>
      <c r="E65" s="739">
        <f t="shared" ref="E65:E81" si="16">H26+U26</f>
        <v>15682.314347406002</v>
      </c>
      <c r="F65" s="566"/>
      <c r="G65" s="565">
        <f t="shared" ref="G65:G81" si="17">$G$54-E65</f>
        <v>2239.4534504546427</v>
      </c>
      <c r="H65" s="566"/>
      <c r="I65" s="567">
        <f>$G$55-E65</f>
        <v>5644.5893320481628</v>
      </c>
      <c r="J65" s="568">
        <f t="shared" ref="J65:J80" si="18">IF(G65&gt;0,IF(P26&lt;$P$42,P26,$P$42)*G65*0.9,0)</f>
        <v>342.36696349957293</v>
      </c>
      <c r="K65" s="9"/>
      <c r="L65" s="569">
        <f t="shared" ref="L65:L80" si="19">IF(I65&gt;0,IF(P26&lt;$P$42,P26,$P$42)*I65*$G$56,0)</f>
        <v>862.94310311432525</v>
      </c>
      <c r="M65" s="418"/>
      <c r="N65" s="531">
        <f t="shared" ref="N65:N80" si="20">J65*S26</f>
        <v>162966.6746257967</v>
      </c>
      <c r="O65" s="711">
        <f t="shared" ref="O65:O80" si="21">L65*S26</f>
        <v>410760.9170824188</v>
      </c>
      <c r="P65" s="711">
        <v>283118.79251177446</v>
      </c>
      <c r="Q65" s="544"/>
      <c r="R65" s="525">
        <f t="shared" ref="R65:R81" si="22">H26-$H$42</f>
        <v>-1378.7096545864333</v>
      </c>
      <c r="T65" s="22">
        <f>H26-$G$47</f>
        <v>-2987.2509501488476</v>
      </c>
      <c r="U65" s="544"/>
      <c r="V65" s="525">
        <f t="shared" ref="V65:V80" si="23">IF(R65&lt;0,R65*-1*IF(P26&lt;$P$42,P26,$P$42),0)</f>
        <v>234.19634816724002</v>
      </c>
      <c r="W65" s="525">
        <f t="shared" ref="W65:W80" si="24">IF(T65&lt;0,T65*-1*IF(P26&lt;$P$42,P26,$P$42),0)</f>
        <v>507.43335353942638</v>
      </c>
      <c r="X65" s="531">
        <f t="shared" ref="X65:X80" si="25">V65*S26</f>
        <v>111477.46172760625</v>
      </c>
      <c r="Y65" s="563">
        <f t="shared" ref="Y65:Y80" si="26">W65*S26</f>
        <v>241538.27628476697</v>
      </c>
      <c r="AA65" s="711">
        <v>416444.46183713985</v>
      </c>
    </row>
    <row r="66" spans="2:27" ht="15.75" x14ac:dyDescent="0.25">
      <c r="B66" s="562" t="s">
        <v>9</v>
      </c>
      <c r="C66" s="6"/>
      <c r="D66" s="6"/>
      <c r="E66" s="740">
        <f t="shared" si="16"/>
        <v>13531.326120456113</v>
      </c>
      <c r="F66" s="566"/>
      <c r="G66" s="565">
        <f t="shared" si="17"/>
        <v>4390.4416774045312</v>
      </c>
      <c r="H66" s="566"/>
      <c r="I66" s="567">
        <f t="shared" ref="I66:I81" si="27">$G$55-E66</f>
        <v>7795.5775589980512</v>
      </c>
      <c r="J66" s="568">
        <f t="shared" si="18"/>
        <v>671.20939049204196</v>
      </c>
      <c r="K66" s="9"/>
      <c r="L66" s="569">
        <f t="shared" si="19"/>
        <v>1191.7855301067943</v>
      </c>
      <c r="M66" s="418"/>
      <c r="N66" s="531">
        <f t="shared" si="20"/>
        <v>644361.01487236028</v>
      </c>
      <c r="O66" s="711">
        <f t="shared" si="21"/>
        <v>1144114.1089025226</v>
      </c>
      <c r="P66" s="711">
        <v>937836.85325680161</v>
      </c>
      <c r="Q66" s="418"/>
      <c r="R66" s="531">
        <f t="shared" si="22"/>
        <v>-3407.9925188288835</v>
      </c>
      <c r="T66" s="22">
        <f t="shared" ref="T66:T80" si="28">H27-$G$47</f>
        <v>-5016.5338143912977</v>
      </c>
      <c r="U66" s="418"/>
      <c r="V66" s="531">
        <f t="shared" si="23"/>
        <v>578.90317938653561</v>
      </c>
      <c r="W66" s="531">
        <f t="shared" si="24"/>
        <v>852.14018475872194</v>
      </c>
      <c r="X66" s="531">
        <f t="shared" si="25"/>
        <v>555747.05221107416</v>
      </c>
      <c r="Y66" s="570">
        <f t="shared" si="26"/>
        <v>818054.57736837305</v>
      </c>
      <c r="AA66" s="711">
        <v>1165799.3519859975</v>
      </c>
    </row>
    <row r="67" spans="2:27" ht="15.75" x14ac:dyDescent="0.25">
      <c r="B67" s="562" t="s">
        <v>10</v>
      </c>
      <c r="C67" s="6"/>
      <c r="D67" s="6"/>
      <c r="E67" s="740">
        <f t="shared" si="16"/>
        <v>15004.268633718662</v>
      </c>
      <c r="F67" s="566"/>
      <c r="G67" s="565">
        <f t="shared" si="17"/>
        <v>2917.499164141982</v>
      </c>
      <c r="H67" s="566"/>
      <c r="I67" s="567">
        <f t="shared" si="27"/>
        <v>6322.635045735502</v>
      </c>
      <c r="J67" s="568">
        <f t="shared" si="18"/>
        <v>446.02638632075605</v>
      </c>
      <c r="K67" s="9"/>
      <c r="L67" s="569">
        <f t="shared" si="19"/>
        <v>966.60252593550842</v>
      </c>
      <c r="M67" s="418"/>
      <c r="N67" s="531">
        <f t="shared" si="20"/>
        <v>1128892.7837778335</v>
      </c>
      <c r="O67" s="711">
        <f t="shared" si="21"/>
        <v>2446470.993142772</v>
      </c>
      <c r="P67" s="711">
        <v>1879087.4297326908</v>
      </c>
      <c r="Q67" s="418"/>
      <c r="R67" s="531">
        <f t="shared" si="22"/>
        <v>-1453.9615770454166</v>
      </c>
      <c r="T67" s="22">
        <f t="shared" si="28"/>
        <v>-3062.5028726078308</v>
      </c>
      <c r="U67" s="418"/>
      <c r="V67" s="531">
        <f t="shared" si="23"/>
        <v>246.97911600659683</v>
      </c>
      <c r="W67" s="531">
        <f t="shared" si="24"/>
        <v>520.21612137878321</v>
      </c>
      <c r="X67" s="531">
        <f t="shared" si="25"/>
        <v>625104.14261269651</v>
      </c>
      <c r="Y67" s="570">
        <f t="shared" si="26"/>
        <v>1316667.0032097003</v>
      </c>
      <c r="AA67" s="711">
        <v>2494842.7648355099</v>
      </c>
    </row>
    <row r="68" spans="2:27" ht="15.75" x14ac:dyDescent="0.25">
      <c r="B68" s="562" t="s">
        <v>11</v>
      </c>
      <c r="C68" s="6"/>
      <c r="D68" s="6"/>
      <c r="E68" s="740">
        <f t="shared" si="16"/>
        <v>15559.058118907191</v>
      </c>
      <c r="F68" s="566"/>
      <c r="G68" s="565">
        <f t="shared" si="17"/>
        <v>2362.7096789534535</v>
      </c>
      <c r="H68" s="566"/>
      <c r="I68" s="567">
        <f t="shared" si="27"/>
        <v>5767.8455605469735</v>
      </c>
      <c r="J68" s="568">
        <f t="shared" si="18"/>
        <v>361.21033828594346</v>
      </c>
      <c r="K68" s="9"/>
      <c r="L68" s="569">
        <f t="shared" si="19"/>
        <v>881.78647790069567</v>
      </c>
      <c r="M68" s="418"/>
      <c r="N68" s="531">
        <f t="shared" si="20"/>
        <v>208779.57552927532</v>
      </c>
      <c r="O68" s="711">
        <f t="shared" si="21"/>
        <v>509672.58422660211</v>
      </c>
      <c r="P68" s="711">
        <v>379705.93478009384</v>
      </c>
      <c r="Q68" s="418"/>
      <c r="R68" s="531">
        <f t="shared" si="22"/>
        <v>-2103.621692693463</v>
      </c>
      <c r="T68" s="22">
        <f t="shared" si="28"/>
        <v>-3712.1629882558773</v>
      </c>
      <c r="U68" s="418"/>
      <c r="V68" s="531">
        <f t="shared" si="23"/>
        <v>357.33449513123105</v>
      </c>
      <c r="W68" s="531">
        <f t="shared" si="24"/>
        <v>630.57150050341738</v>
      </c>
      <c r="X68" s="531">
        <f t="shared" si="25"/>
        <v>206539.33818585155</v>
      </c>
      <c r="Y68" s="570">
        <f t="shared" si="26"/>
        <v>364470.32729097526</v>
      </c>
      <c r="AA68" s="711">
        <v>521146.00931444572</v>
      </c>
    </row>
    <row r="69" spans="2:27" ht="15.75" x14ac:dyDescent="0.25">
      <c r="B69" s="562" t="s">
        <v>12</v>
      </c>
      <c r="C69" s="6"/>
      <c r="D69" s="6"/>
      <c r="E69" s="740">
        <f t="shared" si="16"/>
        <v>10890.612886459401</v>
      </c>
      <c r="F69" s="566"/>
      <c r="G69" s="565">
        <f t="shared" si="17"/>
        <v>7031.1549114012432</v>
      </c>
      <c r="H69" s="566"/>
      <c r="I69" s="567">
        <f t="shared" si="27"/>
        <v>10436.290792994763</v>
      </c>
      <c r="J69" s="568">
        <f t="shared" si="18"/>
        <v>1074.9208278577291</v>
      </c>
      <c r="K69" s="9"/>
      <c r="L69" s="569">
        <f t="shared" si="19"/>
        <v>1595.4969674724814</v>
      </c>
      <c r="M69" s="418"/>
      <c r="N69" s="531">
        <f t="shared" si="20"/>
        <v>532085.80978957587</v>
      </c>
      <c r="O69" s="711">
        <f t="shared" si="21"/>
        <v>789770.99889887834</v>
      </c>
      <c r="P69" s="711">
        <v>672831.5875434737</v>
      </c>
      <c r="Q69" s="418"/>
      <c r="R69" s="531">
        <f t="shared" si="22"/>
        <v>-5258.3910916766636</v>
      </c>
      <c r="T69" s="22">
        <f t="shared" si="28"/>
        <v>-6866.9323872390778</v>
      </c>
      <c r="U69" s="418"/>
      <c r="V69" s="531">
        <f t="shared" si="23"/>
        <v>893.22359266079764</v>
      </c>
      <c r="W69" s="531">
        <f t="shared" si="24"/>
        <v>1166.4605980329839</v>
      </c>
      <c r="X69" s="531">
        <f t="shared" si="25"/>
        <v>442145.67836709484</v>
      </c>
      <c r="Y69" s="570">
        <f t="shared" si="26"/>
        <v>577397.99602632702</v>
      </c>
      <c r="AA69" s="711">
        <v>799088.32411916414</v>
      </c>
    </row>
    <row r="70" spans="2:27" ht="15.75" x14ac:dyDescent="0.25">
      <c r="B70" s="562" t="s">
        <v>13</v>
      </c>
      <c r="C70" s="6"/>
      <c r="D70" s="6"/>
      <c r="E70" s="740">
        <f t="shared" si="16"/>
        <v>14043.639554374049</v>
      </c>
      <c r="F70" s="566"/>
      <c r="G70" s="565">
        <f t="shared" si="17"/>
        <v>3878.1282434865952</v>
      </c>
      <c r="H70" s="566"/>
      <c r="I70" s="567">
        <f t="shared" si="27"/>
        <v>7283.2641250801153</v>
      </c>
      <c r="J70" s="568">
        <f t="shared" si="18"/>
        <v>575.90204415775952</v>
      </c>
      <c r="K70" s="9"/>
      <c r="L70" s="569">
        <f t="shared" si="19"/>
        <v>1081.5647225743971</v>
      </c>
      <c r="M70" s="418"/>
      <c r="N70" s="531">
        <f t="shared" si="20"/>
        <v>876522.91120810993</v>
      </c>
      <c r="O70" s="711">
        <f t="shared" si="21"/>
        <v>1646141.5077582325</v>
      </c>
      <c r="P70" s="711">
        <v>1307938.5702790599</v>
      </c>
      <c r="Q70" s="418"/>
      <c r="R70" s="531">
        <f t="shared" si="22"/>
        <v>-2315.9259480024921</v>
      </c>
      <c r="T70" s="22">
        <f t="shared" si="28"/>
        <v>-3924.4672435649063</v>
      </c>
      <c r="U70" s="418"/>
      <c r="V70" s="531">
        <f t="shared" si="23"/>
        <v>382.12778142041122</v>
      </c>
      <c r="W70" s="531">
        <f t="shared" si="24"/>
        <v>647.53709518820961</v>
      </c>
      <c r="X70" s="531">
        <f t="shared" si="25"/>
        <v>581598.4833218659</v>
      </c>
      <c r="Y70" s="570">
        <f t="shared" si="26"/>
        <v>985551.45887645497</v>
      </c>
      <c r="AA70" s="711">
        <v>1674679.2481541466</v>
      </c>
    </row>
    <row r="71" spans="2:27" ht="15.75" x14ac:dyDescent="0.25">
      <c r="B71" s="562" t="s">
        <v>14</v>
      </c>
      <c r="C71" s="6"/>
      <c r="D71" s="6"/>
      <c r="E71" s="740">
        <f t="shared" si="16"/>
        <v>16914.846089842864</v>
      </c>
      <c r="F71" s="566"/>
      <c r="G71" s="565">
        <f t="shared" si="17"/>
        <v>1006.9217080177805</v>
      </c>
      <c r="H71" s="566"/>
      <c r="I71" s="567">
        <f t="shared" si="27"/>
        <v>4412.0575896113005</v>
      </c>
      <c r="J71" s="568">
        <f t="shared" si="18"/>
        <v>153.93788497182845</v>
      </c>
      <c r="K71" s="9"/>
      <c r="L71" s="569">
        <f t="shared" si="19"/>
        <v>674.51402458658072</v>
      </c>
      <c r="M71" s="418"/>
      <c r="N71" s="531">
        <f t="shared" si="20"/>
        <v>670399.48905231291</v>
      </c>
      <c r="O71" s="711">
        <f t="shared" si="21"/>
        <v>2937508.5770745589</v>
      </c>
      <c r="P71" s="711">
        <v>1742322.8609537047</v>
      </c>
      <c r="Q71" s="418"/>
      <c r="R71" s="531">
        <f t="shared" si="22"/>
        <v>-25.254582583764204</v>
      </c>
      <c r="T71" s="22">
        <f t="shared" si="28"/>
        <v>-1633.7958781461784</v>
      </c>
      <c r="U71" s="418"/>
      <c r="V71" s="531">
        <f t="shared" si="23"/>
        <v>4.2899032409979885</v>
      </c>
      <c r="W71" s="531">
        <f t="shared" si="24"/>
        <v>277.52690861318439</v>
      </c>
      <c r="X71" s="531">
        <f t="shared" si="25"/>
        <v>18682.528614546241</v>
      </c>
      <c r="Y71" s="570">
        <f t="shared" si="26"/>
        <v>1208629.6870104179</v>
      </c>
      <c r="AA71" s="711">
        <v>3059057.1135422932</v>
      </c>
    </row>
    <row r="72" spans="2:27" ht="15.75" x14ac:dyDescent="0.25">
      <c r="B72" s="562" t="s">
        <v>15</v>
      </c>
      <c r="C72" s="6"/>
      <c r="D72" s="6"/>
      <c r="E72" s="740">
        <f t="shared" si="16"/>
        <v>15136.913024157089</v>
      </c>
      <c r="F72" s="566"/>
      <c r="G72" s="565">
        <f t="shared" si="17"/>
        <v>2784.8547737035551</v>
      </c>
      <c r="H72" s="566"/>
      <c r="I72" s="567">
        <f t="shared" si="27"/>
        <v>6189.9906552970751</v>
      </c>
      <c r="J72" s="568">
        <f t="shared" si="18"/>
        <v>425.74775218775522</v>
      </c>
      <c r="K72" s="9"/>
      <c r="L72" s="569">
        <f t="shared" si="19"/>
        <v>946.32389180250755</v>
      </c>
      <c r="M72" s="418"/>
      <c r="N72" s="531">
        <f t="shared" si="20"/>
        <v>143902.74023946127</v>
      </c>
      <c r="O72" s="711">
        <f t="shared" si="21"/>
        <v>319857.47542924754</v>
      </c>
      <c r="P72" s="711">
        <v>258306.62298171208</v>
      </c>
      <c r="Q72" s="418"/>
      <c r="R72" s="531">
        <f t="shared" si="22"/>
        <v>-1227.35813413508</v>
      </c>
      <c r="T72" s="22">
        <f t="shared" si="28"/>
        <v>-2835.8994296974943</v>
      </c>
      <c r="U72" s="418"/>
      <c r="V72" s="531">
        <f t="shared" si="23"/>
        <v>208.48682095724968</v>
      </c>
      <c r="W72" s="531">
        <f t="shared" si="24"/>
        <v>481.72382632943606</v>
      </c>
      <c r="X72" s="531">
        <f t="shared" si="25"/>
        <v>70468.545483550392</v>
      </c>
      <c r="Y72" s="570">
        <f t="shared" si="26"/>
        <v>162822.65329934939</v>
      </c>
      <c r="AA72" s="711">
        <v>324875.00470985973</v>
      </c>
    </row>
    <row r="73" spans="2:27" ht="15.75" x14ac:dyDescent="0.25">
      <c r="B73" s="562" t="s">
        <v>16</v>
      </c>
      <c r="C73" s="6"/>
      <c r="D73" s="6"/>
      <c r="E73" s="740">
        <f t="shared" si="16"/>
        <v>13281.80884592859</v>
      </c>
      <c r="F73" s="566"/>
      <c r="G73" s="565">
        <f t="shared" si="17"/>
        <v>4639.9589519320543</v>
      </c>
      <c r="H73" s="566"/>
      <c r="I73" s="567">
        <f t="shared" si="27"/>
        <v>8045.0948335255744</v>
      </c>
      <c r="J73" s="568">
        <f t="shared" si="18"/>
        <v>709.35551565634694</v>
      </c>
      <c r="K73" s="9"/>
      <c r="L73" s="569">
        <f t="shared" si="19"/>
        <v>1229.9316552710991</v>
      </c>
      <c r="M73" s="418"/>
      <c r="N73" s="531">
        <f t="shared" si="20"/>
        <v>173792.101335805</v>
      </c>
      <c r="O73" s="711">
        <f t="shared" si="21"/>
        <v>301333.25554141926</v>
      </c>
      <c r="P73" s="711">
        <v>233926.24892788933</v>
      </c>
      <c r="Q73" s="418"/>
      <c r="R73" s="531">
        <f t="shared" si="22"/>
        <v>-2958.9948897181148</v>
      </c>
      <c r="T73" s="22">
        <f t="shared" si="28"/>
        <v>-4567.536185280529</v>
      </c>
      <c r="U73" s="418"/>
      <c r="V73" s="531">
        <f t="shared" si="23"/>
        <v>502.63360027414916</v>
      </c>
      <c r="W73" s="531">
        <f t="shared" si="24"/>
        <v>775.87060564633555</v>
      </c>
      <c r="X73" s="531">
        <f t="shared" si="25"/>
        <v>123145.23206716655</v>
      </c>
      <c r="Y73" s="570">
        <f t="shared" si="26"/>
        <v>190088.2983833522</v>
      </c>
      <c r="AA73" s="711">
        <v>305451.08101213211</v>
      </c>
    </row>
    <row r="74" spans="2:27" ht="15.75" x14ac:dyDescent="0.25">
      <c r="B74" s="562" t="s">
        <v>17</v>
      </c>
      <c r="C74" s="6"/>
      <c r="D74" s="6"/>
      <c r="E74" s="740">
        <f t="shared" si="16"/>
        <v>16035.365814252773</v>
      </c>
      <c r="F74" s="566"/>
      <c r="G74" s="565">
        <f t="shared" si="17"/>
        <v>1886.4019836078714</v>
      </c>
      <c r="H74" s="566"/>
      <c r="I74" s="567">
        <f t="shared" si="27"/>
        <v>5291.5378652013915</v>
      </c>
      <c r="J74" s="568">
        <f t="shared" si="18"/>
        <v>280.97957545839245</v>
      </c>
      <c r="K74" s="9"/>
      <c r="L74" s="569">
        <f t="shared" si="19"/>
        <v>788.1745650217473</v>
      </c>
      <c r="M74" s="418"/>
      <c r="N74" s="531">
        <f t="shared" si="20"/>
        <v>529084.54058815294</v>
      </c>
      <c r="O74" s="711">
        <f t="shared" si="21"/>
        <v>1484132.7059359502</v>
      </c>
      <c r="P74" s="711">
        <v>975796.23849238874</v>
      </c>
      <c r="Q74" s="418"/>
      <c r="R74" s="531">
        <f t="shared" si="22"/>
        <v>-225.6156833104269</v>
      </c>
      <c r="T74" s="22">
        <f t="shared" si="28"/>
        <v>-1834.1569788728411</v>
      </c>
      <c r="U74" s="418"/>
      <c r="V74" s="531">
        <f t="shared" si="23"/>
        <v>37.339395587875657</v>
      </c>
      <c r="W74" s="531">
        <f t="shared" si="24"/>
        <v>303.55298000345522</v>
      </c>
      <c r="X74" s="531">
        <f t="shared" si="25"/>
        <v>70310.081891969865</v>
      </c>
      <c r="Y74" s="570">
        <f t="shared" si="26"/>
        <v>571590.26134650619</v>
      </c>
      <c r="AA74" s="711">
        <v>1519780.9823900429</v>
      </c>
    </row>
    <row r="75" spans="2:27" ht="15.75" x14ac:dyDescent="0.25">
      <c r="B75" s="562" t="s">
        <v>18</v>
      </c>
      <c r="C75" s="6"/>
      <c r="D75" s="6"/>
      <c r="E75" s="740">
        <f t="shared" si="16"/>
        <v>16001.285517021515</v>
      </c>
      <c r="F75" s="566"/>
      <c r="G75" s="565">
        <f t="shared" si="17"/>
        <v>1920.4822808391291</v>
      </c>
      <c r="H75" s="566"/>
      <c r="I75" s="567">
        <f t="shared" si="27"/>
        <v>5325.6181624326491</v>
      </c>
      <c r="J75" s="568">
        <f t="shared" si="18"/>
        <v>293.60274794376386</v>
      </c>
      <c r="K75" s="9"/>
      <c r="L75" s="569">
        <f t="shared" si="19"/>
        <v>814.17888755851618</v>
      </c>
      <c r="M75" s="418"/>
      <c r="N75" s="531">
        <f t="shared" si="20"/>
        <v>115092.27719395544</v>
      </c>
      <c r="O75" s="711">
        <f t="shared" si="21"/>
        <v>319158.12392293836</v>
      </c>
      <c r="P75" s="711">
        <v>208172.02145960712</v>
      </c>
      <c r="Q75" s="418"/>
      <c r="R75" s="531">
        <f t="shared" si="22"/>
        <v>-705.87261694980589</v>
      </c>
      <c r="T75" s="22">
        <f t="shared" si="28"/>
        <v>-2314.4139125122201</v>
      </c>
      <c r="U75" s="418"/>
      <c r="V75" s="531">
        <f t="shared" si="23"/>
        <v>119.90399038040093</v>
      </c>
      <c r="W75" s="531">
        <f t="shared" si="24"/>
        <v>393.14099575258729</v>
      </c>
      <c r="X75" s="531">
        <f t="shared" si="25"/>
        <v>47002.364229117164</v>
      </c>
      <c r="Y75" s="570">
        <f t="shared" si="26"/>
        <v>154111.27033501421</v>
      </c>
      <c r="AA75" s="711">
        <v>326389.36545500468</v>
      </c>
    </row>
    <row r="76" spans="2:27" ht="15.75" x14ac:dyDescent="0.25">
      <c r="B76" s="562" t="s">
        <v>19</v>
      </c>
      <c r="C76" s="6"/>
      <c r="D76" s="6"/>
      <c r="E76" s="740">
        <f t="shared" si="16"/>
        <v>15526.547771985488</v>
      </c>
      <c r="F76" s="566"/>
      <c r="G76" s="565">
        <f t="shared" si="17"/>
        <v>2395.2200258751564</v>
      </c>
      <c r="H76" s="566"/>
      <c r="I76" s="567">
        <f t="shared" si="27"/>
        <v>5800.3559074686764</v>
      </c>
      <c r="J76" s="568">
        <f t="shared" si="18"/>
        <v>353.53447581917305</v>
      </c>
      <c r="K76" s="9"/>
      <c r="L76" s="569">
        <f t="shared" si="19"/>
        <v>856.13253194237654</v>
      </c>
      <c r="M76" s="418"/>
      <c r="N76" s="531">
        <f t="shared" si="20"/>
        <v>644493.34941835247</v>
      </c>
      <c r="O76" s="711">
        <f t="shared" si="21"/>
        <v>1560729.6057309525</v>
      </c>
      <c r="P76" s="711">
        <v>1064197.2129183498</v>
      </c>
      <c r="Q76" s="418"/>
      <c r="R76" s="531">
        <f t="shared" si="22"/>
        <v>-1837.2889828863008</v>
      </c>
      <c r="T76" s="22">
        <f t="shared" si="28"/>
        <v>-3445.830278448715</v>
      </c>
      <c r="U76" s="418"/>
      <c r="V76" s="531">
        <f t="shared" si="23"/>
        <v>301.31539319335332</v>
      </c>
      <c r="W76" s="531">
        <f t="shared" si="24"/>
        <v>565.11616566558916</v>
      </c>
      <c r="X76" s="531">
        <f t="shared" si="25"/>
        <v>549297.9617914831</v>
      </c>
      <c r="Y76" s="570">
        <f t="shared" si="26"/>
        <v>1030206.770008369</v>
      </c>
      <c r="AA76" s="711">
        <v>1599509.8442617122</v>
      </c>
    </row>
    <row r="77" spans="2:27" ht="15.75" x14ac:dyDescent="0.25">
      <c r="B77" s="562" t="s">
        <v>20</v>
      </c>
      <c r="C77" s="6"/>
      <c r="D77" s="6"/>
      <c r="E77" s="740">
        <f t="shared" si="16"/>
        <v>16187.36908849559</v>
      </c>
      <c r="F77" s="566"/>
      <c r="G77" s="565">
        <f t="shared" si="17"/>
        <v>1734.3987093650539</v>
      </c>
      <c r="H77" s="566"/>
      <c r="I77" s="567">
        <f t="shared" si="27"/>
        <v>5139.534590958574</v>
      </c>
      <c r="J77" s="568">
        <f t="shared" si="18"/>
        <v>265.15434804074249</v>
      </c>
      <c r="K77" s="9"/>
      <c r="L77" s="569">
        <f t="shared" si="19"/>
        <v>785.7304876554947</v>
      </c>
      <c r="M77" s="418"/>
      <c r="N77" s="531">
        <f t="shared" si="20"/>
        <v>26780.589152114993</v>
      </c>
      <c r="O77" s="711">
        <f t="shared" si="21"/>
        <v>79358.779253204964</v>
      </c>
      <c r="P77" s="711">
        <v>54132.583240941261</v>
      </c>
      <c r="Q77" s="418"/>
      <c r="R77" s="531">
        <f t="shared" si="22"/>
        <v>-30.498962460333132</v>
      </c>
      <c r="T77" s="22">
        <f t="shared" si="28"/>
        <v>-1639.0402580227474</v>
      </c>
      <c r="U77" s="418"/>
      <c r="V77" s="531">
        <f t="shared" si="23"/>
        <v>5.1807467999796852</v>
      </c>
      <c r="W77" s="531">
        <f t="shared" si="24"/>
        <v>278.41775217216605</v>
      </c>
      <c r="X77" s="531">
        <f t="shared" si="25"/>
        <v>523.25542679794819</v>
      </c>
      <c r="Y77" s="570">
        <f t="shared" si="26"/>
        <v>28120.192969388772</v>
      </c>
      <c r="AA77" s="711">
        <v>80976.422565203975</v>
      </c>
    </row>
    <row r="78" spans="2:27" ht="15.75" x14ac:dyDescent="0.25">
      <c r="B78" s="562" t="s">
        <v>21</v>
      </c>
      <c r="C78" s="6"/>
      <c r="D78" s="6"/>
      <c r="E78" s="740">
        <f t="shared" si="16"/>
        <v>14187.806885898337</v>
      </c>
      <c r="F78" s="566"/>
      <c r="G78" s="565">
        <f t="shared" si="17"/>
        <v>3733.9609119623074</v>
      </c>
      <c r="H78" s="566"/>
      <c r="I78" s="567">
        <f t="shared" si="27"/>
        <v>7139.0967935558274</v>
      </c>
      <c r="J78" s="568">
        <f t="shared" si="18"/>
        <v>570.84681041041517</v>
      </c>
      <c r="K78" s="9"/>
      <c r="L78" s="569">
        <f t="shared" si="19"/>
        <v>1091.4229500251674</v>
      </c>
      <c r="M78" s="418"/>
      <c r="N78" s="531">
        <f t="shared" si="20"/>
        <v>590826.44877477968</v>
      </c>
      <c r="O78" s="711">
        <f t="shared" si="21"/>
        <v>1129622.7532760482</v>
      </c>
      <c r="P78" s="711">
        <v>888245.0252733971</v>
      </c>
      <c r="Q78" s="418"/>
      <c r="R78" s="531">
        <f t="shared" si="22"/>
        <v>-1953.9107357356261</v>
      </c>
      <c r="T78" s="22">
        <f t="shared" si="28"/>
        <v>-3562.4520312980403</v>
      </c>
      <c r="U78" s="418"/>
      <c r="V78" s="531">
        <f t="shared" si="23"/>
        <v>331.90364441983479</v>
      </c>
      <c r="W78" s="531">
        <f t="shared" si="24"/>
        <v>605.14064979202112</v>
      </c>
      <c r="X78" s="531">
        <f t="shared" si="25"/>
        <v>343520.27197452902</v>
      </c>
      <c r="Y78" s="570">
        <f t="shared" si="26"/>
        <v>626320.57253474183</v>
      </c>
      <c r="AA78" s="711">
        <v>1148508.894259763</v>
      </c>
    </row>
    <row r="79" spans="2:27" ht="15.75" x14ac:dyDescent="0.25">
      <c r="B79" s="562" t="s">
        <v>22</v>
      </c>
      <c r="C79" s="6"/>
      <c r="D79" s="6"/>
      <c r="E79" s="740">
        <f t="shared" si="16"/>
        <v>12053.449184071094</v>
      </c>
      <c r="F79" s="566"/>
      <c r="G79" s="565">
        <f t="shared" si="17"/>
        <v>5868.31861378955</v>
      </c>
      <c r="H79" s="566"/>
      <c r="I79" s="567">
        <f t="shared" si="27"/>
        <v>9273.45449538307</v>
      </c>
      <c r="J79" s="568">
        <f t="shared" si="18"/>
        <v>897.14676777196246</v>
      </c>
      <c r="K79" s="9"/>
      <c r="L79" s="569">
        <f t="shared" si="19"/>
        <v>1417.722907386715</v>
      </c>
      <c r="M79" s="418"/>
      <c r="N79" s="531">
        <f t="shared" si="20"/>
        <v>378595.93599976815</v>
      </c>
      <c r="O79" s="711">
        <f t="shared" si="21"/>
        <v>598279.0669171937</v>
      </c>
      <c r="P79" s="711">
        <v>514505.85926316498</v>
      </c>
      <c r="Q79" s="418"/>
      <c r="R79" s="531">
        <f t="shared" si="22"/>
        <v>-4089.1955952376484</v>
      </c>
      <c r="T79" s="22">
        <f t="shared" si="28"/>
        <v>-5697.7368908000626</v>
      </c>
      <c r="U79" s="418"/>
      <c r="V79" s="531">
        <f t="shared" si="23"/>
        <v>694.6166454702103</v>
      </c>
      <c r="W79" s="531">
        <f t="shared" si="24"/>
        <v>967.85365084239663</v>
      </c>
      <c r="X79" s="531">
        <f t="shared" si="25"/>
        <v>293128.22438842873</v>
      </c>
      <c r="Y79" s="570">
        <f t="shared" si="26"/>
        <v>408434.24065549136</v>
      </c>
      <c r="AA79" s="711">
        <v>605742.37195446459</v>
      </c>
    </row>
    <row r="80" spans="2:27" ht="16.5" thickBot="1" x14ac:dyDescent="0.3">
      <c r="B80" s="562" t="s">
        <v>23</v>
      </c>
      <c r="C80" s="6"/>
      <c r="D80" s="6"/>
      <c r="E80" s="741">
        <f t="shared" si="16"/>
        <v>21900.38992141989</v>
      </c>
      <c r="F80" s="566"/>
      <c r="G80" s="565">
        <f t="shared" si="17"/>
        <v>-3978.6221235592457</v>
      </c>
      <c r="H80" s="566"/>
      <c r="I80" s="567">
        <f t="shared" si="27"/>
        <v>-573.48624196572564</v>
      </c>
      <c r="J80" s="568">
        <f t="shared" si="18"/>
        <v>0</v>
      </c>
      <c r="K80" s="9"/>
      <c r="L80" s="569">
        <f t="shared" si="19"/>
        <v>0</v>
      </c>
      <c r="M80" s="418"/>
      <c r="N80" s="531">
        <f t="shared" si="20"/>
        <v>0</v>
      </c>
      <c r="O80" s="711">
        <f t="shared" si="21"/>
        <v>0</v>
      </c>
      <c r="P80" s="711">
        <v>0</v>
      </c>
      <c r="Q80" s="557"/>
      <c r="R80" s="571">
        <f t="shared" si="22"/>
        <v>2133.5146804276137</v>
      </c>
      <c r="T80" s="22">
        <f t="shared" si="28"/>
        <v>524.97338486519948</v>
      </c>
      <c r="U80" s="557"/>
      <c r="V80" s="571">
        <f t="shared" si="23"/>
        <v>0</v>
      </c>
      <c r="W80" s="571">
        <f t="shared" si="24"/>
        <v>0</v>
      </c>
      <c r="X80" s="531">
        <f t="shared" si="25"/>
        <v>0</v>
      </c>
      <c r="Y80" s="572">
        <f t="shared" si="26"/>
        <v>0</v>
      </c>
      <c r="AA80" s="711">
        <v>0</v>
      </c>
    </row>
    <row r="81" spans="2:27" ht="16.5" thickBot="1" x14ac:dyDescent="0.3">
      <c r="B81" s="493" t="s">
        <v>247</v>
      </c>
      <c r="C81" s="6"/>
      <c r="D81" s="6"/>
      <c r="E81" s="741">
        <f t="shared" si="16"/>
        <v>17921.767797860644</v>
      </c>
      <c r="F81" s="574"/>
      <c r="G81" s="575">
        <f t="shared" si="17"/>
        <v>0</v>
      </c>
      <c r="H81" s="576"/>
      <c r="I81" s="577">
        <f t="shared" si="27"/>
        <v>3405.13588159352</v>
      </c>
      <c r="J81" s="435"/>
      <c r="K81" s="494"/>
      <c r="L81" s="494"/>
      <c r="M81" s="420"/>
      <c r="N81" s="539">
        <f>SUM(N65:N80)</f>
        <v>6826576.241557654</v>
      </c>
      <c r="O81" s="714">
        <f>SUM(O65:O80)</f>
        <v>15676911.453092942</v>
      </c>
      <c r="P81" s="714">
        <v>11400123.841615051</v>
      </c>
      <c r="Q81" s="420"/>
      <c r="R81" s="579">
        <f t="shared" si="22"/>
        <v>0</v>
      </c>
      <c r="S81" s="420"/>
      <c r="T81" s="422"/>
      <c r="U81" s="557"/>
      <c r="V81" s="507"/>
      <c r="W81" s="420"/>
      <c r="X81" s="573">
        <f>SUM(X65:X80)</f>
        <v>4038690.6222937778</v>
      </c>
      <c r="Y81" s="571">
        <f>SUM(Y65:Y80)</f>
        <v>8684003.5855992287</v>
      </c>
      <c r="AA81" s="714">
        <v>16042291.240396881</v>
      </c>
    </row>
    <row r="82" spans="2:27" ht="15.75" thickBot="1" x14ac:dyDescent="0.25"/>
    <row r="83" spans="2:27" ht="16.5" thickBot="1" x14ac:dyDescent="0.3">
      <c r="O83" s="714">
        <v>13788416.659083931</v>
      </c>
    </row>
    <row r="84" spans="2:27" x14ac:dyDescent="0.2">
      <c r="F84" s="1" t="s">
        <v>395</v>
      </c>
      <c r="Q84" s="711">
        <v>297247.4966088896</v>
      </c>
    </row>
    <row r="85" spans="2:27" ht="15.75" thickBot="1" x14ac:dyDescent="0.25">
      <c r="Q85" s="711">
        <v>908563.83515615482</v>
      </c>
    </row>
    <row r="86" spans="2:27" ht="15.75" thickBot="1" x14ac:dyDescent="0.25">
      <c r="F86" s="553" t="s">
        <v>255</v>
      </c>
      <c r="G86" s="554"/>
      <c r="H86" s="554"/>
      <c r="I86" s="554"/>
      <c r="J86" s="554"/>
      <c r="K86" s="554"/>
      <c r="L86" s="554"/>
      <c r="M86" s="554"/>
      <c r="N86" s="554"/>
      <c r="O86" s="555"/>
      <c r="Q86" s="711">
        <v>1858167.7815147429</v>
      </c>
    </row>
    <row r="87" spans="2:27" x14ac:dyDescent="0.2">
      <c r="B87" s="1371" t="s">
        <v>257</v>
      </c>
      <c r="C87" s="1408"/>
      <c r="D87" s="1408"/>
      <c r="E87" s="1372"/>
      <c r="F87" s="544"/>
      <c r="G87" s="499"/>
      <c r="H87" s="3"/>
      <c r="I87" s="3"/>
      <c r="J87" s="2"/>
      <c r="K87" s="3"/>
      <c r="L87" s="3"/>
      <c r="M87" s="544"/>
      <c r="N87" s="499"/>
      <c r="O87" s="2"/>
      <c r="Q87" s="711">
        <v>362486.77301540133</v>
      </c>
    </row>
    <row r="88" spans="2:27" x14ac:dyDescent="0.2">
      <c r="B88" s="1366"/>
      <c r="C88" s="1364"/>
      <c r="D88" s="1364"/>
      <c r="E88" s="1367"/>
      <c r="F88" s="1366" t="s">
        <v>262</v>
      </c>
      <c r="G88" s="1367"/>
      <c r="H88" s="1364" t="s">
        <v>263</v>
      </c>
      <c r="I88" s="1364"/>
      <c r="J88" s="1368" t="s">
        <v>264</v>
      </c>
      <c r="K88" s="1365" t="s">
        <v>265</v>
      </c>
      <c r="L88" s="1365"/>
      <c r="M88" s="418"/>
      <c r="N88" s="1369" t="s">
        <v>266</v>
      </c>
      <c r="O88" s="1368" t="s">
        <v>267</v>
      </c>
      <c r="Q88" s="711">
        <v>670029.79624933167</v>
      </c>
    </row>
    <row r="89" spans="2:27" x14ac:dyDescent="0.2">
      <c r="B89" s="1366"/>
      <c r="C89" s="1364"/>
      <c r="D89" s="1364"/>
      <c r="E89" s="1367"/>
      <c r="F89" s="1366"/>
      <c r="G89" s="1367"/>
      <c r="H89" s="1364"/>
      <c r="I89" s="1364"/>
      <c r="J89" s="1368"/>
      <c r="K89" s="1365"/>
      <c r="L89" s="1365"/>
      <c r="M89" s="418"/>
      <c r="N89" s="1369"/>
      <c r="O89" s="1368"/>
      <c r="Q89" s="711">
        <v>1316282.9748116513</v>
      </c>
    </row>
    <row r="90" spans="2:27" ht="15.75" x14ac:dyDescent="0.25">
      <c r="B90" s="1366"/>
      <c r="C90" s="1364"/>
      <c r="D90" s="1364"/>
      <c r="E90" s="1367"/>
      <c r="F90" s="1366"/>
      <c r="G90" s="1367"/>
      <c r="H90" s="1364"/>
      <c r="I90" s="1364"/>
      <c r="J90" s="1368"/>
      <c r="K90" s="757"/>
      <c r="L90" s="757"/>
      <c r="M90" s="418"/>
      <c r="N90" s="1369"/>
      <c r="O90" s="1368"/>
      <c r="Q90" s="711">
        <v>1794325.8416316181</v>
      </c>
    </row>
    <row r="91" spans="2:27" ht="16.5" thickBot="1" x14ac:dyDescent="0.3">
      <c r="B91" s="1373"/>
      <c r="C91" s="1409"/>
      <c r="D91" s="1409"/>
      <c r="E91" s="1374"/>
      <c r="F91" s="1366"/>
      <c r="G91" s="1367"/>
      <c r="H91" s="1364"/>
      <c r="I91" s="1364"/>
      <c r="J91" s="1368"/>
      <c r="K91" s="757"/>
      <c r="L91" s="757"/>
      <c r="M91" s="418"/>
      <c r="N91" s="1369"/>
      <c r="O91" s="1368"/>
      <c r="Q91" s="711">
        <v>253714.99863851775</v>
      </c>
    </row>
    <row r="92" spans="2:27" ht="16.5" thickBot="1" x14ac:dyDescent="0.3">
      <c r="B92" s="493"/>
      <c r="C92" s="494"/>
      <c r="D92" s="494"/>
      <c r="E92" s="495">
        <v>2013</v>
      </c>
      <c r="F92" s="558"/>
      <c r="G92" s="559"/>
      <c r="H92" s="560"/>
      <c r="I92" s="560"/>
      <c r="J92" s="561"/>
      <c r="K92" s="421"/>
      <c r="L92" s="421"/>
      <c r="M92" s="420"/>
      <c r="N92" s="422"/>
      <c r="O92" s="561"/>
      <c r="Q92" s="711">
        <v>233790.0294540952</v>
      </c>
    </row>
    <row r="93" spans="2:27" ht="15.75" x14ac:dyDescent="0.25">
      <c r="B93" s="562" t="s">
        <v>8</v>
      </c>
      <c r="C93" s="562"/>
      <c r="D93" s="562"/>
      <c r="E93" s="563">
        <v>2654.7680644939264</v>
      </c>
      <c r="F93" s="564"/>
      <c r="G93" s="565">
        <v>421.69273965205002</v>
      </c>
      <c r="H93" s="566"/>
      <c r="I93" s="567">
        <v>729.33882006664817</v>
      </c>
      <c r="J93" s="568">
        <v>379.52346568684504</v>
      </c>
      <c r="K93" s="9"/>
      <c r="L93" s="569">
        <v>656.40493805998335</v>
      </c>
      <c r="M93" s="418"/>
      <c r="N93" s="531">
        <v>196593.15522578574</v>
      </c>
      <c r="O93" s="568">
        <v>340017.75791507139</v>
      </c>
      <c r="Q93" s="711">
        <v>982235.75029203459</v>
      </c>
    </row>
    <row r="94" spans="2:27" ht="15.75" x14ac:dyDescent="0.25">
      <c r="B94" s="562" t="s">
        <v>9</v>
      </c>
      <c r="C94" s="562"/>
      <c r="D94" s="562"/>
      <c r="E94" s="570">
        <v>2409.1948955682587</v>
      </c>
      <c r="F94" s="564"/>
      <c r="G94" s="565">
        <v>667.26590857771771</v>
      </c>
      <c r="H94" s="566"/>
      <c r="I94" s="567">
        <v>974.91198899231586</v>
      </c>
      <c r="J94" s="568">
        <v>600.53931771994598</v>
      </c>
      <c r="K94" s="9"/>
      <c r="L94" s="569">
        <v>877.42079009308429</v>
      </c>
      <c r="M94" s="418"/>
      <c r="N94" s="531">
        <v>553096.71162007027</v>
      </c>
      <c r="O94" s="568">
        <v>808104.54767573066</v>
      </c>
      <c r="Q94" s="711">
        <v>205455.84586859951</v>
      </c>
    </row>
    <row r="95" spans="2:27" ht="15.75" x14ac:dyDescent="0.25">
      <c r="B95" s="562" t="s">
        <v>10</v>
      </c>
      <c r="C95" s="562"/>
      <c r="D95" s="562"/>
      <c r="E95" s="570">
        <v>2574.8580789313751</v>
      </c>
      <c r="F95" s="564"/>
      <c r="G95" s="565">
        <v>501.60272521460138</v>
      </c>
      <c r="H95" s="566"/>
      <c r="I95" s="567">
        <v>809.24880562919952</v>
      </c>
      <c r="J95" s="568">
        <v>451.44245269314126</v>
      </c>
      <c r="K95" s="9"/>
      <c r="L95" s="569">
        <v>728.32392506627957</v>
      </c>
      <c r="M95" s="418"/>
      <c r="N95" s="531">
        <v>1120931.6100370698</v>
      </c>
      <c r="O95" s="568">
        <v>1808428.3059395722</v>
      </c>
      <c r="Q95" s="711">
        <v>1157100.5451326864</v>
      </c>
    </row>
    <row r="96" spans="2:27" ht="15.75" x14ac:dyDescent="0.25">
      <c r="B96" s="562" t="s">
        <v>11</v>
      </c>
      <c r="C96" s="562"/>
      <c r="D96" s="562"/>
      <c r="E96" s="570">
        <v>2691.4098263892156</v>
      </c>
      <c r="F96" s="564"/>
      <c r="G96" s="565">
        <v>385.05097775676086</v>
      </c>
      <c r="H96" s="566"/>
      <c r="I96" s="567">
        <v>692.697058171359</v>
      </c>
      <c r="J96" s="568">
        <v>346.54587998108479</v>
      </c>
      <c r="K96" s="9"/>
      <c r="L96" s="569">
        <v>623.4273523542231</v>
      </c>
      <c r="M96" s="418"/>
      <c r="N96" s="531">
        <v>199610.42686910485</v>
      </c>
      <c r="O96" s="568">
        <v>359094.15495603252</v>
      </c>
      <c r="Q96" s="711">
        <v>54486.240119864429</v>
      </c>
    </row>
    <row r="97" spans="2:17" ht="15.75" x14ac:dyDescent="0.25">
      <c r="B97" s="562" t="s">
        <v>12</v>
      </c>
      <c r="C97" s="562"/>
      <c r="D97" s="562"/>
      <c r="E97" s="570">
        <v>1850.7581657490268</v>
      </c>
      <c r="F97" s="564"/>
      <c r="G97" s="565">
        <v>1225.7026383969496</v>
      </c>
      <c r="H97" s="566"/>
      <c r="I97" s="567">
        <v>1533.3487188115478</v>
      </c>
      <c r="J97" s="568">
        <v>1103.1323745572547</v>
      </c>
      <c r="K97" s="9"/>
      <c r="L97" s="569">
        <v>1380.0138469303931</v>
      </c>
      <c r="M97" s="418"/>
      <c r="N97" s="531">
        <v>503028.36279810814</v>
      </c>
      <c r="O97" s="568">
        <v>629286.31420025928</v>
      </c>
      <c r="Q97" s="711">
        <v>881941.8517603809</v>
      </c>
    </row>
    <row r="98" spans="2:17" ht="15.75" x14ac:dyDescent="0.25">
      <c r="B98" s="562" t="s">
        <v>13</v>
      </c>
      <c r="C98" s="562"/>
      <c r="D98" s="562"/>
      <c r="E98" s="570">
        <v>2389.6992850613929</v>
      </c>
      <c r="F98" s="564"/>
      <c r="G98" s="565">
        <v>686.7615190845836</v>
      </c>
      <c r="H98" s="566"/>
      <c r="I98" s="567">
        <v>994.40759949918174</v>
      </c>
      <c r="J98" s="568">
        <v>618.08536717612526</v>
      </c>
      <c r="K98" s="9"/>
      <c r="L98" s="569">
        <v>894.96683954926357</v>
      </c>
      <c r="M98" s="418"/>
      <c r="N98" s="531">
        <v>890042.92873362033</v>
      </c>
      <c r="O98" s="568">
        <v>1288752.2489509396</v>
      </c>
      <c r="Q98" s="711">
        <v>511409.28590719786</v>
      </c>
    </row>
    <row r="99" spans="2:17" ht="16.5" thickBot="1" x14ac:dyDescent="0.3">
      <c r="B99" s="562" t="s">
        <v>14</v>
      </c>
      <c r="C99" s="562"/>
      <c r="D99" s="562"/>
      <c r="E99" s="570">
        <v>2896.60674794125</v>
      </c>
      <c r="F99" s="564"/>
      <c r="G99" s="565">
        <v>179.85405620472648</v>
      </c>
      <c r="H99" s="566"/>
      <c r="I99" s="567">
        <v>487.50013661932462</v>
      </c>
      <c r="J99" s="568">
        <v>161.86865058425383</v>
      </c>
      <c r="K99" s="9"/>
      <c r="L99" s="569">
        <v>438.75012295739219</v>
      </c>
      <c r="M99" s="418"/>
      <c r="N99" s="531">
        <v>634039.50433852221</v>
      </c>
      <c r="O99" s="568">
        <v>1718584.2316241052</v>
      </c>
      <c r="Q99" s="711">
        <v>0</v>
      </c>
    </row>
    <row r="100" spans="2:17" ht="16.5" thickBot="1" x14ac:dyDescent="0.3">
      <c r="B100" s="562" t="s">
        <v>15</v>
      </c>
      <c r="C100" s="562"/>
      <c r="D100" s="562"/>
      <c r="E100" s="570">
        <v>2603.2971501358857</v>
      </c>
      <c r="F100" s="564"/>
      <c r="G100" s="565">
        <v>473.1636540100908</v>
      </c>
      <c r="H100" s="566"/>
      <c r="I100" s="567">
        <v>780.80973442468894</v>
      </c>
      <c r="J100" s="568">
        <v>425.84728860908172</v>
      </c>
      <c r="K100" s="9"/>
      <c r="L100" s="569">
        <v>702.72876098222002</v>
      </c>
      <c r="M100" s="418"/>
      <c r="N100" s="531">
        <v>153305.02389926941</v>
      </c>
      <c r="O100" s="568">
        <v>252982.3539535992</v>
      </c>
      <c r="Q100" s="714">
        <v>11487239.046161167</v>
      </c>
    </row>
    <row r="101" spans="2:17" ht="15.75" x14ac:dyDescent="0.25">
      <c r="B101" s="562" t="s">
        <v>16</v>
      </c>
      <c r="C101" s="562"/>
      <c r="D101" s="562"/>
      <c r="E101" s="570">
        <v>2242.1674788031364</v>
      </c>
      <c r="F101" s="564"/>
      <c r="G101" s="565">
        <v>834.29332534284003</v>
      </c>
      <c r="H101" s="566"/>
      <c r="I101" s="567">
        <v>1141.9394057574382</v>
      </c>
      <c r="J101" s="568">
        <v>750.86399280855608</v>
      </c>
      <c r="K101" s="9"/>
      <c r="L101" s="569">
        <v>1027.7454651816945</v>
      </c>
      <c r="M101" s="418"/>
      <c r="N101" s="531">
        <v>196726.36611584169</v>
      </c>
      <c r="O101" s="568">
        <v>269269.31187760393</v>
      </c>
    </row>
    <row r="102" spans="2:17" ht="15.75" x14ac:dyDescent="0.25">
      <c r="B102" s="562" t="s">
        <v>17</v>
      </c>
      <c r="C102" s="562"/>
      <c r="D102" s="562"/>
      <c r="E102" s="570">
        <v>2738.7291126646674</v>
      </c>
      <c r="F102" s="564"/>
      <c r="G102" s="565">
        <v>337.7316914813091</v>
      </c>
      <c r="H102" s="566"/>
      <c r="I102" s="567">
        <v>645.37777189590724</v>
      </c>
      <c r="J102" s="568">
        <v>303.95852233317822</v>
      </c>
      <c r="K102" s="9"/>
      <c r="L102" s="569">
        <v>580.83999470631659</v>
      </c>
      <c r="M102" s="418"/>
      <c r="N102" s="531">
        <v>541958.04532005673</v>
      </c>
      <c r="O102" s="568">
        <v>1035637.7105613624</v>
      </c>
    </row>
    <row r="103" spans="2:17" ht="15.75" x14ac:dyDescent="0.25">
      <c r="B103" s="562" t="s">
        <v>18</v>
      </c>
      <c r="C103" s="562"/>
      <c r="D103" s="562"/>
      <c r="E103" s="570">
        <v>2743.4985147070383</v>
      </c>
      <c r="F103" s="564"/>
      <c r="G103" s="565">
        <v>332.96228943893811</v>
      </c>
      <c r="H103" s="566"/>
      <c r="I103" s="567">
        <v>640.60836985353626</v>
      </c>
      <c r="J103" s="568">
        <v>299.66606049504429</v>
      </c>
      <c r="K103" s="9"/>
      <c r="L103" s="569">
        <v>576.54753286818266</v>
      </c>
      <c r="M103" s="418"/>
      <c r="N103" s="531">
        <v>115970.76541158214</v>
      </c>
      <c r="O103" s="568">
        <v>223123.89521998668</v>
      </c>
    </row>
    <row r="104" spans="2:17" ht="15.75" x14ac:dyDescent="0.25">
      <c r="B104" s="562" t="s">
        <v>19</v>
      </c>
      <c r="C104" s="562"/>
      <c r="D104" s="562"/>
      <c r="E104" s="570">
        <v>2624.570148222665</v>
      </c>
      <c r="F104" s="564"/>
      <c r="G104" s="565">
        <v>451.89065592331144</v>
      </c>
      <c r="H104" s="566"/>
      <c r="I104" s="567">
        <v>759.53673633790959</v>
      </c>
      <c r="J104" s="568">
        <v>406.70159033098031</v>
      </c>
      <c r="K104" s="9"/>
      <c r="L104" s="569">
        <v>683.58306270411867</v>
      </c>
      <c r="M104" s="418"/>
      <c r="N104" s="531">
        <v>712947.88785020844</v>
      </c>
      <c r="O104" s="568">
        <v>1198321.1089203199</v>
      </c>
    </row>
    <row r="105" spans="2:17" ht="15.75" x14ac:dyDescent="0.25">
      <c r="B105" s="562" t="s">
        <v>20</v>
      </c>
      <c r="C105" s="562"/>
      <c r="D105" s="562"/>
      <c r="E105" s="570">
        <v>2701.8196401363634</v>
      </c>
      <c r="F105" s="564"/>
      <c r="G105" s="565">
        <v>374.64116400961302</v>
      </c>
      <c r="H105" s="566"/>
      <c r="I105" s="567">
        <v>682.28724442421117</v>
      </c>
      <c r="J105" s="568">
        <v>337.17704760865172</v>
      </c>
      <c r="K105" s="9"/>
      <c r="L105" s="569">
        <v>614.05851998179003</v>
      </c>
      <c r="M105" s="418"/>
      <c r="N105" s="531">
        <v>38775.360474994945</v>
      </c>
      <c r="O105" s="568">
        <v>70616.729797905849</v>
      </c>
    </row>
    <row r="106" spans="2:17" ht="15.75" x14ac:dyDescent="0.25">
      <c r="B106" s="562" t="s">
        <v>21</v>
      </c>
      <c r="C106" s="562"/>
      <c r="D106" s="562"/>
      <c r="E106" s="570">
        <v>2425.3222016775098</v>
      </c>
      <c r="F106" s="564"/>
      <c r="G106" s="565">
        <v>651.13860246846662</v>
      </c>
      <c r="H106" s="566"/>
      <c r="I106" s="567">
        <v>958.78468288306476</v>
      </c>
      <c r="J106" s="568">
        <v>586.02474222161993</v>
      </c>
      <c r="K106" s="9"/>
      <c r="L106" s="569">
        <v>862.90621459475835</v>
      </c>
      <c r="M106" s="418"/>
      <c r="N106" s="531">
        <v>604191.50923049019</v>
      </c>
      <c r="O106" s="568">
        <v>889656.30724719586</v>
      </c>
    </row>
    <row r="107" spans="2:17" ht="15.75" x14ac:dyDescent="0.25">
      <c r="B107" s="562" t="s">
        <v>22</v>
      </c>
      <c r="C107" s="562"/>
      <c r="D107" s="562"/>
      <c r="E107" s="570">
        <v>2038.0179225503391</v>
      </c>
      <c r="F107" s="564"/>
      <c r="G107" s="565">
        <v>1038.4428815956373</v>
      </c>
      <c r="H107" s="566"/>
      <c r="I107" s="567">
        <v>1346.0889620102355</v>
      </c>
      <c r="J107" s="568">
        <v>934.59859343607366</v>
      </c>
      <c r="K107" s="9"/>
      <c r="L107" s="569">
        <v>1211.480065809212</v>
      </c>
      <c r="M107" s="418"/>
      <c r="N107" s="531">
        <v>419634.76845279709</v>
      </c>
      <c r="O107" s="568">
        <v>543954.54954833619</v>
      </c>
    </row>
    <row r="108" spans="2:17" ht="16.5" thickBot="1" x14ac:dyDescent="0.3">
      <c r="B108" s="562" t="s">
        <v>23</v>
      </c>
      <c r="C108" s="562"/>
      <c r="D108" s="562"/>
      <c r="E108" s="570">
        <v>3770.7159936426542</v>
      </c>
      <c r="F108" s="564"/>
      <c r="G108" s="565">
        <v>-694.25518949667776</v>
      </c>
      <c r="H108" s="566"/>
      <c r="I108" s="567">
        <v>-386.60910908207961</v>
      </c>
      <c r="J108" s="568">
        <v>0</v>
      </c>
      <c r="K108" s="9"/>
      <c r="L108" s="569">
        <v>0</v>
      </c>
      <c r="M108" s="418"/>
      <c r="N108" s="531">
        <v>0</v>
      </c>
      <c r="O108" s="568">
        <v>0</v>
      </c>
    </row>
    <row r="109" spans="2:17" ht="16.5" thickBot="1" x14ac:dyDescent="0.3">
      <c r="B109" s="493" t="s">
        <v>247</v>
      </c>
      <c r="C109" s="493"/>
      <c r="D109" s="493"/>
      <c r="E109" s="573"/>
      <c r="F109" s="574"/>
      <c r="G109" s="575">
        <v>3076.4608041459765</v>
      </c>
      <c r="H109" s="576"/>
      <c r="I109" s="577">
        <v>3384.1068845605746</v>
      </c>
      <c r="J109" s="435"/>
      <c r="K109" s="494"/>
      <c r="L109" s="494"/>
      <c r="M109" s="420"/>
      <c r="N109" s="539">
        <v>6880852.4263775209</v>
      </c>
      <c r="O109" s="578">
        <v>11435829.528388018</v>
      </c>
    </row>
  </sheetData>
  <mergeCells count="20">
    <mergeCell ref="X61:X63"/>
    <mergeCell ref="Y61:Y63"/>
    <mergeCell ref="U59:V63"/>
    <mergeCell ref="W59:W62"/>
    <mergeCell ref="N88:N91"/>
    <mergeCell ref="O88:O91"/>
    <mergeCell ref="B59:E63"/>
    <mergeCell ref="Q59:R63"/>
    <mergeCell ref="S59:T63"/>
    <mergeCell ref="F60:G63"/>
    <mergeCell ref="H60:I63"/>
    <mergeCell ref="J60:J63"/>
    <mergeCell ref="K60:L61"/>
    <mergeCell ref="N60:N63"/>
    <mergeCell ref="O60:O63"/>
    <mergeCell ref="B87:E91"/>
    <mergeCell ref="F88:G91"/>
    <mergeCell ref="H88:I91"/>
    <mergeCell ref="J88:J91"/>
    <mergeCell ref="K88:L89"/>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U70"/>
  <sheetViews>
    <sheetView topLeftCell="A4" zoomScale="85" zoomScaleNormal="85" workbookViewId="0">
      <selection activeCell="N25" sqref="N25"/>
    </sheetView>
  </sheetViews>
  <sheetFormatPr defaultColWidth="8.88671875" defaultRowHeight="15" x14ac:dyDescent="0.2"/>
  <cols>
    <col min="1" max="1" width="10.21875" style="1" customWidth="1"/>
    <col min="2" max="2" width="23.44140625" style="1" customWidth="1"/>
    <col min="3" max="3" width="13.33203125" style="1" customWidth="1"/>
    <col min="4" max="4" width="14.109375" style="1" customWidth="1"/>
    <col min="5" max="5" width="10.77734375" style="1" customWidth="1"/>
    <col min="6" max="6" width="12.6640625" style="1" customWidth="1"/>
    <col min="7" max="7" width="13.21875" style="1" customWidth="1"/>
    <col min="8" max="8" width="12.109375" style="1" customWidth="1"/>
    <col min="9" max="9" width="15.33203125" style="1" customWidth="1"/>
    <col min="10" max="10" width="8.88671875" style="1"/>
    <col min="11" max="11" width="12.5546875" style="1" customWidth="1"/>
    <col min="12" max="12" width="8.88671875" style="1"/>
    <col min="13" max="13" width="11.6640625" style="1" customWidth="1"/>
    <col min="14" max="14" width="8.88671875" style="1"/>
    <col min="15" max="15" width="12.33203125" style="1" customWidth="1"/>
    <col min="16" max="17" width="8.88671875" style="1"/>
    <col min="18" max="18" width="11.77734375" style="1" customWidth="1"/>
    <col min="19" max="19" width="11.21875" style="1" customWidth="1"/>
    <col min="20" max="16384" width="8.88671875" style="1"/>
  </cols>
  <sheetData>
    <row r="4" spans="2:19" x14ac:dyDescent="0.2">
      <c r="I4" s="1" t="str">
        <f>IF(Kontrollpanel!K37=2,"Nettodriftskostnader","Nyckelmodell")</f>
        <v>Nettodriftskostnader</v>
      </c>
    </row>
    <row r="5" spans="2:19" x14ac:dyDescent="0.2">
      <c r="M5" s="9"/>
      <c r="N5" s="9"/>
      <c r="O5" s="9"/>
      <c r="P5" s="9"/>
      <c r="Q5" s="9"/>
    </row>
    <row r="6" spans="2:19" ht="15.75" thickBot="1" x14ac:dyDescent="0.25">
      <c r="C6" s="288"/>
      <c r="D6" s="288"/>
      <c r="E6" s="288"/>
      <c r="F6" s="288"/>
      <c r="G6" s="288"/>
      <c r="H6" s="288"/>
      <c r="M6" s="9"/>
      <c r="N6" s="9"/>
      <c r="O6" s="9"/>
      <c r="P6" s="9"/>
      <c r="Q6" s="9"/>
    </row>
    <row r="7" spans="2:19" ht="16.5" thickBot="1" x14ac:dyDescent="0.3">
      <c r="B7" s="315" t="s">
        <v>173</v>
      </c>
      <c r="C7" s="317" t="s">
        <v>174</v>
      </c>
      <c r="D7" s="318"/>
      <c r="E7" s="322" t="s">
        <v>177</v>
      </c>
      <c r="F7" s="317"/>
      <c r="G7" s="317"/>
      <c r="H7" s="317"/>
      <c r="I7" s="314"/>
      <c r="J7" s="314"/>
      <c r="K7" s="427" t="s">
        <v>178</v>
      </c>
      <c r="L7" s="320"/>
      <c r="M7" s="425"/>
      <c r="N7" s="320"/>
      <c r="O7" s="427" t="s">
        <v>81</v>
      </c>
      <c r="P7" s="320"/>
      <c r="Q7" s="9"/>
    </row>
    <row r="8" spans="2:19" ht="16.5" thickBot="1" x14ac:dyDescent="0.3">
      <c r="B8" s="316"/>
      <c r="C8" s="319" t="s">
        <v>270</v>
      </c>
      <c r="D8" s="320"/>
      <c r="E8" s="319" t="s">
        <v>175</v>
      </c>
      <c r="F8" s="320"/>
      <c r="G8" s="319" t="s">
        <v>2</v>
      </c>
      <c r="H8" s="321"/>
      <c r="I8" s="319" t="s">
        <v>176</v>
      </c>
      <c r="J8" s="425"/>
      <c r="K8" s="319" t="s">
        <v>179</v>
      </c>
      <c r="L8" s="320"/>
      <c r="M8" s="426" t="s">
        <v>223</v>
      </c>
      <c r="N8" s="321" t="s">
        <v>396</v>
      </c>
      <c r="O8" s="319" t="s">
        <v>224</v>
      </c>
      <c r="P8" s="320"/>
      <c r="Q8" s="9"/>
    </row>
    <row r="9" spans="2:19" ht="16.5" thickBot="1" x14ac:dyDescent="0.3">
      <c r="B9" s="215" t="s">
        <v>8</v>
      </c>
      <c r="C9" s="408"/>
      <c r="D9" s="408">
        <f>'C1. Skattekomplettering (2015)'!O65</f>
        <v>408914.31097017048</v>
      </c>
      <c r="E9" s="408">
        <f>'C2. Kostnadsutj. skola (2015)'!G69</f>
        <v>207409.56</v>
      </c>
      <c r="F9" s="324"/>
      <c r="G9" s="429">
        <f>'C3. Förslag, socialvård (2015)'!E159</f>
        <v>145021.66</v>
      </c>
      <c r="H9" s="323"/>
      <c r="I9" s="408">
        <f>IF(Kontrollpanel!$K$37=2,'C4. Förslag, utjämning (2015)'!E195,'C. NYCKELMOD. UTJ (2015)'!E194)</f>
        <v>-14201.371735894376</v>
      </c>
      <c r="J9" s="323"/>
      <c r="K9" s="414">
        <f>'C5. Skärgårdstillägg (2015)'!F106</f>
        <v>404213.86639570002</v>
      </c>
      <c r="L9" s="428"/>
      <c r="M9" s="408"/>
      <c r="N9" s="748">
        <f>'C6. Övriga delar (2015)'!F121</f>
        <v>7351.4736000000003</v>
      </c>
      <c r="O9" s="408">
        <f>SUM(C9:N9)</f>
        <v>1158709.4992299762</v>
      </c>
      <c r="P9" s="324"/>
      <c r="Q9" s="9"/>
      <c r="R9" s="408">
        <v>-101482.23957060388</v>
      </c>
      <c r="S9" s="408">
        <v>-54541.891629092745</v>
      </c>
    </row>
    <row r="10" spans="2:19" ht="16.5" thickBot="1" x14ac:dyDescent="0.3">
      <c r="B10" s="215" t="s">
        <v>9</v>
      </c>
      <c r="C10" s="409"/>
      <c r="D10" s="408">
        <f>'C1. Skattekomplettering (2015)'!O66</f>
        <v>1167125.3369655637</v>
      </c>
      <c r="E10" s="408">
        <f>'C2. Kostnadsutj. skola (2015)'!H69</f>
        <v>315297.76</v>
      </c>
      <c r="F10" s="326"/>
      <c r="G10" s="429">
        <f>'C3. Förslag, socialvård (2015)'!E160</f>
        <v>278585.86</v>
      </c>
      <c r="H10" s="325"/>
      <c r="I10" s="408">
        <f>IF(Kontrollpanel!$K$37=2,'C4. Förslag, utjämning (2015)'!E196,'C. NYCKELMOD. UTJ (2015)'!E195)</f>
        <v>272919.44506794709</v>
      </c>
      <c r="J10" s="325"/>
      <c r="K10" s="418"/>
      <c r="L10" s="419"/>
      <c r="M10" s="408"/>
      <c r="N10" s="748">
        <f>'C6. Övriga delar (2015)'!F122</f>
        <v>14978.627460000002</v>
      </c>
      <c r="O10" s="409">
        <f t="shared" ref="O10:O24" si="0">SUM(C10:N10)</f>
        <v>2048907.029493511</v>
      </c>
      <c r="P10" s="326"/>
      <c r="Q10" s="9"/>
      <c r="R10" s="408">
        <v>285718.97802873864</v>
      </c>
      <c r="S10" s="408">
        <v>38358.591698621982</v>
      </c>
    </row>
    <row r="11" spans="2:19" ht="16.5" thickBot="1" x14ac:dyDescent="0.3">
      <c r="B11" s="215" t="s">
        <v>10</v>
      </c>
      <c r="C11" s="409"/>
      <c r="D11" s="408">
        <f>'C1. Skattekomplettering (2015)'!O67</f>
        <v>2500787.9328619782</v>
      </c>
      <c r="E11" s="408">
        <f>'C2. Kostnadsutj. skola (2015)'!I69</f>
        <v>389168.15</v>
      </c>
      <c r="F11" s="326"/>
      <c r="G11" s="429">
        <f>'C3. Förslag, socialvård (2015)'!E161</f>
        <v>679903.56</v>
      </c>
      <c r="H11" s="325"/>
      <c r="I11" s="408">
        <f>IF(Kontrollpanel!$K$37=2,'C4. Förslag, utjämning (2015)'!E197,'C. NYCKELMOD. UTJ (2015)'!E196)</f>
        <v>174972.5964519805</v>
      </c>
      <c r="J11" s="325"/>
      <c r="K11" s="418"/>
      <c r="L11" s="419"/>
      <c r="M11" s="408"/>
      <c r="N11" s="748">
        <f>'C6. Övriga delar (2015)'!F123</f>
        <v>38702.445390000001</v>
      </c>
      <c r="O11" s="409">
        <f t="shared" si="0"/>
        <v>3783534.6847039587</v>
      </c>
      <c r="P11" s="326"/>
      <c r="Q11" s="9"/>
      <c r="R11" s="408">
        <v>-64569.194060511654</v>
      </c>
      <c r="S11" s="408">
        <v>32512.03580759326</v>
      </c>
    </row>
    <row r="12" spans="2:19" ht="16.5" thickBot="1" x14ac:dyDescent="0.3">
      <c r="B12" s="215" t="s">
        <v>11</v>
      </c>
      <c r="C12" s="409"/>
      <c r="D12" s="408">
        <f>'C1. Skattekomplettering (2015)'!O68</f>
        <v>520004.3804057911</v>
      </c>
      <c r="E12" s="408">
        <f>'C2. Kostnadsutj. skola (2015)'!J69</f>
        <v>253647.36000000002</v>
      </c>
      <c r="F12" s="326"/>
      <c r="G12" s="429">
        <f>'C3. Förslag, socialvård (2015)'!E162</f>
        <v>194700.24000000002</v>
      </c>
      <c r="H12" s="325"/>
      <c r="I12" s="408">
        <f>IF(Kontrollpanel!$K$37=2,'C4. Förslag, utjämning (2015)'!E198,'C. NYCKELMOD. UTJ (2015)'!E197)</f>
        <v>-103449.48001644657</v>
      </c>
      <c r="J12" s="325"/>
      <c r="K12" s="414">
        <f>'C5. Skärgårdstillägg (2015)'!I106</f>
        <v>386161.21142519999</v>
      </c>
      <c r="L12" s="428"/>
      <c r="M12" s="408"/>
      <c r="N12" s="748">
        <f>'C6. Övriga delar (2015)'!F124</f>
        <v>8837.0838899999999</v>
      </c>
      <c r="O12" s="409">
        <f t="shared" si="0"/>
        <v>1259900.7957045445</v>
      </c>
      <c r="P12" s="326"/>
      <c r="Q12" s="9"/>
      <c r="R12" s="408">
        <v>-241307.76635413599</v>
      </c>
      <c r="S12" s="408">
        <v>-27997.844479794439</v>
      </c>
    </row>
    <row r="13" spans="2:19" ht="16.5" thickBot="1" x14ac:dyDescent="0.3">
      <c r="B13" s="215" t="s">
        <v>12</v>
      </c>
      <c r="C13" s="409"/>
      <c r="D13" s="408">
        <f>'C1. Skattekomplettering (2015)'!O69</f>
        <v>825838.45685106621</v>
      </c>
      <c r="E13" s="408">
        <f>'C2. Kostnadsutj. skola (2015)'!K69</f>
        <v>238234.76</v>
      </c>
      <c r="F13" s="326"/>
      <c r="G13" s="429">
        <f>'C3. Förslag, socialvård (2015)'!E163</f>
        <v>148500.24</v>
      </c>
      <c r="H13" s="325"/>
      <c r="I13" s="408">
        <f>IF(Kontrollpanel!$K$37=2,'C4. Förslag, utjämning (2015)'!E199,'C. NYCKELMOD. UTJ (2015)'!E198)</f>
        <v>311192.85073049221</v>
      </c>
      <c r="J13" s="325"/>
      <c r="K13" s="418"/>
      <c r="L13" s="419"/>
      <c r="M13" s="408"/>
      <c r="N13" s="748">
        <f>'C6. Övriga delar (2015)'!F125</f>
        <v>7535.2604400000009</v>
      </c>
      <c r="O13" s="409">
        <f t="shared" si="0"/>
        <v>1531301.5680215587</v>
      </c>
      <c r="P13" s="326"/>
      <c r="Q13" s="9"/>
      <c r="R13" s="408">
        <v>418921.22495891451</v>
      </c>
      <c r="S13" s="408">
        <v>49358.832982175227</v>
      </c>
    </row>
    <row r="14" spans="2:19" ht="16.5" thickBot="1" x14ac:dyDescent="0.3">
      <c r="B14" s="215" t="s">
        <v>13</v>
      </c>
      <c r="C14" s="409"/>
      <c r="D14" s="408">
        <f>'C1. Skattekomplettering (2015)'!O70</f>
        <v>1713201.4102828894</v>
      </c>
      <c r="E14" s="408">
        <f>'C2. Kostnadsutj. skola (2015)'!L69</f>
        <v>356141.15</v>
      </c>
      <c r="F14" s="326"/>
      <c r="G14" s="429">
        <f>'C3. Förslag, socialvård (2015)'!E164</f>
        <v>442967.9800000001</v>
      </c>
      <c r="H14" s="325"/>
      <c r="I14" s="408">
        <f>IF(Kontrollpanel!$K$37=2,'C4. Förslag, utjämning (2015)'!E200,'C. NYCKELMOD. UTJ (2015)'!E199)</f>
        <v>172201.99108451381</v>
      </c>
      <c r="J14" s="325"/>
      <c r="K14" s="418"/>
      <c r="L14" s="419"/>
      <c r="M14" s="408"/>
      <c r="N14" s="748">
        <f>'C6. Övriga delar (2015)'!F126</f>
        <v>23371.559820000002</v>
      </c>
      <c r="O14" s="409">
        <f t="shared" si="0"/>
        <v>2707884.0911874031</v>
      </c>
      <c r="P14" s="326"/>
      <c r="Q14" s="9"/>
      <c r="R14" s="408">
        <v>40489.691492140992</v>
      </c>
      <c r="S14" s="408">
        <v>11015.445231975056</v>
      </c>
    </row>
    <row r="15" spans="2:19" ht="16.5" thickBot="1" x14ac:dyDescent="0.3">
      <c r="B15" s="215" t="s">
        <v>14</v>
      </c>
      <c r="C15" s="409"/>
      <c r="D15" s="408">
        <f>'C1. Skattekomplettering (2015)'!O71</f>
        <v>2899628.3809597194</v>
      </c>
      <c r="E15" s="408">
        <f>'C2. Kostnadsutj. skola (2015)'!M69</f>
        <v>468432.95000000007</v>
      </c>
      <c r="F15" s="326"/>
      <c r="G15" s="429">
        <f>'C3. Förslag, socialvård (2015)'!E165</f>
        <v>1135492.1200000001</v>
      </c>
      <c r="H15" s="325"/>
      <c r="I15" s="408">
        <f>IF(Kontrollpanel!$K$37=2,'C4. Förslag, utjämning (2015)'!E201,'C. NYCKELMOD. UTJ (2015)'!E200)</f>
        <v>-259337.47892677097</v>
      </c>
      <c r="J15" s="325"/>
      <c r="K15" s="418"/>
      <c r="L15" s="419"/>
      <c r="M15" s="408"/>
      <c r="N15" s="748">
        <f>'C6. Övriga delar (2015)'!F127</f>
        <v>65075.856930000002</v>
      </c>
      <c r="O15" s="409">
        <f t="shared" si="0"/>
        <v>4309291.8289629482</v>
      </c>
      <c r="P15" s="326"/>
      <c r="Q15" s="9"/>
      <c r="R15" s="408">
        <v>-1003712.3910012222</v>
      </c>
      <c r="S15" s="408">
        <v>-603696.51240360737</v>
      </c>
    </row>
    <row r="16" spans="2:19" ht="16.5" thickBot="1" x14ac:dyDescent="0.3">
      <c r="B16" s="215" t="s">
        <v>15</v>
      </c>
      <c r="C16" s="409"/>
      <c r="D16" s="408">
        <f>'C1. Skattekomplettering (2015)'!O72</f>
        <v>328123.3709993778</v>
      </c>
      <c r="E16" s="408">
        <f>'C2. Kostnadsutj. skola (2015)'!N69</f>
        <v>108989.1</v>
      </c>
      <c r="F16" s="326"/>
      <c r="G16" s="429">
        <f>'C3. Förslag, socialvård (2015)'!E166</f>
        <v>124012.98000000001</v>
      </c>
      <c r="H16" s="325"/>
      <c r="I16" s="408">
        <f>IF(Kontrollpanel!$K$37=2,'C4. Förslag, utjämning (2015)'!E202,'C. NYCKELMOD. UTJ (2015)'!E201)</f>
        <v>-44806.259855102064</v>
      </c>
      <c r="J16" s="325"/>
      <c r="K16" s="414">
        <f>'C5. Skärgårdstillägg (2015)'!M106</f>
        <v>280701.59625840001</v>
      </c>
      <c r="L16" s="428"/>
      <c r="M16" s="408"/>
      <c r="N16" s="748">
        <f>'C6. Övriga delar (2015)'!F128</f>
        <v>5528.9207700000006</v>
      </c>
      <c r="O16" s="409">
        <f t="shared" si="0"/>
        <v>802549.70817267569</v>
      </c>
      <c r="P16" s="326"/>
      <c r="Q16" s="9"/>
      <c r="R16" s="408">
        <v>-110248.20751337917</v>
      </c>
      <c r="S16" s="408">
        <v>11484.239201887802</v>
      </c>
    </row>
    <row r="17" spans="2:21" ht="16.5" thickBot="1" x14ac:dyDescent="0.3">
      <c r="B17" s="215" t="s">
        <v>16</v>
      </c>
      <c r="C17" s="409"/>
      <c r="D17" s="408">
        <f>'C1. Skattekomplettering (2015)'!O73</f>
        <v>312824.92400106165</v>
      </c>
      <c r="E17" s="408">
        <f>'C2. Kostnadsutj. skola (2015)'!O69</f>
        <v>128805.3</v>
      </c>
      <c r="F17" s="326"/>
      <c r="G17" s="429">
        <f>'C3. Förslag, socialvård (2015)'!E167</f>
        <v>75983.180000000008</v>
      </c>
      <c r="H17" s="325"/>
      <c r="I17" s="408">
        <f>IF(Kontrollpanel!$K$37=2,'C4. Förslag, utjämning (2015)'!E203,'C. NYCKELMOD. UTJ (2015)'!E202)</f>
        <v>-61327.552294597845</v>
      </c>
      <c r="J17" s="325"/>
      <c r="K17" s="410">
        <f>'C5. Skärgårdstillägg (2015)'!N106</f>
        <v>230913.08648719999</v>
      </c>
      <c r="L17" s="328"/>
      <c r="M17" s="408"/>
      <c r="N17" s="748">
        <f>'C6. Övriga delar (2015)'!F129</f>
        <v>3813.5769300000002</v>
      </c>
      <c r="O17" s="409">
        <f t="shared" si="0"/>
        <v>691012.5151236637</v>
      </c>
      <c r="P17" s="326"/>
      <c r="Q17" s="9"/>
      <c r="R17" s="408">
        <v>-140476.58035059628</v>
      </c>
      <c r="S17" s="408">
        <v>-8190.8585521048517</v>
      </c>
    </row>
    <row r="18" spans="2:21" ht="16.5" thickBot="1" x14ac:dyDescent="0.3">
      <c r="B18" s="215" t="s">
        <v>17</v>
      </c>
      <c r="C18" s="409"/>
      <c r="D18" s="408">
        <f>'C1. Skattekomplettering (2015)'!O74</f>
        <v>1496958.3954006545</v>
      </c>
      <c r="E18" s="408">
        <f>'C2. Kostnadsutj. skola (2015)'!P69</f>
        <v>374306.00000000006</v>
      </c>
      <c r="F18" s="326"/>
      <c r="G18" s="429">
        <f>'C3. Förslag, socialvård (2015)'!E168</f>
        <v>454369.72000000003</v>
      </c>
      <c r="H18" s="325"/>
      <c r="I18" s="408">
        <f>IF(Kontrollpanel!$K$37=2,'C4. Förslag, utjämning (2015)'!E204,'C. NYCKELMOD. UTJ (2015)'!E203)</f>
        <v>25650.822895077843</v>
      </c>
      <c r="J18" s="325"/>
      <c r="K18" s="418"/>
      <c r="L18" s="419"/>
      <c r="M18" s="408"/>
      <c r="N18" s="748">
        <f>'C6. Övriga delar (2015)'!F130</f>
        <v>28486.960200000001</v>
      </c>
      <c r="O18" s="409">
        <f t="shared" si="0"/>
        <v>2379771.8984957328</v>
      </c>
      <c r="P18" s="326"/>
      <c r="Q18" s="9"/>
      <c r="R18" s="408">
        <v>-234674.02694787411</v>
      </c>
      <c r="S18" s="408">
        <v>-362388.02092200075</v>
      </c>
    </row>
    <row r="19" spans="2:21" ht="16.5" thickBot="1" x14ac:dyDescent="0.3">
      <c r="B19" s="215" t="s">
        <v>18</v>
      </c>
      <c r="C19" s="409"/>
      <c r="D19" s="408">
        <f>'C1. Skattekomplettering (2015)'!O75</f>
        <v>333770.48327399831</v>
      </c>
      <c r="E19" s="408">
        <f>'C2. Kostnadsutj. skola (2015)'!Q69</f>
        <v>244399.8</v>
      </c>
      <c r="F19" s="326"/>
      <c r="G19" s="429">
        <f>'C3. Förslag, socialvård (2015)'!E169</f>
        <v>122275.02000000002</v>
      </c>
      <c r="H19" s="325"/>
      <c r="I19" s="408">
        <f>IF(Kontrollpanel!$K$37=2,'C4. Förslag, utjämning (2015)'!E205,'C. NYCKELMOD. UTJ (2015)'!E204)</f>
        <v>-41880.866335534243</v>
      </c>
      <c r="J19" s="325"/>
      <c r="K19" s="418"/>
      <c r="L19" s="419"/>
      <c r="M19" s="408"/>
      <c r="N19" s="748">
        <f>'C6. Övriga delar (2015)'!F131</f>
        <v>6110.9124300000003</v>
      </c>
      <c r="O19" s="409">
        <f t="shared" si="0"/>
        <v>664675.34936846409</v>
      </c>
      <c r="P19" s="326"/>
      <c r="Q19" s="9"/>
      <c r="R19" s="408">
        <v>-129544.65542749991</v>
      </c>
      <c r="S19" s="408">
        <v>-59553.539123930736</v>
      </c>
    </row>
    <row r="20" spans="2:21" ht="16.5" thickBot="1" x14ac:dyDescent="0.3">
      <c r="B20" s="215" t="s">
        <v>19</v>
      </c>
      <c r="C20" s="409"/>
      <c r="D20" s="408">
        <f>'C1. Skattekomplettering (2015)'!O76</f>
        <v>1556075.3768818614</v>
      </c>
      <c r="E20" s="408">
        <f>'C2. Kostnadsutj. skola (2015)'!R69</f>
        <v>362746.55000000005</v>
      </c>
      <c r="F20" s="326"/>
      <c r="G20" s="429">
        <f>'C3. Förslag, socialvård (2015)'!E170</f>
        <v>529213.72</v>
      </c>
      <c r="H20" s="325"/>
      <c r="I20" s="408">
        <f>IF(Kontrollpanel!$K$37=2,'C4. Förslag, utjämning (2015)'!E206,'C. NYCKELMOD. UTJ (2015)'!E205)</f>
        <v>-175870.9951636256</v>
      </c>
      <c r="J20" s="325"/>
      <c r="K20" s="418"/>
      <c r="L20" s="419"/>
      <c r="M20" s="408"/>
      <c r="N20" s="748">
        <f>'C6. Övriga delar (2015)'!F132</f>
        <v>27721.181700000001</v>
      </c>
      <c r="O20" s="409">
        <f t="shared" si="0"/>
        <v>2299885.8334182361</v>
      </c>
      <c r="P20" s="326"/>
      <c r="Q20" s="9"/>
      <c r="R20" s="408">
        <v>-538751.88828957896</v>
      </c>
      <c r="S20" s="408">
        <v>-157447.1392271712</v>
      </c>
    </row>
    <row r="21" spans="2:21" ht="16.5" thickBot="1" x14ac:dyDescent="0.3">
      <c r="B21" s="215" t="s">
        <v>20</v>
      </c>
      <c r="C21" s="409"/>
      <c r="D21" s="408">
        <f>'C1. Skattekomplettering (2015)'!O77</f>
        <v>77503.412073792904</v>
      </c>
      <c r="E21" s="408">
        <f>'C2. Kostnadsutj. skola (2015)'!S69</f>
        <v>14862.15</v>
      </c>
      <c r="F21" s="326"/>
      <c r="G21" s="429">
        <f>'C3. Förslag, socialvård (2015)'!E171</f>
        <v>43318.520000000004</v>
      </c>
      <c r="H21" s="325"/>
      <c r="I21" s="408">
        <f>IF(Kontrollpanel!$K$37=2,'C4. Förslag, utjämning (2015)'!E207,'C. NYCKELMOD. UTJ (2015)'!E206)</f>
        <v>-31951.841133853544</v>
      </c>
      <c r="J21" s="325"/>
      <c r="K21" s="414">
        <f>'C5. Skärgårdstillägg (2015)'!R106</f>
        <v>76002.717671599996</v>
      </c>
      <c r="L21" s="428"/>
      <c r="M21" s="408"/>
      <c r="N21" s="748">
        <f>'C6. Övriga delar (2015)'!F133</f>
        <v>1577.5037100000002</v>
      </c>
      <c r="O21" s="409">
        <f t="shared" si="0"/>
        <v>181312.46232153935</v>
      </c>
      <c r="P21" s="326"/>
      <c r="Q21" s="9"/>
      <c r="R21" s="408">
        <v>-63435.455084067253</v>
      </c>
      <c r="S21" s="408">
        <v>10203.296717373902</v>
      </c>
    </row>
    <row r="22" spans="2:21" ht="16.5" thickBot="1" x14ac:dyDescent="0.3">
      <c r="B22" s="215" t="s">
        <v>21</v>
      </c>
      <c r="C22" s="409"/>
      <c r="D22" s="408">
        <f>'C1. Skattekomplettering (2015)'!O78</f>
        <v>1145750.2576095427</v>
      </c>
      <c r="E22" s="408">
        <f>'C2. Kostnadsutj. skola (2015)'!T69</f>
        <v>329829.64000000007</v>
      </c>
      <c r="F22" s="326"/>
      <c r="G22" s="429">
        <f>'C3. Förslag, socialvård (2015)'!E172</f>
        <v>279914.88</v>
      </c>
      <c r="H22" s="325"/>
      <c r="I22" s="408">
        <f>IF(Kontrollpanel!$K$37=2,'C4. Förslag, utjämning (2015)'!E208,'C. NYCKELMOD. UTJ (2015)'!E207)</f>
        <v>322056.24572749092</v>
      </c>
      <c r="J22" s="325"/>
      <c r="K22" s="418"/>
      <c r="L22" s="419"/>
      <c r="M22" s="408"/>
      <c r="N22" s="748">
        <f>'C6. Övriga delar (2015)'!F134</f>
        <v>15805.668240000001</v>
      </c>
      <c r="O22" s="409">
        <f t="shared" si="0"/>
        <v>2093356.6915770338</v>
      </c>
      <c r="P22" s="326"/>
      <c r="Q22" s="9"/>
      <c r="R22" s="408">
        <v>335573.11596435041</v>
      </c>
      <c r="S22" s="408">
        <v>-117921.01184315875</v>
      </c>
    </row>
    <row r="23" spans="2:21" ht="16.5" thickBot="1" x14ac:dyDescent="0.3">
      <c r="B23" s="215" t="s">
        <v>22</v>
      </c>
      <c r="C23" s="409"/>
      <c r="D23" s="408">
        <f>'C1. Skattekomplettering (2015)'!O79</f>
        <v>634140.83197454957</v>
      </c>
      <c r="E23" s="408">
        <f>'C2. Kostnadsutj. skola (2015)'!U69</f>
        <v>228987.2</v>
      </c>
      <c r="F23" s="326"/>
      <c r="G23" s="429">
        <f>'C3. Förslag, socialvård (2015)'!E173</f>
        <v>138004.16000000003</v>
      </c>
      <c r="H23" s="325"/>
      <c r="I23" s="408">
        <f>IF(Kontrollpanel!$K$37=2,'C4. Förslag, utjämning (2015)'!E209,'C. NYCKELMOD. UTJ (2015)'!E208)</f>
        <v>-73066.19634225691</v>
      </c>
      <c r="J23" s="325"/>
      <c r="K23" s="414">
        <f>'C5. Skärgårdstillägg (2015)'!T106</f>
        <v>308153.33458199998</v>
      </c>
      <c r="L23" s="428"/>
      <c r="M23" s="408"/>
      <c r="N23" s="748">
        <f>'C6. Övriga delar (2015)'!F135</f>
        <v>6876.6909300000007</v>
      </c>
      <c r="O23" s="409">
        <f t="shared" si="0"/>
        <v>1243096.0211442928</v>
      </c>
      <c r="P23" s="326"/>
      <c r="Q23" s="9"/>
      <c r="R23" s="408">
        <v>-175456.87674771401</v>
      </c>
      <c r="S23" s="408">
        <v>9512.9107032994507</v>
      </c>
    </row>
    <row r="24" spans="2:21" ht="16.5" thickBot="1" x14ac:dyDescent="0.3">
      <c r="B24" s="216" t="s">
        <v>23</v>
      </c>
      <c r="C24" s="409"/>
      <c r="D24" s="408">
        <f>'C1. Skattekomplettering (2015)'!O80</f>
        <v>0</v>
      </c>
      <c r="E24" s="408">
        <f>'C2. Kostnadsutj. skola (2015)'!V69</f>
        <v>601091.4</v>
      </c>
      <c r="F24" s="328"/>
      <c r="G24" s="429">
        <f>'C3. Förslag, socialvård (2015)'!E174</f>
        <v>2960559.2800000003</v>
      </c>
      <c r="H24" s="327"/>
      <c r="I24" s="408">
        <f>IF(Kontrollpanel!$K$37=2,'C4. Förslag, utjämning (2015)'!E210,'C. NYCKELMOD. UTJ (2015)'!E209)</f>
        <v>2154463.3098465772</v>
      </c>
      <c r="J24" s="327"/>
      <c r="K24" s="418"/>
      <c r="L24" s="419"/>
      <c r="M24" s="408"/>
      <c r="N24" s="748">
        <f>'C6. Övriga delar (2015)'!F136+'C6. Övriga delar (2015)'!G136</f>
        <v>270934.47537599999</v>
      </c>
      <c r="O24" s="410">
        <f t="shared" si="0"/>
        <v>5987048.4652225776</v>
      </c>
      <c r="P24" s="326"/>
      <c r="Q24" s="9"/>
      <c r="R24" s="408">
        <v>1722956.2709030369</v>
      </c>
      <c r="S24" s="408">
        <v>1229291.4658379322</v>
      </c>
    </row>
    <row r="25" spans="2:21" ht="16.5" thickBot="1" x14ac:dyDescent="0.3">
      <c r="B25" s="411" t="s">
        <v>81</v>
      </c>
      <c r="C25" s="414"/>
      <c r="D25" s="408">
        <f>'C1. Skattekomplettering (2015)'!O81</f>
        <v>15920647.261512017</v>
      </c>
      <c r="E25" s="408">
        <f>SUM(E9:E24)</f>
        <v>4622348.830000001</v>
      </c>
      <c r="F25" s="328"/>
      <c r="G25" s="412">
        <f>SUM(G9:G24)</f>
        <v>7752823.1200000001</v>
      </c>
      <c r="H25" s="327"/>
      <c r="I25" s="408">
        <f>IF(Kontrollpanel!$K$37=2,'C4. Förslag, utjämning (2015)'!E211,'C. NYCKELMOD. UTJ (2015)'!E210)</f>
        <v>2627565.2199999974</v>
      </c>
      <c r="J25" s="327"/>
      <c r="K25" s="414">
        <f>SUM(K23,K21,K16,K17,K12,K9)</f>
        <v>1686145.8128201</v>
      </c>
      <c r="L25" s="428"/>
      <c r="M25" s="681">
        <f>SUM(M9:M24)</f>
        <v>0</v>
      </c>
      <c r="N25" s="681">
        <f>SUM(N9:N24)</f>
        <v>532708.19781599997</v>
      </c>
      <c r="O25" s="412">
        <f>SUM(C25:N25)</f>
        <v>33142238.442148115</v>
      </c>
      <c r="P25" s="428"/>
      <c r="Q25" s="9"/>
      <c r="R25" s="1" t="s">
        <v>225</v>
      </c>
      <c r="S25" s="9"/>
      <c r="T25" s="9"/>
      <c r="U25" s="9"/>
    </row>
    <row r="26" spans="2:21" x14ac:dyDescent="0.2">
      <c r="D26" s="22">
        <f>SUM(D9:D24)</f>
        <v>15920647.261512017</v>
      </c>
      <c r="E26" s="1">
        <v>8004305</v>
      </c>
      <c r="G26" s="22">
        <v>13312843.040448004</v>
      </c>
      <c r="I26" s="22">
        <f>SUM(I9:I24)</f>
        <v>2627565.2199999974</v>
      </c>
      <c r="M26" s="9"/>
      <c r="N26" s="9"/>
      <c r="O26" s="9"/>
      <c r="P26" s="9"/>
      <c r="Q26" s="9"/>
      <c r="S26" s="9"/>
      <c r="T26" s="9"/>
      <c r="U26" s="9"/>
    </row>
    <row r="27" spans="2:21" ht="15.75" thickBot="1" x14ac:dyDescent="0.25">
      <c r="M27" s="9"/>
      <c r="N27" s="9"/>
      <c r="O27" s="9"/>
      <c r="P27" s="9"/>
      <c r="Q27" s="9"/>
      <c r="R27" s="9"/>
      <c r="S27" s="9"/>
      <c r="T27" s="9"/>
      <c r="U27" s="9"/>
    </row>
    <row r="28" spans="2:21" ht="15.75" x14ac:dyDescent="0.25">
      <c r="B28" s="348" t="s">
        <v>187</v>
      </c>
      <c r="C28" s="477" t="s">
        <v>218</v>
      </c>
      <c r="D28" s="478"/>
      <c r="E28" s="466" t="s">
        <v>230</v>
      </c>
      <c r="F28" s="466"/>
      <c r="G28" s="466"/>
      <c r="H28" s="473"/>
      <c r="I28" s="1423" t="s">
        <v>345</v>
      </c>
      <c r="J28" s="1423"/>
      <c r="K28" s="338" t="s">
        <v>219</v>
      </c>
      <c r="L28" s="340"/>
      <c r="M28" s="338" t="s">
        <v>219</v>
      </c>
      <c r="N28" s="415"/>
      <c r="O28" s="338" t="s">
        <v>219</v>
      </c>
      <c r="P28" s="340"/>
      <c r="Q28" s="6"/>
      <c r="R28" s="483"/>
      <c r="S28" s="9"/>
      <c r="T28" s="9"/>
      <c r="U28" s="9"/>
    </row>
    <row r="29" spans="2:21" ht="31.5" customHeight="1" thickBot="1" x14ac:dyDescent="0.3">
      <c r="B29" s="356" t="s">
        <v>572</v>
      </c>
      <c r="C29" s="458" t="s">
        <v>217</v>
      </c>
      <c r="D29" s="476"/>
      <c r="E29" s="423" t="s">
        <v>227</v>
      </c>
      <c r="F29" s="423" t="s">
        <v>228</v>
      </c>
      <c r="G29" s="423" t="s">
        <v>229</v>
      </c>
      <c r="H29" s="479" t="s">
        <v>81</v>
      </c>
      <c r="I29" s="1424"/>
      <c r="J29" s="1424"/>
      <c r="K29" s="343" t="s">
        <v>221</v>
      </c>
      <c r="L29" s="342"/>
      <c r="M29" s="343" t="s">
        <v>220</v>
      </c>
      <c r="N29" s="417"/>
      <c r="O29" s="343" t="s">
        <v>222</v>
      </c>
      <c r="P29" s="342"/>
      <c r="Q29" s="6"/>
      <c r="R29" s="487" t="s">
        <v>479</v>
      </c>
      <c r="S29" s="9"/>
      <c r="T29" s="9"/>
      <c r="U29" s="9"/>
    </row>
    <row r="30" spans="2:21" ht="15.75" x14ac:dyDescent="0.25">
      <c r="B30" s="456" t="s">
        <v>8</v>
      </c>
      <c r="C30" s="460">
        <f>O9</f>
        <v>1158709.4992299762</v>
      </c>
      <c r="D30" s="331"/>
      <c r="E30" s="464">
        <v>351676.10343388136</v>
      </c>
      <c r="F30" s="464">
        <v>501633.59155000007</v>
      </c>
      <c r="G30" s="464">
        <v>92349.320699999997</v>
      </c>
      <c r="H30" s="480">
        <f>SUM(E30:G30)</f>
        <v>945659.01568388147</v>
      </c>
      <c r="I30" s="480">
        <v>1184222.3584380953</v>
      </c>
      <c r="J30" s="480">
        <f>I30/R30</f>
        <v>2493.0997019749375</v>
      </c>
      <c r="K30" s="468">
        <f>C30-I30</f>
        <v>-25512.859208119102</v>
      </c>
      <c r="L30" s="415"/>
      <c r="M30" s="468">
        <f>(C30/R30)-(I30/R30)</f>
        <v>-53.711282543408743</v>
      </c>
      <c r="N30" s="415"/>
      <c r="O30" s="472">
        <f>C30/I30</f>
        <v>0.97845602303796331</v>
      </c>
      <c r="P30" s="340"/>
      <c r="Q30" s="456" t="s">
        <v>8</v>
      </c>
      <c r="R30" s="483">
        <v>475</v>
      </c>
      <c r="S30" s="9"/>
      <c r="T30" s="22"/>
    </row>
    <row r="31" spans="2:21" ht="15.75" x14ac:dyDescent="0.25">
      <c r="B31" s="456" t="s">
        <v>9</v>
      </c>
      <c r="C31" s="461">
        <f t="shared" ref="C31:C45" si="1">O10</f>
        <v>2048907.029493511</v>
      </c>
      <c r="D31" s="337"/>
      <c r="E31" s="459">
        <v>510312.60661329515</v>
      </c>
      <c r="F31" s="459">
        <v>974006.01124999986</v>
      </c>
      <c r="G31" s="459">
        <v>262890.80499999999</v>
      </c>
      <c r="H31" s="481">
        <f t="shared" ref="H31:H45" si="2">SUM(E31:G31)</f>
        <v>1747209.4228632951</v>
      </c>
      <c r="I31" s="481">
        <v>2260427.919352381</v>
      </c>
      <c r="J31" s="481">
        <f t="shared" ref="J31:J47" si="3">I31/R31</f>
        <v>2386.9355009000856</v>
      </c>
      <c r="K31" s="469">
        <f t="shared" ref="K31:K45" si="4">C31-I31</f>
        <v>-211520.88985887007</v>
      </c>
      <c r="L31" s="417"/>
      <c r="M31" s="469">
        <f t="shared" ref="M31:M45" si="5">(C31/R31)-(I31/R31)</f>
        <v>-223.35891220577605</v>
      </c>
      <c r="N31" s="417"/>
      <c r="O31" s="474">
        <f t="shared" ref="O31:O45" si="6">C31/I31</f>
        <v>0.9064244039599938</v>
      </c>
      <c r="P31" s="342"/>
      <c r="Q31" s="456" t="s">
        <v>9</v>
      </c>
      <c r="R31" s="484">
        <v>947</v>
      </c>
      <c r="S31" s="9"/>
    </row>
    <row r="32" spans="2:21" ht="15.75" x14ac:dyDescent="0.25">
      <c r="B32" s="456" t="s">
        <v>10</v>
      </c>
      <c r="C32" s="461">
        <f t="shared" si="1"/>
        <v>3783534.6847039587</v>
      </c>
      <c r="D32" s="337"/>
      <c r="E32" s="459">
        <v>1215576.0966518943</v>
      </c>
      <c r="F32" s="459">
        <v>1881224.0232499999</v>
      </c>
      <c r="G32" s="459">
        <v>266908.48599999998</v>
      </c>
      <c r="H32" s="481">
        <f t="shared" si="2"/>
        <v>3363708.6059018942</v>
      </c>
      <c r="I32" s="481">
        <v>3406138.4732000004</v>
      </c>
      <c r="J32" s="481">
        <f t="shared" si="3"/>
        <v>1351.6422512698414</v>
      </c>
      <c r="K32" s="469">
        <f t="shared" si="4"/>
        <v>377396.21150395833</v>
      </c>
      <c r="L32" s="417"/>
      <c r="M32" s="469">
        <f t="shared" si="5"/>
        <v>149.76040139045972</v>
      </c>
      <c r="N32" s="417"/>
      <c r="O32" s="474">
        <f t="shared" si="6"/>
        <v>1.1107988458112807</v>
      </c>
      <c r="P32" s="342"/>
      <c r="Q32" s="456" t="s">
        <v>10</v>
      </c>
      <c r="R32" s="484">
        <v>2520</v>
      </c>
      <c r="S32" s="9"/>
    </row>
    <row r="33" spans="2:19" ht="15.75" x14ac:dyDescent="0.25">
      <c r="B33" s="456" t="s">
        <v>11</v>
      </c>
      <c r="C33" s="461">
        <f t="shared" si="1"/>
        <v>1259900.7957045445</v>
      </c>
      <c r="D33" s="337"/>
      <c r="E33" s="459">
        <v>496933.62441744097</v>
      </c>
      <c r="F33" s="459">
        <v>651159.79110000003</v>
      </c>
      <c r="G33" s="459">
        <v>113401.2061</v>
      </c>
      <c r="H33" s="481">
        <f t="shared" si="2"/>
        <v>1261494.6216174411</v>
      </c>
      <c r="I33" s="481">
        <v>1543941.1730095239</v>
      </c>
      <c r="J33" s="481">
        <f t="shared" si="3"/>
        <v>2699.1978549117553</v>
      </c>
      <c r="K33" s="469">
        <f t="shared" si="4"/>
        <v>-284040.37730497937</v>
      </c>
      <c r="L33" s="417"/>
      <c r="M33" s="469">
        <f t="shared" si="5"/>
        <v>-496.57408619751641</v>
      </c>
      <c r="N33" s="417"/>
      <c r="O33" s="474">
        <f t="shared" si="6"/>
        <v>0.8160290156966834</v>
      </c>
      <c r="P33" s="342"/>
      <c r="Q33" s="456" t="s">
        <v>11</v>
      </c>
      <c r="R33" s="484">
        <v>572</v>
      </c>
      <c r="S33" s="9"/>
    </row>
    <row r="34" spans="2:19" ht="15.75" x14ac:dyDescent="0.25">
      <c r="B34" s="456" t="s">
        <v>12</v>
      </c>
      <c r="C34" s="461">
        <f t="shared" si="1"/>
        <v>1531301.5680215587</v>
      </c>
      <c r="D34" s="337"/>
      <c r="E34" s="459">
        <v>382256.63416726235</v>
      </c>
      <c r="F34" s="459">
        <v>540608.46385000006</v>
      </c>
      <c r="G34" s="459">
        <v>243550.7893</v>
      </c>
      <c r="H34" s="481">
        <f t="shared" si="2"/>
        <v>1166415.8873172624</v>
      </c>
      <c r="I34" s="481">
        <v>1763934.4789142858</v>
      </c>
      <c r="J34" s="481">
        <f t="shared" si="3"/>
        <v>3527.8689578285716</v>
      </c>
      <c r="K34" s="469">
        <f t="shared" si="4"/>
        <v>-232632.91089272709</v>
      </c>
      <c r="L34" s="417"/>
      <c r="M34" s="469">
        <f t="shared" si="5"/>
        <v>-465.26582178545414</v>
      </c>
      <c r="N34" s="417"/>
      <c r="O34" s="474">
        <f t="shared" si="6"/>
        <v>0.86811703400915763</v>
      </c>
      <c r="P34" s="342"/>
      <c r="Q34" s="456" t="s">
        <v>12</v>
      </c>
      <c r="R34" s="484">
        <v>500</v>
      </c>
      <c r="S34" s="9"/>
    </row>
    <row r="35" spans="2:19" ht="15.75" x14ac:dyDescent="0.25">
      <c r="B35" s="456" t="s">
        <v>13</v>
      </c>
      <c r="C35" s="461">
        <f t="shared" si="1"/>
        <v>2707884.0911874031</v>
      </c>
      <c r="D35" s="337"/>
      <c r="E35" s="459">
        <v>743966.9742480343</v>
      </c>
      <c r="F35" s="459">
        <v>1250051.29125</v>
      </c>
      <c r="G35" s="459">
        <v>128670.46124999999</v>
      </c>
      <c r="H35" s="481">
        <f t="shared" si="2"/>
        <v>2122688.7267480344</v>
      </c>
      <c r="I35" s="481">
        <v>2787042.1877904758</v>
      </c>
      <c r="J35" s="481">
        <f t="shared" si="3"/>
        <v>1809.7676544093999</v>
      </c>
      <c r="K35" s="469">
        <f t="shared" si="4"/>
        <v>-79158.096603072714</v>
      </c>
      <c r="L35" s="417"/>
      <c r="M35" s="469">
        <f t="shared" si="5"/>
        <v>-51.401361430566794</v>
      </c>
      <c r="N35" s="417"/>
      <c r="O35" s="474">
        <f t="shared" si="6"/>
        <v>0.9715978118487586</v>
      </c>
      <c r="P35" s="342"/>
      <c r="Q35" s="456" t="s">
        <v>13</v>
      </c>
      <c r="R35" s="484">
        <v>1540</v>
      </c>
      <c r="S35" s="9"/>
    </row>
    <row r="36" spans="2:19" ht="15.75" x14ac:dyDescent="0.25">
      <c r="B36" s="456" t="s">
        <v>14</v>
      </c>
      <c r="C36" s="461">
        <f t="shared" si="1"/>
        <v>4309291.8289629482</v>
      </c>
      <c r="D36" s="337"/>
      <c r="E36" s="459">
        <v>1889781.2351644028</v>
      </c>
      <c r="F36" s="459">
        <v>2447867.6255000001</v>
      </c>
      <c r="G36" s="459">
        <v>324068.14550000004</v>
      </c>
      <c r="H36" s="481">
        <f t="shared" si="2"/>
        <v>4661717.0061644027</v>
      </c>
      <c r="I36" s="481">
        <v>3887401.8332190467</v>
      </c>
      <c r="J36" s="481">
        <f t="shared" si="3"/>
        <v>878.70746682166521</v>
      </c>
      <c r="K36" s="469">
        <f t="shared" si="4"/>
        <v>421889.99574390147</v>
      </c>
      <c r="L36" s="417"/>
      <c r="M36" s="469">
        <f t="shared" si="5"/>
        <v>95.363923088585238</v>
      </c>
      <c r="N36" s="417"/>
      <c r="O36" s="474">
        <f t="shared" si="6"/>
        <v>1.108527498273711</v>
      </c>
      <c r="P36" s="342"/>
      <c r="Q36" s="456" t="s">
        <v>14</v>
      </c>
      <c r="R36" s="484">
        <v>4424</v>
      </c>
      <c r="S36" s="9"/>
    </row>
    <row r="37" spans="2:19" ht="15.75" x14ac:dyDescent="0.25">
      <c r="B37" s="456" t="s">
        <v>15</v>
      </c>
      <c r="C37" s="461">
        <f t="shared" si="1"/>
        <v>802549.70817267569</v>
      </c>
      <c r="D37" s="337"/>
      <c r="E37" s="459">
        <v>252289.37855039316</v>
      </c>
      <c r="F37" s="459">
        <v>423065.08334999997</v>
      </c>
      <c r="G37" s="459">
        <v>46779.00045</v>
      </c>
      <c r="H37" s="481">
        <f t="shared" si="2"/>
        <v>722133.46235039318</v>
      </c>
      <c r="I37" s="481">
        <v>853971.41803809535</v>
      </c>
      <c r="J37" s="481">
        <f t="shared" si="3"/>
        <v>2587.7921758730163</v>
      </c>
      <c r="K37" s="469">
        <f t="shared" si="4"/>
        <v>-51421.70986541966</v>
      </c>
      <c r="L37" s="417"/>
      <c r="M37" s="469">
        <f t="shared" si="5"/>
        <v>-155.82336322854462</v>
      </c>
      <c r="N37" s="417"/>
      <c r="O37" s="474">
        <f t="shared" si="6"/>
        <v>0.93978520969290125</v>
      </c>
      <c r="P37" s="342"/>
      <c r="Q37" s="456" t="s">
        <v>15</v>
      </c>
      <c r="R37" s="484">
        <v>330</v>
      </c>
      <c r="S37" s="9"/>
    </row>
    <row r="38" spans="2:19" ht="15.75" x14ac:dyDescent="0.25">
      <c r="B38" s="456" t="s">
        <v>16</v>
      </c>
      <c r="C38" s="461">
        <f t="shared" si="1"/>
        <v>691012.5151236637</v>
      </c>
      <c r="D38" s="337"/>
      <c r="E38" s="459">
        <v>229353.98050035737</v>
      </c>
      <c r="F38" s="459">
        <v>279920.13594999997</v>
      </c>
      <c r="G38" s="459">
        <v>16835</v>
      </c>
      <c r="H38" s="481">
        <f t="shared" si="2"/>
        <v>526109.11645035737</v>
      </c>
      <c r="I38" s="481">
        <v>663105.93859047629</v>
      </c>
      <c r="J38" s="481">
        <f t="shared" si="3"/>
        <v>2641.8563290457223</v>
      </c>
      <c r="K38" s="469">
        <f t="shared" si="4"/>
        <v>27906.576533187414</v>
      </c>
      <c r="L38" s="417"/>
      <c r="M38" s="469">
        <f t="shared" si="5"/>
        <v>111.18157981349577</v>
      </c>
      <c r="N38" s="417"/>
      <c r="O38" s="474">
        <f t="shared" si="6"/>
        <v>1.0420846427533235</v>
      </c>
      <c r="P38" s="342"/>
      <c r="Q38" s="456" t="s">
        <v>16</v>
      </c>
      <c r="R38" s="484">
        <v>251</v>
      </c>
      <c r="S38" s="9"/>
    </row>
    <row r="39" spans="2:19" ht="15.75" x14ac:dyDescent="0.25">
      <c r="B39" s="456" t="s">
        <v>17</v>
      </c>
      <c r="C39" s="461">
        <f t="shared" si="1"/>
        <v>2379771.8984957328</v>
      </c>
      <c r="D39" s="337"/>
      <c r="E39" s="459">
        <v>1182606.4619549678</v>
      </c>
      <c r="F39" s="459">
        <v>1332230.2650000001</v>
      </c>
      <c r="G39" s="459">
        <v>186782.7825</v>
      </c>
      <c r="H39" s="481">
        <f t="shared" si="2"/>
        <v>2701619.5094549679</v>
      </c>
      <c r="I39" s="481">
        <v>2780907.6710095243</v>
      </c>
      <c r="J39" s="481">
        <f t="shared" si="3"/>
        <v>1443.8772954358901</v>
      </c>
      <c r="K39" s="469">
        <f t="shared" si="4"/>
        <v>-401135.77251379145</v>
      </c>
      <c r="L39" s="417"/>
      <c r="M39" s="469">
        <f t="shared" si="5"/>
        <v>-208.27402518888448</v>
      </c>
      <c r="N39" s="417"/>
      <c r="O39" s="474">
        <f t="shared" si="6"/>
        <v>0.85575365313434826</v>
      </c>
      <c r="P39" s="342"/>
      <c r="Q39" s="456" t="s">
        <v>17</v>
      </c>
      <c r="R39" s="484">
        <v>1926</v>
      </c>
      <c r="S39" s="9"/>
    </row>
    <row r="40" spans="2:19" ht="15.75" x14ac:dyDescent="0.25">
      <c r="B40" s="456" t="s">
        <v>18</v>
      </c>
      <c r="C40" s="461">
        <f t="shared" si="1"/>
        <v>664675.34936846409</v>
      </c>
      <c r="D40" s="337"/>
      <c r="E40" s="459">
        <v>292426.32513795566</v>
      </c>
      <c r="F40" s="459">
        <v>344378.71549999993</v>
      </c>
      <c r="G40" s="459">
        <v>40353.750000000007</v>
      </c>
      <c r="H40" s="481">
        <f t="shared" si="2"/>
        <v>677158.79063795554</v>
      </c>
      <c r="I40" s="481">
        <v>643993.11442857143</v>
      </c>
      <c r="J40" s="481">
        <f t="shared" si="3"/>
        <v>1559.3053618125216</v>
      </c>
      <c r="K40" s="469">
        <f t="shared" si="4"/>
        <v>20682.23493989266</v>
      </c>
      <c r="L40" s="417"/>
      <c r="M40" s="469">
        <f t="shared" si="5"/>
        <v>50.07805070191921</v>
      </c>
      <c r="N40" s="417"/>
      <c r="O40" s="474">
        <f t="shared" si="6"/>
        <v>1.0321156150221333</v>
      </c>
      <c r="P40" s="342"/>
      <c r="Q40" s="456" t="s">
        <v>18</v>
      </c>
      <c r="R40" s="484">
        <v>413</v>
      </c>
      <c r="S40" s="9"/>
    </row>
    <row r="41" spans="2:19" ht="15.75" x14ac:dyDescent="0.25">
      <c r="B41" s="456" t="s">
        <v>19</v>
      </c>
      <c r="C41" s="461">
        <f t="shared" si="1"/>
        <v>2299885.8334182361</v>
      </c>
      <c r="D41" s="337"/>
      <c r="E41" s="459">
        <v>894480.5239513939</v>
      </c>
      <c r="F41" s="459">
        <v>1562005.93875</v>
      </c>
      <c r="G41" s="459">
        <v>148111.36875000002</v>
      </c>
      <c r="H41" s="481">
        <f t="shared" si="2"/>
        <v>2604597.8314513937</v>
      </c>
      <c r="I41" s="481">
        <v>2940182.2877142858</v>
      </c>
      <c r="J41" s="481">
        <f t="shared" si="3"/>
        <v>1621.7221664171461</v>
      </c>
      <c r="K41" s="469">
        <f t="shared" si="4"/>
        <v>-640296.45429604966</v>
      </c>
      <c r="L41" s="417"/>
      <c r="M41" s="469">
        <f t="shared" si="5"/>
        <v>-353.1695831748757</v>
      </c>
      <c r="N41" s="417"/>
      <c r="O41" s="474">
        <f t="shared" si="6"/>
        <v>0.78222559296014949</v>
      </c>
      <c r="P41" s="342"/>
      <c r="Q41" s="456" t="s">
        <v>19</v>
      </c>
      <c r="R41" s="484">
        <v>1813</v>
      </c>
      <c r="S41" s="9"/>
    </row>
    <row r="42" spans="2:19" ht="15.75" x14ac:dyDescent="0.25">
      <c r="B42" s="456" t="s">
        <v>20</v>
      </c>
      <c r="C42" s="461">
        <f t="shared" si="1"/>
        <v>181312.46232153935</v>
      </c>
      <c r="D42" s="337"/>
      <c r="E42" s="459">
        <v>61161.061466761974</v>
      </c>
      <c r="F42" s="459">
        <v>168358.78150000001</v>
      </c>
      <c r="G42" s="459">
        <v>0</v>
      </c>
      <c r="H42" s="481">
        <f t="shared" si="2"/>
        <v>229519.84296676199</v>
      </c>
      <c r="I42" s="481">
        <v>231250.28291428569</v>
      </c>
      <c r="J42" s="481">
        <f t="shared" si="3"/>
        <v>2312.5028291428571</v>
      </c>
      <c r="K42" s="469">
        <f t="shared" si="4"/>
        <v>-49937.820592746342</v>
      </c>
      <c r="L42" s="417"/>
      <c r="M42" s="469">
        <f t="shared" si="5"/>
        <v>-499.37820592746357</v>
      </c>
      <c r="N42" s="417"/>
      <c r="O42" s="474">
        <f t="shared" si="6"/>
        <v>0.78405293189952074</v>
      </c>
      <c r="P42" s="342"/>
      <c r="Q42" s="456" t="s">
        <v>20</v>
      </c>
      <c r="R42" s="484">
        <v>100</v>
      </c>
      <c r="S42" s="9"/>
    </row>
    <row r="43" spans="2:19" ht="15.75" x14ac:dyDescent="0.25">
      <c r="B43" s="456" t="s">
        <v>21</v>
      </c>
      <c r="C43" s="461">
        <f t="shared" si="1"/>
        <v>2093356.6915770338</v>
      </c>
      <c r="D43" s="337"/>
      <c r="E43" s="459">
        <v>590586.49978842027</v>
      </c>
      <c r="F43" s="459">
        <v>995075.96000000008</v>
      </c>
      <c r="G43" s="459">
        <v>313299.51100000006</v>
      </c>
      <c r="H43" s="481">
        <f t="shared" si="2"/>
        <v>1898961.9707884202</v>
      </c>
      <c r="I43" s="481">
        <v>2224415.4191999999</v>
      </c>
      <c r="J43" s="481">
        <f t="shared" si="3"/>
        <v>2161.7253830903787</v>
      </c>
      <c r="K43" s="469">
        <f t="shared" si="4"/>
        <v>-131058.72762296605</v>
      </c>
      <c r="L43" s="417"/>
      <c r="M43" s="469">
        <f t="shared" si="5"/>
        <v>-127.36513860346531</v>
      </c>
      <c r="N43" s="417"/>
      <c r="O43" s="474">
        <f t="shared" si="6"/>
        <v>0.94108172129552103</v>
      </c>
      <c r="P43" s="342"/>
      <c r="Q43" s="456" t="s">
        <v>21</v>
      </c>
      <c r="R43" s="484">
        <v>1029</v>
      </c>
      <c r="S43" s="9"/>
    </row>
    <row r="44" spans="2:19" ht="15.75" x14ac:dyDescent="0.25">
      <c r="B44" s="456" t="s">
        <v>22</v>
      </c>
      <c r="C44" s="461">
        <f t="shared" si="1"/>
        <v>1243096.0211442928</v>
      </c>
      <c r="D44" s="337"/>
      <c r="E44" s="459">
        <v>336385.83806719084</v>
      </c>
      <c r="F44" s="459">
        <v>539862.85990000004</v>
      </c>
      <c r="G44" s="459">
        <v>75099.902149999994</v>
      </c>
      <c r="H44" s="481">
        <f t="shared" si="2"/>
        <v>951348.60011719086</v>
      </c>
      <c r="I44" s="481">
        <v>1436928.0260000001</v>
      </c>
      <c r="J44" s="481">
        <f t="shared" si="3"/>
        <v>3318.5404757505776</v>
      </c>
      <c r="K44" s="469">
        <f t="shared" si="4"/>
        <v>-193832.00485570729</v>
      </c>
      <c r="L44" s="417"/>
      <c r="M44" s="469">
        <f t="shared" si="5"/>
        <v>-447.64897195313461</v>
      </c>
      <c r="N44" s="417"/>
      <c r="O44" s="474">
        <f t="shared" si="6"/>
        <v>0.86510667107295514</v>
      </c>
      <c r="P44" s="342"/>
      <c r="Q44" s="456" t="s">
        <v>22</v>
      </c>
      <c r="R44" s="484">
        <v>433</v>
      </c>
      <c r="S44" s="9"/>
    </row>
    <row r="45" spans="2:19" ht="16.5" thickBot="1" x14ac:dyDescent="0.3">
      <c r="B45" s="457" t="s">
        <v>23</v>
      </c>
      <c r="C45" s="462">
        <f t="shared" si="1"/>
        <v>5987048.4652225776</v>
      </c>
      <c r="D45" s="334"/>
      <c r="E45" s="465">
        <v>2064185.8245032167</v>
      </c>
      <c r="F45" s="465">
        <v>3527549.4961999995</v>
      </c>
      <c r="G45" s="465">
        <v>788625.27210000018</v>
      </c>
      <c r="H45" s="482">
        <f t="shared" si="2"/>
        <v>6380360.5928032156</v>
      </c>
      <c r="I45" s="482">
        <v>5945790.9233142864</v>
      </c>
      <c r="J45" s="482">
        <f t="shared" si="3"/>
        <v>521.88106059108986</v>
      </c>
      <c r="K45" s="470">
        <f t="shared" si="4"/>
        <v>41257.541908291169</v>
      </c>
      <c r="L45" s="416"/>
      <c r="M45" s="470">
        <f t="shared" si="5"/>
        <v>3.6213062326245335</v>
      </c>
      <c r="N45" s="416"/>
      <c r="O45" s="475">
        <f t="shared" si="6"/>
        <v>1.0069389493240528</v>
      </c>
      <c r="P45" s="341"/>
      <c r="Q45" s="457" t="s">
        <v>23</v>
      </c>
      <c r="R45" s="485">
        <v>11393</v>
      </c>
      <c r="S45" s="9"/>
    </row>
    <row r="46" spans="2:19" ht="16.5" thickBot="1" x14ac:dyDescent="0.3">
      <c r="B46" s="420"/>
      <c r="C46" s="424"/>
      <c r="D46" s="421"/>
      <c r="E46" s="421"/>
      <c r="F46" s="421"/>
      <c r="G46" s="421"/>
      <c r="H46" s="467"/>
      <c r="I46" s="467"/>
      <c r="J46" s="467"/>
      <c r="K46" s="222"/>
      <c r="L46" s="9"/>
      <c r="M46" s="489"/>
      <c r="N46" s="9"/>
      <c r="O46" s="490"/>
      <c r="P46" s="9"/>
      <c r="Q46" s="9"/>
      <c r="S46" s="9"/>
    </row>
    <row r="47" spans="2:19" ht="16.5" thickBot="1" x14ac:dyDescent="0.3">
      <c r="B47" s="353" t="s">
        <v>81</v>
      </c>
      <c r="C47" s="463">
        <f t="shared" ref="C47:H47" si="7">SUM(C30:C45)</f>
        <v>33142238.442148115</v>
      </c>
      <c r="D47" s="463">
        <f t="shared" si="7"/>
        <v>0</v>
      </c>
      <c r="E47" s="463">
        <f t="shared" si="7"/>
        <v>11493979.16861687</v>
      </c>
      <c r="F47" s="463">
        <f t="shared" si="7"/>
        <v>17418998.0339</v>
      </c>
      <c r="G47" s="463">
        <f t="shared" si="7"/>
        <v>3047725.8007999999</v>
      </c>
      <c r="H47" s="488">
        <f t="shared" si="7"/>
        <v>31960703.003316864</v>
      </c>
      <c r="I47" s="488">
        <v>34553653.505133338</v>
      </c>
      <c r="J47" s="488">
        <f t="shared" si="3"/>
        <v>1205.3880382729833</v>
      </c>
      <c r="K47" s="471">
        <f>C47-I47</f>
        <v>-1411415.0629852228</v>
      </c>
      <c r="L47" s="354"/>
      <c r="M47" s="470">
        <f>(C47/R47)-(I47/R47)</f>
        <v>-49.236554210047643</v>
      </c>
      <c r="N47" s="354"/>
      <c r="O47" s="475">
        <f>C47/I47</f>
        <v>0.95915294274813689</v>
      </c>
      <c r="P47" s="355"/>
      <c r="Q47" s="6"/>
      <c r="R47" s="486">
        <f>SUM(R30:R45)</f>
        <v>28666</v>
      </c>
      <c r="S47" s="9"/>
    </row>
    <row r="48" spans="2:19" x14ac:dyDescent="0.2">
      <c r="M48" s="9"/>
      <c r="N48" s="9"/>
      <c r="O48" s="9"/>
      <c r="P48" s="9"/>
      <c r="Q48" s="9"/>
      <c r="R48" s="9"/>
      <c r="S48" s="9"/>
    </row>
    <row r="49" spans="2:20" ht="15.75" thickBot="1" x14ac:dyDescent="0.25"/>
    <row r="50" spans="2:20" ht="15.75" x14ac:dyDescent="0.25">
      <c r="B50" s="348" t="s">
        <v>180</v>
      </c>
      <c r="C50" s="344" t="s">
        <v>181</v>
      </c>
      <c r="D50" s="345"/>
      <c r="E50" s="349" t="s">
        <v>182</v>
      </c>
      <c r="F50" s="350"/>
      <c r="G50" s="345" t="s">
        <v>183</v>
      </c>
      <c r="H50" s="345"/>
      <c r="I50" s="338" t="s">
        <v>180</v>
      </c>
      <c r="J50" s="340"/>
      <c r="K50" s="345" t="s">
        <v>350</v>
      </c>
      <c r="L50" s="345"/>
      <c r="M50" s="338" t="s">
        <v>184</v>
      </c>
      <c r="N50" s="340"/>
      <c r="O50" s="330" t="s">
        <v>185</v>
      </c>
      <c r="P50" s="693" t="s">
        <v>352</v>
      </c>
      <c r="Q50" s="338" t="s">
        <v>186</v>
      </c>
      <c r="R50" s="340"/>
      <c r="T50" s="9"/>
    </row>
    <row r="51" spans="2:20" ht="16.5" thickBot="1" x14ac:dyDescent="0.3">
      <c r="B51" s="704">
        <v>2015</v>
      </c>
      <c r="C51" s="689"/>
      <c r="D51" s="690"/>
      <c r="E51" s="351"/>
      <c r="F51" s="352"/>
      <c r="G51" s="346"/>
      <c r="H51" s="346"/>
      <c r="I51" s="339" t="s">
        <v>274</v>
      </c>
      <c r="J51" s="342" t="s">
        <v>275</v>
      </c>
      <c r="K51" s="346" t="s">
        <v>351</v>
      </c>
      <c r="L51" s="346"/>
      <c r="M51" s="339"/>
      <c r="N51" s="341"/>
      <c r="O51" s="336"/>
      <c r="P51" s="694"/>
      <c r="Q51" s="343"/>
      <c r="R51" s="342"/>
      <c r="T51" s="9"/>
    </row>
    <row r="52" spans="2:20" ht="15.75" x14ac:dyDescent="0.25">
      <c r="B52" s="456" t="s">
        <v>8</v>
      </c>
      <c r="C52" s="687">
        <f>C30</f>
        <v>1158709.4992299762</v>
      </c>
      <c r="D52" s="331"/>
      <c r="E52" s="687">
        <v>920000</v>
      </c>
      <c r="F52" s="698"/>
      <c r="G52" s="687">
        <v>1020000</v>
      </c>
      <c r="H52" s="331"/>
      <c r="I52" s="338"/>
      <c r="J52" s="701">
        <f>C52/SUM(E52+G52)</f>
        <v>0.59727293774741042</v>
      </c>
      <c r="K52" s="464">
        <v>2555000</v>
      </c>
      <c r="L52" s="698"/>
      <c r="M52" s="329"/>
      <c r="N52" s="330"/>
      <c r="O52" s="687">
        <f>'Data, inkomst- skkompl, kost'!U48*1000</f>
        <v>1536000</v>
      </c>
      <c r="P52" s="695">
        <f>C52/O52</f>
        <v>0.75436816356118241</v>
      </c>
      <c r="Q52" s="705">
        <f>(O52+C52)/K52</f>
        <v>1.054680821616429</v>
      </c>
      <c r="R52" s="340"/>
      <c r="T52" s="9"/>
    </row>
    <row r="53" spans="2:20" ht="15.75" x14ac:dyDescent="0.25">
      <c r="B53" s="456" t="s">
        <v>9</v>
      </c>
      <c r="C53" s="688">
        <f t="shared" ref="C53:C69" si="8">C31</f>
        <v>2048907.029493511</v>
      </c>
      <c r="D53" s="337"/>
      <c r="E53" s="688">
        <v>1317000</v>
      </c>
      <c r="F53" s="699"/>
      <c r="G53" s="688">
        <v>2566000</v>
      </c>
      <c r="H53" s="337"/>
      <c r="I53" s="343"/>
      <c r="J53" s="702">
        <f t="shared" ref="J53:J67" si="9">C53/SUM(E53+G53)</f>
        <v>0.52766083685127763</v>
      </c>
      <c r="K53" s="459">
        <v>4841000</v>
      </c>
      <c r="L53" s="699"/>
      <c r="M53" s="335"/>
      <c r="N53" s="336"/>
      <c r="O53" s="688">
        <f>'Data, inkomst- skkompl, kost'!U49*1000</f>
        <v>2643000</v>
      </c>
      <c r="P53" s="696">
        <f t="shared" ref="P53:P67" si="10">C53/O53</f>
        <v>0.77522021547238407</v>
      </c>
      <c r="Q53" s="706">
        <f t="shared" ref="Q53:Q69" si="11">(O53+C53)/K53</f>
        <v>0.96920203046757092</v>
      </c>
      <c r="R53" s="342"/>
      <c r="T53" s="9"/>
    </row>
    <row r="54" spans="2:20" ht="15.75" x14ac:dyDescent="0.25">
      <c r="B54" s="456" t="s">
        <v>10</v>
      </c>
      <c r="C54" s="688">
        <f t="shared" si="8"/>
        <v>3783534.6847039587</v>
      </c>
      <c r="D54" s="337"/>
      <c r="E54" s="688">
        <v>4395000</v>
      </c>
      <c r="F54" s="699"/>
      <c r="G54" s="688">
        <v>5880000</v>
      </c>
      <c r="H54" s="337"/>
      <c r="I54" s="343"/>
      <c r="J54" s="702">
        <f t="shared" si="9"/>
        <v>0.36822721992252638</v>
      </c>
      <c r="K54" s="459">
        <v>11224000</v>
      </c>
      <c r="L54" s="699"/>
      <c r="M54" s="335"/>
      <c r="N54" s="336"/>
      <c r="O54" s="688">
        <f>'Data, inkomst- skkompl, kost'!U50*1000</f>
        <v>8184000</v>
      </c>
      <c r="P54" s="696">
        <f t="shared" si="10"/>
        <v>0.46230873469012201</v>
      </c>
      <c r="Q54" s="706">
        <f t="shared" si="11"/>
        <v>1.0662450716949359</v>
      </c>
      <c r="R54" s="342"/>
      <c r="T54" s="9"/>
    </row>
    <row r="55" spans="2:20" ht="15.75" x14ac:dyDescent="0.25">
      <c r="B55" s="456" t="s">
        <v>11</v>
      </c>
      <c r="C55" s="688">
        <f t="shared" si="8"/>
        <v>1259900.7957045445</v>
      </c>
      <c r="D55" s="337"/>
      <c r="E55" s="688">
        <v>1143000</v>
      </c>
      <c r="F55" s="699"/>
      <c r="G55" s="688">
        <v>1509000</v>
      </c>
      <c r="H55" s="337"/>
      <c r="I55" s="343"/>
      <c r="J55" s="702">
        <f t="shared" si="9"/>
        <v>0.47507571482071814</v>
      </c>
      <c r="K55" s="459">
        <v>3152000</v>
      </c>
      <c r="L55" s="699"/>
      <c r="M55" s="335"/>
      <c r="N55" s="336"/>
      <c r="O55" s="688">
        <f>'Data, inkomst- skkompl, kost'!U51*1000</f>
        <v>1755000</v>
      </c>
      <c r="P55" s="696">
        <f t="shared" si="10"/>
        <v>0.71789219128464077</v>
      </c>
      <c r="Q55" s="706">
        <f t="shared" si="11"/>
        <v>0.9565040595509342</v>
      </c>
      <c r="R55" s="342"/>
      <c r="T55" s="9"/>
    </row>
    <row r="56" spans="2:20" ht="15.75" x14ac:dyDescent="0.25">
      <c r="B56" s="456" t="s">
        <v>12</v>
      </c>
      <c r="C56" s="688">
        <f t="shared" si="8"/>
        <v>1531301.5680215587</v>
      </c>
      <c r="D56" s="337"/>
      <c r="E56" s="688">
        <v>808000</v>
      </c>
      <c r="F56" s="699"/>
      <c r="G56" s="688">
        <v>1469000</v>
      </c>
      <c r="H56" s="337"/>
      <c r="I56" s="343"/>
      <c r="J56" s="702">
        <f t="shared" si="9"/>
        <v>0.67250837418601617</v>
      </c>
      <c r="K56" s="459">
        <v>2517000</v>
      </c>
      <c r="L56" s="699"/>
      <c r="M56" s="335"/>
      <c r="N56" s="336"/>
      <c r="O56" s="688">
        <f>'Data, inkomst- skkompl, kost'!U52*1000</f>
        <v>1083000</v>
      </c>
      <c r="P56" s="696">
        <f t="shared" si="10"/>
        <v>1.4139441994658899</v>
      </c>
      <c r="Q56" s="706">
        <f t="shared" si="11"/>
        <v>1.0386577544781719</v>
      </c>
      <c r="R56" s="342"/>
      <c r="T56" s="9"/>
    </row>
    <row r="57" spans="2:20" ht="15.75" x14ac:dyDescent="0.25">
      <c r="B57" s="456" t="s">
        <v>13</v>
      </c>
      <c r="C57" s="688">
        <f t="shared" si="8"/>
        <v>2707884.0911874031</v>
      </c>
      <c r="D57" s="337"/>
      <c r="E57" s="688">
        <v>2483000</v>
      </c>
      <c r="F57" s="699"/>
      <c r="G57" s="688">
        <v>3629000</v>
      </c>
      <c r="H57" s="337"/>
      <c r="I57" s="343"/>
      <c r="J57" s="702">
        <f t="shared" si="9"/>
        <v>0.44304386308694421</v>
      </c>
      <c r="K57" s="459">
        <v>6805000</v>
      </c>
      <c r="L57" s="699"/>
      <c r="M57" s="335"/>
      <c r="N57" s="336"/>
      <c r="O57" s="688">
        <f>'Data, inkomst- skkompl, kost'!U53*1000</f>
        <v>3898000</v>
      </c>
      <c r="P57" s="696">
        <f t="shared" si="10"/>
        <v>0.69468550312657851</v>
      </c>
      <c r="Q57" s="706">
        <f t="shared" si="11"/>
        <v>0.97073976358374758</v>
      </c>
      <c r="R57" s="342"/>
      <c r="T57" s="9"/>
    </row>
    <row r="58" spans="2:20" ht="15.75" x14ac:dyDescent="0.25">
      <c r="B58" s="456" t="s">
        <v>14</v>
      </c>
      <c r="C58" s="688">
        <f t="shared" si="8"/>
        <v>4309291.8289629482</v>
      </c>
      <c r="D58" s="337"/>
      <c r="E58" s="688">
        <v>6653000</v>
      </c>
      <c r="F58" s="699"/>
      <c r="G58" s="688">
        <v>9387000</v>
      </c>
      <c r="H58" s="337"/>
      <c r="I58" s="343"/>
      <c r="J58" s="702">
        <f t="shared" si="9"/>
        <v>0.26865909158123119</v>
      </c>
      <c r="K58" s="459">
        <v>17323000</v>
      </c>
      <c r="L58" s="699"/>
      <c r="M58" s="335"/>
      <c r="N58" s="336"/>
      <c r="O58" s="688">
        <f>'Data, inkomst- skkompl, kost'!U54*1000</f>
        <v>14291000</v>
      </c>
      <c r="P58" s="696">
        <f t="shared" si="10"/>
        <v>0.30153885864970598</v>
      </c>
      <c r="Q58" s="706">
        <f t="shared" si="11"/>
        <v>1.0737338699395571</v>
      </c>
      <c r="R58" s="342"/>
      <c r="T58" s="9"/>
    </row>
    <row r="59" spans="2:20" ht="15.75" x14ac:dyDescent="0.25">
      <c r="B59" s="456" t="s">
        <v>15</v>
      </c>
      <c r="C59" s="688">
        <f t="shared" si="8"/>
        <v>802549.70817267569</v>
      </c>
      <c r="D59" s="337"/>
      <c r="E59" s="688">
        <v>632000</v>
      </c>
      <c r="F59" s="699"/>
      <c r="G59" s="688">
        <v>898000</v>
      </c>
      <c r="H59" s="337"/>
      <c r="I59" s="343"/>
      <c r="J59" s="702">
        <f t="shared" si="9"/>
        <v>0.52454229292331744</v>
      </c>
      <c r="K59" s="459">
        <v>1911000</v>
      </c>
      <c r="L59" s="699"/>
      <c r="M59" s="335"/>
      <c r="N59" s="336"/>
      <c r="O59" s="688">
        <f>'Data, inkomst- skkompl, kost'!U55*1000</f>
        <v>1030000</v>
      </c>
      <c r="P59" s="696">
        <f t="shared" si="10"/>
        <v>0.77917447395405404</v>
      </c>
      <c r="Q59" s="706">
        <f t="shared" si="11"/>
        <v>0.95894804195325778</v>
      </c>
      <c r="R59" s="342"/>
      <c r="T59" s="9"/>
    </row>
    <row r="60" spans="2:20" ht="15.75" x14ac:dyDescent="0.25">
      <c r="B60" s="456" t="s">
        <v>16</v>
      </c>
      <c r="C60" s="688">
        <f t="shared" si="8"/>
        <v>691012.5151236637</v>
      </c>
      <c r="D60" s="337"/>
      <c r="E60" s="688">
        <v>558000</v>
      </c>
      <c r="F60" s="699"/>
      <c r="G60" s="688">
        <v>846000</v>
      </c>
      <c r="H60" s="337"/>
      <c r="I60" s="343"/>
      <c r="J60" s="702">
        <f t="shared" si="9"/>
        <v>0.49217415607098552</v>
      </c>
      <c r="K60" s="459">
        <v>1542000</v>
      </c>
      <c r="L60" s="699"/>
      <c r="M60" s="335"/>
      <c r="N60" s="336"/>
      <c r="O60" s="688">
        <f>'Data, inkomst- skkompl, kost'!U56*1000</f>
        <v>818000</v>
      </c>
      <c r="P60" s="696">
        <f t="shared" si="10"/>
        <v>0.84475857594579917</v>
      </c>
      <c r="Q60" s="706">
        <f t="shared" si="11"/>
        <v>0.9786073379530893</v>
      </c>
      <c r="R60" s="342"/>
      <c r="T60" s="9"/>
    </row>
    <row r="61" spans="2:20" ht="15.75" x14ac:dyDescent="0.25">
      <c r="B61" s="456" t="s">
        <v>17</v>
      </c>
      <c r="C61" s="688">
        <f t="shared" si="8"/>
        <v>2379771.8984957328</v>
      </c>
      <c r="D61" s="337"/>
      <c r="E61" s="688">
        <v>3750000</v>
      </c>
      <c r="F61" s="699"/>
      <c r="G61" s="688">
        <v>3720000</v>
      </c>
      <c r="H61" s="337"/>
      <c r="I61" s="343"/>
      <c r="J61" s="702">
        <f t="shared" si="9"/>
        <v>0.31857722871428817</v>
      </c>
      <c r="K61" s="459">
        <v>8575000</v>
      </c>
      <c r="L61" s="699"/>
      <c r="M61" s="335"/>
      <c r="N61" s="336"/>
      <c r="O61" s="688">
        <f>'Data, inkomst- skkompl, kost'!U57*1000</f>
        <v>5508000</v>
      </c>
      <c r="P61" s="696">
        <f t="shared" si="10"/>
        <v>0.4320573526680706</v>
      </c>
      <c r="Q61" s="706">
        <f t="shared" si="11"/>
        <v>0.91985678116568315</v>
      </c>
      <c r="R61" s="342"/>
      <c r="T61" s="9"/>
    </row>
    <row r="62" spans="2:20" ht="15.75" x14ac:dyDescent="0.25">
      <c r="B62" s="456" t="s">
        <v>18</v>
      </c>
      <c r="C62" s="688">
        <f t="shared" si="8"/>
        <v>664675.34936846409</v>
      </c>
      <c r="D62" s="337"/>
      <c r="E62" s="688">
        <v>874000</v>
      </c>
      <c r="F62" s="699"/>
      <c r="G62" s="688">
        <v>979000</v>
      </c>
      <c r="H62" s="337"/>
      <c r="I62" s="343"/>
      <c r="J62" s="702">
        <f t="shared" si="9"/>
        <v>0.35870229323716357</v>
      </c>
      <c r="K62" s="459">
        <v>2288000</v>
      </c>
      <c r="L62" s="699"/>
      <c r="M62" s="335"/>
      <c r="N62" s="336"/>
      <c r="O62" s="688">
        <f>'Data, inkomst- skkompl, kost'!U58*1000</f>
        <v>1376000</v>
      </c>
      <c r="P62" s="696">
        <f t="shared" si="10"/>
        <v>0.48304894576196516</v>
      </c>
      <c r="Q62" s="706">
        <f t="shared" si="11"/>
        <v>0.89190356178691621</v>
      </c>
      <c r="R62" s="342"/>
      <c r="T62" s="9"/>
    </row>
    <row r="63" spans="2:20" ht="15.75" x14ac:dyDescent="0.25">
      <c r="B63" s="456" t="s">
        <v>19</v>
      </c>
      <c r="C63" s="688">
        <f t="shared" si="8"/>
        <v>2299885.8334182361</v>
      </c>
      <c r="D63" s="337"/>
      <c r="E63" s="688">
        <v>2735000</v>
      </c>
      <c r="F63" s="699"/>
      <c r="G63" s="688">
        <v>3966000</v>
      </c>
      <c r="H63" s="337"/>
      <c r="I63" s="343"/>
      <c r="J63" s="702">
        <f t="shared" si="9"/>
        <v>0.34321531613464201</v>
      </c>
      <c r="K63" s="459">
        <v>7858000</v>
      </c>
      <c r="L63" s="699"/>
      <c r="M63" s="335"/>
      <c r="N63" s="336"/>
      <c r="O63" s="688">
        <f>'Data, inkomst- skkompl, kost'!U59*1000</f>
        <v>4999000</v>
      </c>
      <c r="P63" s="696">
        <f t="shared" si="10"/>
        <v>0.46006918051975115</v>
      </c>
      <c r="Q63" s="706">
        <f t="shared" si="11"/>
        <v>0.9288477772229875</v>
      </c>
      <c r="R63" s="342"/>
      <c r="T63" s="9"/>
    </row>
    <row r="64" spans="2:20" ht="15.75" x14ac:dyDescent="0.25">
      <c r="B64" s="456" t="s">
        <v>20</v>
      </c>
      <c r="C64" s="688">
        <f t="shared" si="8"/>
        <v>181312.46232153935</v>
      </c>
      <c r="D64" s="337"/>
      <c r="E64" s="688">
        <v>191000</v>
      </c>
      <c r="F64" s="699"/>
      <c r="G64" s="688">
        <v>313000</v>
      </c>
      <c r="H64" s="337"/>
      <c r="I64" s="343"/>
      <c r="J64" s="702">
        <f t="shared" si="9"/>
        <v>0.35974694905067334</v>
      </c>
      <c r="K64" s="459">
        <v>663000</v>
      </c>
      <c r="L64" s="699"/>
      <c r="M64" s="335"/>
      <c r="N64" s="336"/>
      <c r="O64" s="688">
        <f>'Data, inkomst- skkompl, kost'!U60*1000</f>
        <v>360000</v>
      </c>
      <c r="P64" s="696">
        <f t="shared" si="10"/>
        <v>0.50364572867094259</v>
      </c>
      <c r="Q64" s="706">
        <f t="shared" si="11"/>
        <v>0.81645921918784226</v>
      </c>
      <c r="R64" s="342"/>
      <c r="T64" s="9"/>
    </row>
    <row r="65" spans="2:20" ht="15.75" x14ac:dyDescent="0.25">
      <c r="B65" s="456" t="s">
        <v>21</v>
      </c>
      <c r="C65" s="688">
        <f t="shared" si="8"/>
        <v>2093356.6915770338</v>
      </c>
      <c r="D65" s="337"/>
      <c r="E65" s="688">
        <v>1607000</v>
      </c>
      <c r="F65" s="699"/>
      <c r="G65" s="688">
        <v>3143000</v>
      </c>
      <c r="H65" s="337"/>
      <c r="I65" s="343"/>
      <c r="J65" s="702">
        <f t="shared" si="9"/>
        <v>0.44070667191095447</v>
      </c>
      <c r="K65" s="459">
        <v>5377000</v>
      </c>
      <c r="L65" s="699"/>
      <c r="M65" s="335"/>
      <c r="N65" s="336"/>
      <c r="O65" s="688">
        <f>'Data, inkomst- skkompl, kost'!U61*1000</f>
        <v>3036000</v>
      </c>
      <c r="P65" s="696">
        <f t="shared" si="10"/>
        <v>0.68951142673815347</v>
      </c>
      <c r="Q65" s="706">
        <f t="shared" si="11"/>
        <v>0.95394396346978505</v>
      </c>
      <c r="R65" s="342"/>
      <c r="T65" s="9"/>
    </row>
    <row r="66" spans="2:20" ht="15.75" x14ac:dyDescent="0.25">
      <c r="B66" s="456" t="s">
        <v>22</v>
      </c>
      <c r="C66" s="688">
        <f t="shared" si="8"/>
        <v>1243096.0211442928</v>
      </c>
      <c r="D66" s="337"/>
      <c r="E66" s="688">
        <v>784000</v>
      </c>
      <c r="F66" s="699"/>
      <c r="G66" s="688">
        <v>1373000</v>
      </c>
      <c r="H66" s="337"/>
      <c r="I66" s="343"/>
      <c r="J66" s="702">
        <f t="shared" si="9"/>
        <v>0.57630784475859653</v>
      </c>
      <c r="K66" s="459">
        <v>2483000</v>
      </c>
      <c r="L66" s="699"/>
      <c r="M66" s="335"/>
      <c r="N66" s="336"/>
      <c r="O66" s="688">
        <f>'Data, inkomst- skkompl, kost'!U62*1000</f>
        <v>1019000</v>
      </c>
      <c r="P66" s="696">
        <f t="shared" si="10"/>
        <v>1.2199175869914551</v>
      </c>
      <c r="Q66" s="706">
        <f t="shared" si="11"/>
        <v>0.91103343582130192</v>
      </c>
      <c r="R66" s="342"/>
      <c r="T66" s="9"/>
    </row>
    <row r="67" spans="2:20" ht="16.5" thickBot="1" x14ac:dyDescent="0.3">
      <c r="B67" s="457" t="s">
        <v>23</v>
      </c>
      <c r="C67" s="691">
        <f t="shared" si="8"/>
        <v>5987048.4652225776</v>
      </c>
      <c r="D67" s="334"/>
      <c r="E67" s="691">
        <v>14497000</v>
      </c>
      <c r="F67" s="700"/>
      <c r="G67" s="691">
        <v>27636000</v>
      </c>
      <c r="H67" s="334"/>
      <c r="I67" s="339"/>
      <c r="J67" s="703">
        <f t="shared" si="9"/>
        <v>0.14209879346883861</v>
      </c>
      <c r="K67" s="465">
        <v>48463000</v>
      </c>
      <c r="L67" s="700"/>
      <c r="M67" s="332"/>
      <c r="N67" s="333"/>
      <c r="O67" s="691">
        <f>'Data, inkomst- skkompl, kost'!U63*1000</f>
        <v>40669000</v>
      </c>
      <c r="P67" s="697">
        <f t="shared" si="10"/>
        <v>0.14721405653501629</v>
      </c>
      <c r="Q67" s="707">
        <f t="shared" si="11"/>
        <v>0.96271482296231303</v>
      </c>
      <c r="R67" s="341"/>
      <c r="T67" s="9"/>
    </row>
    <row r="68" spans="2:20" ht="16.5" thickBot="1" x14ac:dyDescent="0.3">
      <c r="C68" s="36"/>
      <c r="Q68" s="6"/>
      <c r="T68" s="9"/>
    </row>
    <row r="69" spans="2:20" ht="16.5" thickBot="1" x14ac:dyDescent="0.3">
      <c r="B69" s="353" t="s">
        <v>81</v>
      </c>
      <c r="C69" s="692">
        <f t="shared" si="8"/>
        <v>33142238.442148115</v>
      </c>
      <c r="D69" s="354"/>
      <c r="E69" s="692">
        <f>SUM(E52:E67)</f>
        <v>43347000</v>
      </c>
      <c r="F69" s="354"/>
      <c r="G69" s="692">
        <f>SUM(G52:G67)</f>
        <v>68334000</v>
      </c>
      <c r="H69" s="354"/>
      <c r="I69" s="354"/>
      <c r="J69" s="354"/>
      <c r="K69" s="354">
        <f>SUM(K52:K67)</f>
        <v>127577000</v>
      </c>
      <c r="L69" s="354"/>
      <c r="M69" s="354"/>
      <c r="N69" s="354"/>
      <c r="O69" s="463">
        <f>'Data, inkomst- skkompl, kost'!U64*1000</f>
        <v>92205000</v>
      </c>
      <c r="P69" s="354"/>
      <c r="Q69" s="708">
        <f t="shared" si="11"/>
        <v>0.98252222925878585</v>
      </c>
      <c r="R69" s="355"/>
      <c r="T69" s="9"/>
    </row>
    <row r="70" spans="2:20" x14ac:dyDescent="0.2">
      <c r="O70" s="1" t="s">
        <v>349</v>
      </c>
      <c r="T70" s="9"/>
    </row>
  </sheetData>
  <mergeCells count="2">
    <mergeCell ref="I28:I29"/>
    <mergeCell ref="J28:J2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5" sqref="B35"/>
    </sheetView>
  </sheetViews>
  <sheetFormatPr defaultColWidth="8.88671875" defaultRowHeight="15" x14ac:dyDescent="0.2"/>
  <cols>
    <col min="1" max="16384" width="8.88671875" style="1"/>
  </cols>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109"/>
  <sheetViews>
    <sheetView topLeftCell="A55" zoomScale="85" zoomScaleNormal="85" workbookViewId="0">
      <selection activeCell="G55" sqref="G55"/>
    </sheetView>
  </sheetViews>
  <sheetFormatPr defaultColWidth="8.88671875" defaultRowHeight="15" x14ac:dyDescent="0.2"/>
  <cols>
    <col min="1" max="1" width="2.6640625" style="1" customWidth="1"/>
    <col min="2" max="4" width="16.44140625" style="1" customWidth="1"/>
    <col min="5" max="5" width="10.33203125" style="1" bestFit="1" customWidth="1"/>
    <col min="6" max="6" width="8.88671875" style="1"/>
    <col min="7" max="7" width="10.88671875" style="1" customWidth="1"/>
    <col min="8" max="8" width="8.88671875" style="1"/>
    <col min="9" max="9" width="9.5546875" style="1" customWidth="1"/>
    <col min="10" max="10" width="12.44140625" style="1" customWidth="1"/>
    <col min="11" max="11" width="8.88671875" style="1"/>
    <col min="12" max="12" width="8.33203125" style="1" customWidth="1"/>
    <col min="13" max="14" width="10.77734375" style="1" customWidth="1"/>
    <col min="15" max="15" width="13.109375" style="1" customWidth="1"/>
    <col min="16" max="16" width="12.5546875" style="1" customWidth="1"/>
    <col min="17" max="17" width="13.33203125" style="1" customWidth="1"/>
    <col min="18" max="18" width="10.5546875" style="1" customWidth="1"/>
    <col min="19" max="19" width="11.44140625" style="1" customWidth="1"/>
    <col min="20" max="20" width="11.6640625" style="1" customWidth="1"/>
    <col min="21" max="21" width="11.109375" style="1" customWidth="1"/>
    <col min="22" max="22" width="11" style="1" customWidth="1"/>
    <col min="23" max="23" width="12.77734375" style="1" customWidth="1"/>
    <col min="24" max="24" width="11.21875" style="1" customWidth="1"/>
    <col min="25" max="25" width="10.88671875" style="1" customWidth="1"/>
    <col min="26" max="26" width="10.21875" style="1" customWidth="1"/>
    <col min="27" max="27" width="13.44140625" style="1" customWidth="1"/>
    <col min="28" max="28" width="10.33203125" style="1" customWidth="1"/>
    <col min="29" max="30" width="8.88671875" style="1"/>
    <col min="31" max="31" width="10.5546875" style="1" customWidth="1"/>
    <col min="32" max="32" width="10.44140625" style="1" customWidth="1"/>
    <col min="33" max="33" width="10.88671875" style="1" customWidth="1"/>
    <col min="34" max="34" width="11.109375" style="1" customWidth="1"/>
    <col min="35" max="35" width="10" style="1" customWidth="1"/>
    <col min="36" max="36" width="11.6640625" style="1" customWidth="1"/>
    <col min="37" max="16384" width="8.88671875" style="1"/>
  </cols>
  <sheetData>
    <row r="2" spans="2:41" ht="15.75" x14ac:dyDescent="0.25">
      <c r="B2" s="23" t="s">
        <v>561</v>
      </c>
      <c r="C2" s="23"/>
      <c r="D2" s="23"/>
      <c r="E2" s="22"/>
      <c r="F2" s="22"/>
      <c r="G2" s="22"/>
      <c r="H2" s="22"/>
      <c r="I2" s="22"/>
      <c r="J2" s="36"/>
      <c r="K2" s="23" t="s">
        <v>560</v>
      </c>
      <c r="L2" s="22"/>
      <c r="M2" s="22"/>
      <c r="N2" s="22"/>
      <c r="O2" s="22"/>
      <c r="P2" s="22"/>
      <c r="Q2" s="22"/>
      <c r="R2" s="22"/>
    </row>
    <row r="3" spans="2:41" ht="15.75" thickBot="1" x14ac:dyDescent="0.25">
      <c r="E3" s="22"/>
      <c r="F3" s="22"/>
      <c r="G3" s="22"/>
      <c r="H3" s="22"/>
      <c r="I3" s="22"/>
      <c r="J3" s="36"/>
      <c r="L3" s="22"/>
      <c r="M3" s="22"/>
      <c r="N3" s="22"/>
      <c r="O3" s="22"/>
      <c r="P3" s="22"/>
      <c r="Q3" s="22"/>
      <c r="R3" s="22"/>
      <c r="W3" s="1" t="s">
        <v>391</v>
      </c>
      <c r="AD3" s="1" t="s">
        <v>449</v>
      </c>
      <c r="AE3" s="1" t="s">
        <v>338</v>
      </c>
      <c r="AI3" s="522"/>
      <c r="AJ3" s="522"/>
    </row>
    <row r="4" spans="2:41" ht="19.5" thickBot="1" x14ac:dyDescent="0.35">
      <c r="B4" s="493"/>
      <c r="C4" s="494"/>
      <c r="D4" s="494"/>
      <c r="E4" s="494">
        <v>2009</v>
      </c>
      <c r="F4" s="494">
        <v>2010</v>
      </c>
      <c r="G4" s="494">
        <v>2011</v>
      </c>
      <c r="H4" s="494">
        <v>2012</v>
      </c>
      <c r="I4" s="494">
        <v>2013</v>
      </c>
      <c r="J4" s="6"/>
      <c r="K4" s="435"/>
      <c r="L4" s="494"/>
      <c r="M4" s="494">
        <v>2009</v>
      </c>
      <c r="N4" s="494">
        <v>2010</v>
      </c>
      <c r="O4" s="494">
        <v>2011</v>
      </c>
      <c r="P4" s="494">
        <v>2012</v>
      </c>
      <c r="Q4" s="494">
        <v>2013</v>
      </c>
      <c r="R4" s="494"/>
      <c r="W4" s="493" t="s">
        <v>393</v>
      </c>
      <c r="X4" s="494">
        <v>2009</v>
      </c>
      <c r="Y4" s="494">
        <v>2010</v>
      </c>
      <c r="Z4" s="494">
        <v>2011</v>
      </c>
      <c r="AA4" s="494">
        <v>2012</v>
      </c>
      <c r="AB4" s="495">
        <v>2013</v>
      </c>
      <c r="AD4" s="603" t="s">
        <v>336</v>
      </c>
      <c r="AG4" s="604"/>
      <c r="AH4" s="604"/>
      <c r="AI4" s="604">
        <v>2008</v>
      </c>
      <c r="AJ4" s="604">
        <v>2009</v>
      </c>
      <c r="AK4" s="604">
        <v>2010</v>
      </c>
      <c r="AL4" s="604">
        <v>2011</v>
      </c>
      <c r="AM4" s="604">
        <v>2012</v>
      </c>
      <c r="AN4" s="604">
        <v>2013</v>
      </c>
      <c r="AO4" s="604">
        <v>2014</v>
      </c>
    </row>
    <row r="5" spans="2:41" ht="16.5" customHeight="1" x14ac:dyDescent="0.25">
      <c r="B5" s="496" t="s">
        <v>8</v>
      </c>
      <c r="C5" s="738"/>
      <c r="D5" s="738"/>
      <c r="E5" s="498">
        <v>8151</v>
      </c>
      <c r="F5" s="498">
        <v>8245</v>
      </c>
      <c r="G5" s="498">
        <v>8147</v>
      </c>
      <c r="H5" s="498">
        <v>8958</v>
      </c>
      <c r="I5" s="498">
        <v>9242</v>
      </c>
      <c r="J5" s="36"/>
      <c r="K5" s="496" t="s">
        <v>8</v>
      </c>
      <c r="L5" s="498"/>
      <c r="M5" s="498">
        <v>1385.67</v>
      </c>
      <c r="N5" s="498">
        <v>1401.65</v>
      </c>
      <c r="O5" s="498">
        <v>1384.99</v>
      </c>
      <c r="P5" s="498">
        <v>1522.86</v>
      </c>
      <c r="Q5" s="498">
        <v>1548.0350000000001</v>
      </c>
      <c r="R5" s="498"/>
      <c r="W5" s="496" t="s">
        <v>8</v>
      </c>
      <c r="X5" s="498">
        <v>81321.240000000005</v>
      </c>
      <c r="Y5" s="497">
        <v>102003.11</v>
      </c>
      <c r="Z5" s="497">
        <v>116183.19</v>
      </c>
      <c r="AA5" s="498">
        <v>82262.649999999994</v>
      </c>
      <c r="AB5" s="525">
        <v>76005.789999999994</v>
      </c>
      <c r="AD5" s="592" t="s">
        <v>8</v>
      </c>
      <c r="AI5" s="1">
        <v>518</v>
      </c>
      <c r="AJ5" s="1">
        <v>498</v>
      </c>
      <c r="AK5" s="1">
        <v>488</v>
      </c>
      <c r="AL5" s="620">
        <v>480</v>
      </c>
      <c r="AM5" s="620">
        <v>476</v>
      </c>
      <c r="AN5" s="620">
        <v>475</v>
      </c>
      <c r="AO5" s="625">
        <v>474</v>
      </c>
    </row>
    <row r="6" spans="2:41" ht="15.75" x14ac:dyDescent="0.25">
      <c r="B6" s="52" t="s">
        <v>9</v>
      </c>
      <c r="C6" s="6"/>
      <c r="D6" s="6"/>
      <c r="E6" s="36">
        <v>12531</v>
      </c>
      <c r="F6" s="36">
        <v>13671</v>
      </c>
      <c r="G6" s="36">
        <v>14677</v>
      </c>
      <c r="H6" s="36">
        <v>15284</v>
      </c>
      <c r="I6" s="36">
        <v>16160</v>
      </c>
      <c r="J6" s="36"/>
      <c r="K6" s="52" t="s">
        <v>9</v>
      </c>
      <c r="L6" s="36"/>
      <c r="M6" s="36">
        <v>2286.9074999999998</v>
      </c>
      <c r="N6" s="36">
        <v>2494.9575</v>
      </c>
      <c r="O6" s="36">
        <v>2641.86</v>
      </c>
      <c r="P6" s="36">
        <v>2751.12</v>
      </c>
      <c r="Q6" s="36">
        <v>2908.8</v>
      </c>
      <c r="R6" s="36"/>
      <c r="W6" s="52" t="s">
        <v>9</v>
      </c>
      <c r="X6" s="36">
        <v>211251.25</v>
      </c>
      <c r="Y6" s="502">
        <v>201892.09</v>
      </c>
      <c r="Z6" s="502">
        <v>91779.75</v>
      </c>
      <c r="AA6" s="36">
        <v>33160.93</v>
      </c>
      <c r="AB6" s="531">
        <v>30864.22</v>
      </c>
      <c r="AD6" s="562" t="s">
        <v>9</v>
      </c>
      <c r="AI6" s="1">
        <v>921</v>
      </c>
      <c r="AJ6" s="1">
        <v>924</v>
      </c>
      <c r="AK6" s="1">
        <v>943</v>
      </c>
      <c r="AL6" s="621">
        <v>978</v>
      </c>
      <c r="AM6" s="621">
        <v>960</v>
      </c>
      <c r="AN6" s="621">
        <v>947</v>
      </c>
      <c r="AO6" s="626">
        <v>932</v>
      </c>
    </row>
    <row r="7" spans="2:41" ht="15.75" x14ac:dyDescent="0.25">
      <c r="B7" s="52" t="s">
        <v>10</v>
      </c>
      <c r="C7" s="6"/>
      <c r="D7" s="6"/>
      <c r="E7" s="36">
        <v>38056</v>
      </c>
      <c r="F7" s="36">
        <v>40748</v>
      </c>
      <c r="G7" s="36">
        <v>42333</v>
      </c>
      <c r="H7" s="36">
        <v>43306</v>
      </c>
      <c r="I7" s="36">
        <v>46000</v>
      </c>
      <c r="J7" s="36"/>
      <c r="K7" s="52" t="s">
        <v>10</v>
      </c>
      <c r="L7" s="36"/>
      <c r="M7" s="36">
        <v>7420.92</v>
      </c>
      <c r="N7" s="36">
        <v>7945.86</v>
      </c>
      <c r="O7" s="36">
        <v>8254.9349999999995</v>
      </c>
      <c r="P7" s="36">
        <v>8444.67</v>
      </c>
      <c r="Q7" s="36">
        <v>8970</v>
      </c>
      <c r="R7" s="36"/>
      <c r="W7" s="52" t="s">
        <v>10</v>
      </c>
      <c r="X7" s="36">
        <v>225026.62</v>
      </c>
      <c r="Y7" s="502">
        <v>168202.21</v>
      </c>
      <c r="Z7" s="502">
        <v>118430.2</v>
      </c>
      <c r="AA7" s="36">
        <v>164328.98000000001</v>
      </c>
      <c r="AB7" s="531">
        <v>174074.21</v>
      </c>
      <c r="AD7" s="562" t="s">
        <v>10</v>
      </c>
      <c r="AI7" s="1">
        <v>2483</v>
      </c>
      <c r="AJ7" s="1">
        <v>2486</v>
      </c>
      <c r="AK7" s="1">
        <v>2502</v>
      </c>
      <c r="AL7" s="621">
        <v>2527</v>
      </c>
      <c r="AM7" s="621">
        <v>2531</v>
      </c>
      <c r="AN7" s="621">
        <v>2520</v>
      </c>
      <c r="AO7" s="626">
        <v>2534</v>
      </c>
    </row>
    <row r="8" spans="2:41" ht="15.75" x14ac:dyDescent="0.25">
      <c r="B8" s="52" t="s">
        <v>11</v>
      </c>
      <c r="C8" s="6"/>
      <c r="D8" s="6"/>
      <c r="E8" s="36">
        <v>8157</v>
      </c>
      <c r="F8" s="36">
        <v>8751</v>
      </c>
      <c r="G8" s="36">
        <v>9578</v>
      </c>
      <c r="H8" s="36">
        <v>9838</v>
      </c>
      <c r="I8" s="36">
        <v>10168</v>
      </c>
      <c r="J8" s="36"/>
      <c r="K8" s="52" t="s">
        <v>11</v>
      </c>
      <c r="L8" s="36"/>
      <c r="M8" s="36">
        <v>1386.69</v>
      </c>
      <c r="N8" s="36">
        <v>1487.67</v>
      </c>
      <c r="O8" s="36">
        <v>1652.2049999999999</v>
      </c>
      <c r="P8" s="36">
        <v>1697.0550000000001</v>
      </c>
      <c r="Q8" s="36">
        <v>1753.98</v>
      </c>
      <c r="R8" s="36"/>
      <c r="W8" s="52" t="s">
        <v>11</v>
      </c>
      <c r="X8" s="36">
        <v>230586.18</v>
      </c>
      <c r="Y8" s="502">
        <v>179764.1</v>
      </c>
      <c r="Z8" s="502">
        <v>107773.96</v>
      </c>
      <c r="AA8" s="36">
        <v>127690.03</v>
      </c>
      <c r="AB8" s="531">
        <v>147121.51999999999</v>
      </c>
      <c r="AD8" s="562" t="s">
        <v>11</v>
      </c>
      <c r="AI8" s="1">
        <v>576</v>
      </c>
      <c r="AJ8" s="1">
        <v>561</v>
      </c>
      <c r="AK8" s="1">
        <v>580</v>
      </c>
      <c r="AL8" s="621">
        <v>577</v>
      </c>
      <c r="AM8" s="621">
        <v>578</v>
      </c>
      <c r="AN8" s="621">
        <v>572</v>
      </c>
      <c r="AO8" s="626">
        <v>568</v>
      </c>
    </row>
    <row r="9" spans="2:41" ht="15.75" x14ac:dyDescent="0.25">
      <c r="B9" s="52" t="s">
        <v>12</v>
      </c>
      <c r="C9" s="6"/>
      <c r="D9" s="6"/>
      <c r="E9" s="36">
        <v>5629</v>
      </c>
      <c r="F9" s="36">
        <v>6221</v>
      </c>
      <c r="G9" s="36">
        <v>6915</v>
      </c>
      <c r="H9" s="36">
        <v>6970</v>
      </c>
      <c r="I9" s="36">
        <v>6978</v>
      </c>
      <c r="J9" s="36"/>
      <c r="K9" s="52" t="s">
        <v>12</v>
      </c>
      <c r="L9" s="36"/>
      <c r="M9" s="36">
        <v>1041.365</v>
      </c>
      <c r="N9" s="36">
        <v>1150.885</v>
      </c>
      <c r="O9" s="36">
        <v>1227.4124999999999</v>
      </c>
      <c r="P9" s="36">
        <v>1219.75</v>
      </c>
      <c r="Q9" s="36">
        <v>1221.1500000000001</v>
      </c>
      <c r="R9" s="36"/>
      <c r="W9" s="52" t="s">
        <v>12</v>
      </c>
      <c r="X9" s="36">
        <v>4833.5600000000004</v>
      </c>
      <c r="Y9" s="502">
        <v>8075.81</v>
      </c>
      <c r="Z9" s="502">
        <v>5729.07</v>
      </c>
      <c r="AA9" s="36">
        <v>3990.84</v>
      </c>
      <c r="AB9" s="531">
        <v>3528.61</v>
      </c>
      <c r="AD9" s="562" t="s">
        <v>12</v>
      </c>
      <c r="AI9" s="1">
        <v>456</v>
      </c>
      <c r="AJ9" s="1">
        <v>457</v>
      </c>
      <c r="AK9" s="1">
        <v>475</v>
      </c>
      <c r="AL9" s="621">
        <v>492</v>
      </c>
      <c r="AM9" s="621">
        <v>495</v>
      </c>
      <c r="AN9" s="621">
        <v>500</v>
      </c>
      <c r="AO9" s="626">
        <v>494</v>
      </c>
    </row>
    <row r="10" spans="2:41" ht="15.75" x14ac:dyDescent="0.25">
      <c r="B10" s="52" t="s">
        <v>13</v>
      </c>
      <c r="C10" s="6"/>
      <c r="D10" s="6"/>
      <c r="E10" s="36">
        <v>21527</v>
      </c>
      <c r="F10" s="36">
        <v>23664</v>
      </c>
      <c r="G10" s="36">
        <v>24971</v>
      </c>
      <c r="H10" s="36">
        <v>26103</v>
      </c>
      <c r="I10" s="36">
        <v>27141</v>
      </c>
      <c r="J10" s="36"/>
      <c r="K10" s="52" t="s">
        <v>13</v>
      </c>
      <c r="L10" s="36"/>
      <c r="M10" s="36">
        <v>3551.9549999999999</v>
      </c>
      <c r="N10" s="36">
        <v>3904.56</v>
      </c>
      <c r="O10" s="36">
        <v>4120.2150000000001</v>
      </c>
      <c r="P10" s="36">
        <v>4306.9949999999999</v>
      </c>
      <c r="Q10" s="36">
        <v>4478.2650000000003</v>
      </c>
      <c r="R10" s="36"/>
      <c r="W10" s="52" t="s">
        <v>13</v>
      </c>
      <c r="X10" s="36">
        <v>61258.53</v>
      </c>
      <c r="Y10" s="502">
        <v>59736.82</v>
      </c>
      <c r="Z10" s="502">
        <v>99653.75</v>
      </c>
      <c r="AA10" s="36">
        <v>93632.71</v>
      </c>
      <c r="AB10" s="531">
        <v>79555.42</v>
      </c>
      <c r="AD10" s="562" t="s">
        <v>13</v>
      </c>
      <c r="AI10" s="1">
        <v>1440</v>
      </c>
      <c r="AJ10" s="1">
        <v>1463</v>
      </c>
      <c r="AK10" s="1">
        <v>1508</v>
      </c>
      <c r="AL10" s="621">
        <v>1526</v>
      </c>
      <c r="AM10" s="621">
        <v>1522</v>
      </c>
      <c r="AN10" s="621">
        <v>1540</v>
      </c>
      <c r="AO10" s="626">
        <v>1532</v>
      </c>
    </row>
    <row r="11" spans="2:41" ht="15.75" x14ac:dyDescent="0.25">
      <c r="B11" s="52" t="s">
        <v>14</v>
      </c>
      <c r="C11" s="6"/>
      <c r="D11" s="6"/>
      <c r="E11" s="36">
        <v>64500</v>
      </c>
      <c r="F11" s="36">
        <v>71111</v>
      </c>
      <c r="G11" s="36">
        <v>76448</v>
      </c>
      <c r="H11" s="36">
        <v>81817</v>
      </c>
      <c r="I11" s="36">
        <v>88070</v>
      </c>
      <c r="J11" s="36"/>
      <c r="K11" s="52" t="s">
        <v>14</v>
      </c>
      <c r="L11" s="36"/>
      <c r="M11" s="36">
        <v>10965</v>
      </c>
      <c r="N11" s="36">
        <v>12088.87</v>
      </c>
      <c r="O11" s="36">
        <v>12996.16</v>
      </c>
      <c r="P11" s="36">
        <v>13908.89</v>
      </c>
      <c r="Q11" s="36">
        <v>14971.9</v>
      </c>
      <c r="R11" s="36"/>
      <c r="W11" s="52" t="s">
        <v>14</v>
      </c>
      <c r="X11" s="36">
        <v>640446.56000000006</v>
      </c>
      <c r="Y11" s="502">
        <v>681604.15</v>
      </c>
      <c r="Z11" s="502">
        <v>713716.77</v>
      </c>
      <c r="AA11" s="36">
        <v>591525.92000000004</v>
      </c>
      <c r="AB11" s="531">
        <v>633517.21</v>
      </c>
      <c r="AD11" s="562" t="s">
        <v>14</v>
      </c>
      <c r="AI11" s="1">
        <v>3917</v>
      </c>
      <c r="AJ11" s="1">
        <v>4022</v>
      </c>
      <c r="AK11" s="1">
        <v>4098</v>
      </c>
      <c r="AL11" s="621">
        <v>4249</v>
      </c>
      <c r="AM11" s="621">
        <v>4355</v>
      </c>
      <c r="AN11" s="621">
        <v>4424</v>
      </c>
      <c r="AO11" s="626">
        <v>4560</v>
      </c>
    </row>
    <row r="12" spans="2:41" ht="15.75" x14ac:dyDescent="0.25">
      <c r="B12" s="52" t="s">
        <v>15</v>
      </c>
      <c r="C12" s="6"/>
      <c r="D12" s="6"/>
      <c r="E12" s="36">
        <v>5990</v>
      </c>
      <c r="F12" s="36">
        <v>6398</v>
      </c>
      <c r="G12" s="36">
        <v>6261</v>
      </c>
      <c r="H12" s="36">
        <v>6430</v>
      </c>
      <c r="I12" s="36">
        <v>6422</v>
      </c>
      <c r="J12" s="36"/>
      <c r="K12" s="52" t="s">
        <v>15</v>
      </c>
      <c r="L12" s="36"/>
      <c r="M12" s="36">
        <v>1108.1500000000001</v>
      </c>
      <c r="N12" s="36">
        <v>1183.6300000000001</v>
      </c>
      <c r="O12" s="36">
        <v>1158.2850000000001</v>
      </c>
      <c r="P12" s="36">
        <v>1189.55</v>
      </c>
      <c r="Q12" s="36">
        <v>1188.07</v>
      </c>
      <c r="R12" s="36"/>
      <c r="W12" s="52" t="s">
        <v>15</v>
      </c>
      <c r="X12" s="36">
        <v>31256.57</v>
      </c>
      <c r="Y12" s="502">
        <v>24207.64</v>
      </c>
      <c r="Z12" s="502">
        <v>12490.93</v>
      </c>
      <c r="AA12" s="36">
        <v>6184.55</v>
      </c>
      <c r="AB12" s="531">
        <v>8182.98</v>
      </c>
      <c r="AD12" s="562" t="s">
        <v>15</v>
      </c>
      <c r="AI12" s="1">
        <v>360</v>
      </c>
      <c r="AJ12" s="1">
        <v>372</v>
      </c>
      <c r="AK12" s="1">
        <v>364</v>
      </c>
      <c r="AL12" s="621">
        <v>361</v>
      </c>
      <c r="AM12" s="621">
        <v>338</v>
      </c>
      <c r="AN12" s="621">
        <v>330</v>
      </c>
      <c r="AO12" s="626">
        <v>328</v>
      </c>
    </row>
    <row r="13" spans="2:41" ht="15.75" x14ac:dyDescent="0.25">
      <c r="B13" s="52" t="s">
        <v>16</v>
      </c>
      <c r="C13" s="6"/>
      <c r="D13" s="6"/>
      <c r="E13" s="36">
        <v>3695</v>
      </c>
      <c r="F13" s="36">
        <v>4212</v>
      </c>
      <c r="G13" s="36">
        <v>4305</v>
      </c>
      <c r="H13" s="36">
        <v>4532</v>
      </c>
      <c r="I13" s="36">
        <v>4548</v>
      </c>
      <c r="J13" s="36"/>
      <c r="K13" s="52" t="s">
        <v>16</v>
      </c>
      <c r="L13" s="36"/>
      <c r="M13" s="36">
        <v>683.57500000000005</v>
      </c>
      <c r="N13" s="36">
        <v>779.22</v>
      </c>
      <c r="O13" s="36">
        <v>796.42499999999995</v>
      </c>
      <c r="P13" s="36">
        <v>883.74</v>
      </c>
      <c r="Q13" s="36">
        <v>886.86</v>
      </c>
      <c r="R13" s="36"/>
      <c r="W13" s="52" t="s">
        <v>16</v>
      </c>
      <c r="X13" s="36">
        <v>6850.79</v>
      </c>
      <c r="Y13" s="502">
        <v>9196.25</v>
      </c>
      <c r="Z13" s="502">
        <v>9115.4500000000007</v>
      </c>
      <c r="AA13" s="36">
        <v>6836.75</v>
      </c>
      <c r="AB13" s="531">
        <v>7057.38</v>
      </c>
      <c r="AD13" s="562" t="s">
        <v>16</v>
      </c>
      <c r="AI13" s="1">
        <v>262</v>
      </c>
      <c r="AJ13" s="1">
        <v>261</v>
      </c>
      <c r="AK13" s="1">
        <v>259</v>
      </c>
      <c r="AL13" s="621">
        <v>249</v>
      </c>
      <c r="AM13" s="621">
        <v>245</v>
      </c>
      <c r="AN13" s="621">
        <v>251</v>
      </c>
      <c r="AO13" s="626">
        <v>253</v>
      </c>
    </row>
    <row r="14" spans="2:41" ht="15.75" x14ac:dyDescent="0.25">
      <c r="B14" s="52" t="s">
        <v>17</v>
      </c>
      <c r="C14" s="6"/>
      <c r="D14" s="6"/>
      <c r="E14" s="36">
        <v>29368</v>
      </c>
      <c r="F14" s="36">
        <v>32048</v>
      </c>
      <c r="G14" s="36">
        <v>34349</v>
      </c>
      <c r="H14" s="36">
        <v>35413</v>
      </c>
      <c r="I14" s="36">
        <v>38149</v>
      </c>
      <c r="J14" s="36"/>
      <c r="K14" s="52" t="s">
        <v>17</v>
      </c>
      <c r="L14" s="36"/>
      <c r="M14" s="36">
        <v>4845.72</v>
      </c>
      <c r="N14" s="36">
        <v>5287.92</v>
      </c>
      <c r="O14" s="36">
        <v>5667.585</v>
      </c>
      <c r="P14" s="36">
        <v>5754.6125000000002</v>
      </c>
      <c r="Q14" s="36">
        <v>6199.2124999999996</v>
      </c>
      <c r="R14" s="36"/>
      <c r="W14" s="52" t="s">
        <v>17</v>
      </c>
      <c r="X14" s="36">
        <v>72667.45</v>
      </c>
      <c r="Y14" s="502">
        <v>77975.37</v>
      </c>
      <c r="Z14" s="502">
        <v>65709.399999999994</v>
      </c>
      <c r="AA14" s="36">
        <v>32351.53</v>
      </c>
      <c r="AB14" s="531">
        <v>30052.1</v>
      </c>
      <c r="AD14" s="562" t="s">
        <v>17</v>
      </c>
      <c r="AI14" s="1">
        <v>1783</v>
      </c>
      <c r="AJ14" s="1">
        <v>1782</v>
      </c>
      <c r="AK14" s="1">
        <v>1814</v>
      </c>
      <c r="AL14" s="621">
        <v>1860</v>
      </c>
      <c r="AM14" s="621">
        <v>1883</v>
      </c>
      <c r="AN14" s="621">
        <v>1926</v>
      </c>
      <c r="AO14" s="626">
        <v>1943</v>
      </c>
    </row>
    <row r="15" spans="2:41" ht="15.75" x14ac:dyDescent="0.25">
      <c r="B15" s="52" t="s">
        <v>18</v>
      </c>
      <c r="C15" s="6"/>
      <c r="D15" s="6"/>
      <c r="E15" s="36">
        <v>6108</v>
      </c>
      <c r="F15" s="36">
        <v>6606</v>
      </c>
      <c r="G15" s="36">
        <v>7152</v>
      </c>
      <c r="H15" s="36">
        <v>7609</v>
      </c>
      <c r="I15" s="36">
        <v>7830</v>
      </c>
      <c r="J15" s="36"/>
      <c r="K15" s="52" t="s">
        <v>18</v>
      </c>
      <c r="L15" s="36"/>
      <c r="M15" s="36">
        <v>1129.98</v>
      </c>
      <c r="N15" s="36">
        <v>1222.1099999999999</v>
      </c>
      <c r="O15" s="36">
        <v>1323.12</v>
      </c>
      <c r="P15" s="36">
        <v>1407.665</v>
      </c>
      <c r="Q15" s="36">
        <v>1448.55</v>
      </c>
      <c r="R15" s="36"/>
      <c r="W15" s="52" t="s">
        <v>18</v>
      </c>
      <c r="X15" s="36">
        <v>51474.77</v>
      </c>
      <c r="Y15" s="502">
        <v>50376.36</v>
      </c>
      <c r="Z15" s="502">
        <v>39922.160000000003</v>
      </c>
      <c r="AA15" s="36">
        <v>31210.880000000001</v>
      </c>
      <c r="AB15" s="531">
        <v>31596.14</v>
      </c>
      <c r="AD15" s="562" t="s">
        <v>18</v>
      </c>
      <c r="AI15" s="1">
        <v>387</v>
      </c>
      <c r="AJ15" s="1">
        <v>391</v>
      </c>
      <c r="AK15" s="1">
        <v>394</v>
      </c>
      <c r="AL15" s="621">
        <v>399</v>
      </c>
      <c r="AM15" s="621">
        <v>392</v>
      </c>
      <c r="AN15" s="621">
        <v>413</v>
      </c>
      <c r="AO15" s="626">
        <v>418</v>
      </c>
    </row>
    <row r="16" spans="2:41" ht="15.75" x14ac:dyDescent="0.25">
      <c r="B16" s="52" t="s">
        <v>19</v>
      </c>
      <c r="C16" s="6"/>
      <c r="D16" s="6"/>
      <c r="E16" s="36">
        <v>26221</v>
      </c>
      <c r="F16" s="36">
        <v>28353</v>
      </c>
      <c r="G16" s="36">
        <v>30452</v>
      </c>
      <c r="H16" s="36">
        <v>31196</v>
      </c>
      <c r="I16" s="36">
        <v>32575</v>
      </c>
      <c r="J16" s="36"/>
      <c r="K16" s="52" t="s">
        <v>19</v>
      </c>
      <c r="L16" s="36"/>
      <c r="M16" s="36">
        <v>4326.4650000000001</v>
      </c>
      <c r="N16" s="36">
        <v>4607.3625000000002</v>
      </c>
      <c r="O16" s="36">
        <v>4948.45</v>
      </c>
      <c r="P16" s="36">
        <v>5069.3500000000004</v>
      </c>
      <c r="Q16" s="36">
        <v>5293.4375</v>
      </c>
      <c r="R16" s="36"/>
      <c r="W16" s="52" t="s">
        <v>19</v>
      </c>
      <c r="X16" s="36">
        <v>328500.18</v>
      </c>
      <c r="Y16" s="502">
        <v>487437.67</v>
      </c>
      <c r="Z16" s="502">
        <v>549176.93000000005</v>
      </c>
      <c r="AA16" s="36">
        <v>438529.56</v>
      </c>
      <c r="AB16" s="531">
        <v>430115.87</v>
      </c>
      <c r="AD16" s="562" t="s">
        <v>19</v>
      </c>
      <c r="AI16" s="1">
        <v>1753</v>
      </c>
      <c r="AJ16" s="1">
        <v>1792</v>
      </c>
      <c r="AK16" s="1">
        <v>1802</v>
      </c>
      <c r="AL16" s="621">
        <v>1810</v>
      </c>
      <c r="AM16" s="621">
        <v>1823</v>
      </c>
      <c r="AN16" s="621">
        <v>1813</v>
      </c>
      <c r="AO16" s="626">
        <v>1825</v>
      </c>
    </row>
    <row r="17" spans="2:41" ht="15.75" x14ac:dyDescent="0.25">
      <c r="B17" s="52" t="s">
        <v>20</v>
      </c>
      <c r="C17" s="6"/>
      <c r="D17" s="6"/>
      <c r="E17" s="36">
        <v>1793</v>
      </c>
      <c r="F17" s="36">
        <v>2013</v>
      </c>
      <c r="G17" s="36">
        <v>2088</v>
      </c>
      <c r="H17" s="36">
        <v>1852</v>
      </c>
      <c r="I17" s="36">
        <v>2000</v>
      </c>
      <c r="J17" s="36"/>
      <c r="K17" s="52" t="s">
        <v>20</v>
      </c>
      <c r="L17" s="36"/>
      <c r="M17" s="36">
        <v>313.77499999999998</v>
      </c>
      <c r="N17" s="36">
        <v>352.27499999999998</v>
      </c>
      <c r="O17" s="36">
        <v>375.84</v>
      </c>
      <c r="P17" s="36">
        <v>333.36</v>
      </c>
      <c r="Q17" s="36">
        <v>360</v>
      </c>
      <c r="R17" s="36"/>
      <c r="W17" s="52" t="s">
        <v>20</v>
      </c>
      <c r="X17" s="36">
        <v>1455.66</v>
      </c>
      <c r="Y17" s="502">
        <v>1226.75</v>
      </c>
      <c r="Z17" s="502">
        <v>4180.95</v>
      </c>
      <c r="AA17" s="36">
        <v>4992.46</v>
      </c>
      <c r="AB17" s="531">
        <v>5599.93</v>
      </c>
      <c r="AD17" s="562" t="s">
        <v>20</v>
      </c>
      <c r="AI17" s="1">
        <v>115</v>
      </c>
      <c r="AJ17" s="1">
        <v>125</v>
      </c>
      <c r="AK17" s="1">
        <v>119</v>
      </c>
      <c r="AL17" s="621">
        <v>103</v>
      </c>
      <c r="AM17" s="621">
        <v>101</v>
      </c>
      <c r="AN17" s="621">
        <v>100</v>
      </c>
      <c r="AO17" s="626">
        <v>101</v>
      </c>
    </row>
    <row r="18" spans="2:41" ht="15.75" x14ac:dyDescent="0.25">
      <c r="B18" s="52" t="s">
        <v>21</v>
      </c>
      <c r="C18" s="6"/>
      <c r="D18" s="6"/>
      <c r="E18" s="36">
        <v>15507</v>
      </c>
      <c r="F18" s="36">
        <v>16504</v>
      </c>
      <c r="G18" s="36">
        <v>17138</v>
      </c>
      <c r="H18" s="36">
        <v>17313</v>
      </c>
      <c r="I18" s="36">
        <v>18852</v>
      </c>
      <c r="J18" s="36"/>
      <c r="K18" s="52" t="s">
        <v>21</v>
      </c>
      <c r="L18" s="36"/>
      <c r="M18" s="36">
        <v>2868.7950000000001</v>
      </c>
      <c r="N18" s="36">
        <v>3053.24</v>
      </c>
      <c r="O18" s="36">
        <v>3170.53</v>
      </c>
      <c r="P18" s="36">
        <v>3289.47</v>
      </c>
      <c r="Q18" s="36">
        <v>3581.88</v>
      </c>
      <c r="R18" s="36"/>
      <c r="W18" s="52" t="s">
        <v>21</v>
      </c>
      <c r="X18" s="36">
        <v>12805.48</v>
      </c>
      <c r="Y18" s="502">
        <v>8951.25</v>
      </c>
      <c r="Z18" s="502">
        <v>9650.2999999999993</v>
      </c>
      <c r="AA18" s="36">
        <v>10117.56</v>
      </c>
      <c r="AB18" s="531">
        <v>12099.48</v>
      </c>
      <c r="AD18" s="562" t="s">
        <v>21</v>
      </c>
      <c r="AI18" s="1">
        <v>1031</v>
      </c>
      <c r="AJ18" s="1">
        <v>1032</v>
      </c>
      <c r="AK18" s="1">
        <v>1019</v>
      </c>
      <c r="AL18" s="621">
        <v>1032</v>
      </c>
      <c r="AM18" s="621">
        <v>1035</v>
      </c>
      <c r="AN18" s="621">
        <v>1029</v>
      </c>
      <c r="AO18" s="626">
        <v>1035</v>
      </c>
    </row>
    <row r="19" spans="2:41" ht="15.75" x14ac:dyDescent="0.25">
      <c r="B19" s="52" t="s">
        <v>22</v>
      </c>
      <c r="C19" s="6"/>
      <c r="D19" s="6"/>
      <c r="E19" s="36">
        <v>5777</v>
      </c>
      <c r="F19" s="36">
        <v>6371</v>
      </c>
      <c r="G19" s="36">
        <v>6709</v>
      </c>
      <c r="H19" s="36">
        <v>6603</v>
      </c>
      <c r="I19" s="36">
        <v>6947</v>
      </c>
      <c r="J19" s="36"/>
      <c r="K19" s="52" t="s">
        <v>22</v>
      </c>
      <c r="L19" s="36"/>
      <c r="M19" s="36">
        <v>1010.975</v>
      </c>
      <c r="N19" s="36">
        <v>1114.925</v>
      </c>
      <c r="O19" s="36">
        <v>1174.075</v>
      </c>
      <c r="P19" s="36">
        <v>1188.54</v>
      </c>
      <c r="Q19" s="36">
        <v>1250.46</v>
      </c>
      <c r="R19" s="36"/>
      <c r="W19" s="52" t="s">
        <v>22</v>
      </c>
      <c r="X19" s="36">
        <v>6135.26</v>
      </c>
      <c r="Y19" s="502">
        <v>4266.38</v>
      </c>
      <c r="Z19" s="502">
        <v>4220.3900000000003</v>
      </c>
      <c r="AA19" s="36">
        <v>3964.83</v>
      </c>
      <c r="AB19" s="531">
        <v>5026.93</v>
      </c>
      <c r="AD19" s="562" t="s">
        <v>22</v>
      </c>
      <c r="AI19" s="1">
        <v>449</v>
      </c>
      <c r="AJ19" s="1">
        <v>445</v>
      </c>
      <c r="AK19" s="1">
        <v>452</v>
      </c>
      <c r="AL19" s="621">
        <v>449</v>
      </c>
      <c r="AM19" s="621">
        <v>422</v>
      </c>
      <c r="AN19" s="621">
        <v>433</v>
      </c>
      <c r="AO19" s="626">
        <v>439</v>
      </c>
    </row>
    <row r="20" spans="2:41" ht="16.5" thickBot="1" x14ac:dyDescent="0.3">
      <c r="B20" s="504" t="s">
        <v>23</v>
      </c>
      <c r="C20" s="282"/>
      <c r="D20" s="282"/>
      <c r="E20" s="506">
        <v>210939</v>
      </c>
      <c r="F20" s="506">
        <v>224602</v>
      </c>
      <c r="G20" s="506">
        <v>234491</v>
      </c>
      <c r="H20" s="506">
        <v>242628</v>
      </c>
      <c r="I20" s="506">
        <v>253690</v>
      </c>
      <c r="J20" s="36"/>
      <c r="K20" s="504" t="s">
        <v>23</v>
      </c>
      <c r="L20" s="506"/>
      <c r="M20" s="506">
        <v>34804.934999999998</v>
      </c>
      <c r="N20" s="506">
        <v>37059.33</v>
      </c>
      <c r="O20" s="506">
        <v>38691.014999999999</v>
      </c>
      <c r="P20" s="506">
        <v>40033.620000000003</v>
      </c>
      <c r="Q20" s="506">
        <v>41858.85</v>
      </c>
      <c r="R20" s="506"/>
      <c r="W20" s="504" t="s">
        <v>23</v>
      </c>
      <c r="X20" s="36">
        <v>9804634.3300000001</v>
      </c>
      <c r="Y20" s="502">
        <v>8985874.8000000007</v>
      </c>
      <c r="Z20" s="502">
        <v>7442181.0700000003</v>
      </c>
      <c r="AA20" s="36">
        <v>4228020.12</v>
      </c>
      <c r="AB20" s="531">
        <v>3962625.54</v>
      </c>
      <c r="AD20" s="593" t="s">
        <v>23</v>
      </c>
      <c r="AI20" s="1">
        <v>11005</v>
      </c>
      <c r="AJ20" s="1">
        <v>11123</v>
      </c>
      <c r="AK20" s="1">
        <v>11190</v>
      </c>
      <c r="AL20" s="622">
        <v>11263</v>
      </c>
      <c r="AM20" s="622">
        <v>11346</v>
      </c>
      <c r="AN20" s="622">
        <v>11393</v>
      </c>
      <c r="AO20" s="627">
        <v>11480</v>
      </c>
    </row>
    <row r="21" spans="2:41" ht="19.5" thickBot="1" x14ac:dyDescent="0.35">
      <c r="B21" s="493" t="s">
        <v>81</v>
      </c>
      <c r="C21" s="494"/>
      <c r="D21" s="494"/>
      <c r="E21" s="511">
        <v>463949</v>
      </c>
      <c r="F21" s="511">
        <v>499518</v>
      </c>
      <c r="G21" s="511">
        <v>526014</v>
      </c>
      <c r="H21" s="511">
        <v>545852</v>
      </c>
      <c r="I21" s="511">
        <v>574772</v>
      </c>
      <c r="J21" s="222"/>
      <c r="K21" s="435" t="s">
        <v>81</v>
      </c>
      <c r="L21" s="511"/>
      <c r="M21" s="511">
        <v>79130.877499999988</v>
      </c>
      <c r="N21" s="511">
        <v>85134.465000000011</v>
      </c>
      <c r="O21" s="511">
        <v>89583.102499999994</v>
      </c>
      <c r="P21" s="511">
        <v>93001.247499999998</v>
      </c>
      <c r="Q21" s="511">
        <v>97919.450000000012</v>
      </c>
      <c r="R21" s="511"/>
      <c r="W21" s="493" t="s">
        <v>247</v>
      </c>
      <c r="X21" s="511">
        <v>11770504.43</v>
      </c>
      <c r="Y21" s="510">
        <v>11050790.76</v>
      </c>
      <c r="Z21" s="510">
        <v>9389914.2699999996</v>
      </c>
      <c r="AA21" s="511">
        <v>5858800.3000000007</v>
      </c>
      <c r="AB21" s="539">
        <v>5637023.3300000001</v>
      </c>
      <c r="AD21" s="594" t="s">
        <v>24</v>
      </c>
      <c r="AI21" s="623">
        <v>27456</v>
      </c>
      <c r="AJ21" s="623">
        <v>27734</v>
      </c>
      <c r="AK21" s="623">
        <v>28007</v>
      </c>
      <c r="AL21" s="623">
        <v>28355</v>
      </c>
      <c r="AM21" s="623">
        <v>28502</v>
      </c>
      <c r="AN21" s="623">
        <v>28666</v>
      </c>
      <c r="AO21" s="624">
        <v>28916</v>
      </c>
    </row>
    <row r="22" spans="2:41" ht="15.75" x14ac:dyDescent="0.25">
      <c r="B22" s="6"/>
      <c r="C22" s="6"/>
      <c r="D22" s="6"/>
      <c r="E22" s="222"/>
      <c r="F22" s="222"/>
      <c r="G22" s="222"/>
      <c r="H22" s="222"/>
      <c r="I22" s="222"/>
      <c r="J22" s="222"/>
      <c r="K22" s="6"/>
      <c r="L22" s="222"/>
      <c r="M22" s="222"/>
      <c r="N22" s="222"/>
      <c r="O22" s="222"/>
      <c r="P22" s="222"/>
      <c r="Q22" s="222"/>
      <c r="R22" s="222"/>
    </row>
    <row r="23" spans="2:41" x14ac:dyDescent="0.2">
      <c r="B23" s="1" t="s">
        <v>456</v>
      </c>
      <c r="I23" s="986"/>
      <c r="K23" s="815"/>
      <c r="L23" s="815"/>
      <c r="M23" s="815"/>
      <c r="N23" s="517"/>
      <c r="O23" s="218"/>
      <c r="P23" s="218"/>
    </row>
    <row r="24" spans="2:41" ht="15.75" thickBot="1" x14ac:dyDescent="0.25">
      <c r="B24" s="1" t="s">
        <v>471</v>
      </c>
      <c r="S24" s="1" t="s">
        <v>455</v>
      </c>
      <c r="U24" s="1" t="s">
        <v>398</v>
      </c>
      <c r="W24" s="1" t="s">
        <v>787</v>
      </c>
      <c r="AE24" s="1" t="s">
        <v>397</v>
      </c>
    </row>
    <row r="25" spans="2:41" ht="16.5" thickBot="1" x14ac:dyDescent="0.3">
      <c r="B25" s="493" t="s">
        <v>243</v>
      </c>
      <c r="C25" s="493">
        <v>2009</v>
      </c>
      <c r="D25" s="493">
        <v>2010</v>
      </c>
      <c r="E25" s="493">
        <v>2011</v>
      </c>
      <c r="F25" s="494">
        <v>2012</v>
      </c>
      <c r="G25" s="495">
        <v>2013</v>
      </c>
      <c r="H25" s="496" t="s">
        <v>244</v>
      </c>
      <c r="J25" s="493" t="s">
        <v>246</v>
      </c>
      <c r="K25" s="493">
        <v>2009</v>
      </c>
      <c r="L25" s="493">
        <v>2010</v>
      </c>
      <c r="M25" s="493">
        <v>2011</v>
      </c>
      <c r="N25" s="494">
        <v>2012</v>
      </c>
      <c r="O25" s="495">
        <v>2013</v>
      </c>
      <c r="P25" s="496" t="s">
        <v>244</v>
      </c>
      <c r="S25" s="435" t="s">
        <v>377</v>
      </c>
      <c r="U25" s="435" t="s">
        <v>392</v>
      </c>
      <c r="W25" s="493" t="s">
        <v>393</v>
      </c>
      <c r="X25" s="494">
        <v>2009</v>
      </c>
      <c r="Y25" s="494">
        <v>2010</v>
      </c>
      <c r="Z25" s="494">
        <v>2011</v>
      </c>
      <c r="AA25" s="494">
        <v>2012</v>
      </c>
      <c r="AB25" s="495">
        <v>2013</v>
      </c>
      <c r="AE25" s="592">
        <v>2009</v>
      </c>
      <c r="AF25" s="592">
        <v>2010</v>
      </c>
      <c r="AG25" s="592">
        <v>2011</v>
      </c>
      <c r="AH25" s="738">
        <v>2012</v>
      </c>
      <c r="AI25" s="4">
        <v>2013</v>
      </c>
      <c r="AJ25" s="496" t="s">
        <v>394</v>
      </c>
    </row>
    <row r="26" spans="2:41" ht="16.5" thickBot="1" x14ac:dyDescent="0.3">
      <c r="B26" s="496" t="s">
        <v>8</v>
      </c>
      <c r="C26" s="497">
        <v>13959.140018169432</v>
      </c>
      <c r="D26" s="498">
        <v>14613.715922513582</v>
      </c>
      <c r="E26" s="497">
        <v>14440.050385728064</v>
      </c>
      <c r="F26" s="498">
        <v>16289.063235294119</v>
      </c>
      <c r="G26" s="525">
        <v>16717.083155650318</v>
      </c>
      <c r="H26" s="526">
        <f>AVERAGE(C26:G26)</f>
        <v>15203.810543471103</v>
      </c>
      <c r="J26" s="496" t="s">
        <v>8</v>
      </c>
      <c r="K26" s="1">
        <v>0.17</v>
      </c>
      <c r="L26" s="1">
        <v>0.17</v>
      </c>
      <c r="M26" s="811">
        <v>0.17</v>
      </c>
      <c r="N26" s="812">
        <v>0.17</v>
      </c>
      <c r="O26" s="812">
        <v>0.16750000000000001</v>
      </c>
      <c r="P26" s="829">
        <f>AVERAGE(K26:O26)</f>
        <v>0.16950000000000001</v>
      </c>
      <c r="S26" s="496">
        <v>475</v>
      </c>
      <c r="U26" s="563">
        <f>AJ26</f>
        <v>1092.9663048169537</v>
      </c>
      <c r="W26" s="496" t="s">
        <v>8</v>
      </c>
      <c r="X26" s="498">
        <f>X5/AI5</f>
        <v>156.99081081081081</v>
      </c>
      <c r="Y26" s="498">
        <f t="shared" ref="Y26:AB41" si="0">Y5/AJ5</f>
        <v>204.82552208835341</v>
      </c>
      <c r="Z26" s="498">
        <f t="shared" si="0"/>
        <v>238.08030737704919</v>
      </c>
      <c r="AA26" s="498">
        <f t="shared" si="0"/>
        <v>171.38052083333332</v>
      </c>
      <c r="AB26" s="498">
        <f t="shared" si="0"/>
        <v>159.67602941176469</v>
      </c>
      <c r="AE26" s="497">
        <f>X26/$K$42</f>
        <v>920.66715646038142</v>
      </c>
      <c r="AF26" s="498">
        <f>Y26/$L$42</f>
        <v>1202.1823116263706</v>
      </c>
      <c r="AG26" s="498">
        <f t="shared" ref="AG26:AG42" si="1">Z26/$M$42</f>
        <v>1398.0344946709474</v>
      </c>
      <c r="AH26" s="498">
        <f t="shared" ref="AH26:AH42" si="2">AA26/$N$42</f>
        <v>1006.3448081816401</v>
      </c>
      <c r="AI26" s="525">
        <f t="shared" ref="AI26:AI41" si="3">AB26/$O$42</f>
        <v>937.60275314542787</v>
      </c>
      <c r="AJ26" s="525">
        <f>AVERAGE(AE26:AI26)</f>
        <v>1092.9663048169537</v>
      </c>
    </row>
    <row r="27" spans="2:41" ht="16.5" thickBot="1" x14ac:dyDescent="0.3">
      <c r="B27" s="52" t="s">
        <v>9</v>
      </c>
      <c r="C27" s="502">
        <v>11891.150833667991</v>
      </c>
      <c r="D27" s="36">
        <v>12881.417600664177</v>
      </c>
      <c r="E27" s="502">
        <v>13275.795569694827</v>
      </c>
      <c r="F27" s="36">
        <v>13441.957452851624</v>
      </c>
      <c r="G27" s="531">
        <v>14431.577430555559</v>
      </c>
      <c r="H27" s="526">
        <f t="shared" ref="H27:H41" si="4">AVERAGE(C27:G27)</f>
        <v>13184.379777486834</v>
      </c>
      <c r="J27" s="52" t="s">
        <v>9</v>
      </c>
      <c r="K27" s="1">
        <v>0.1825</v>
      </c>
      <c r="L27" s="1">
        <v>0.1825</v>
      </c>
      <c r="M27" s="814">
        <v>0.18</v>
      </c>
      <c r="N27" s="815">
        <v>0.18</v>
      </c>
      <c r="O27" s="815">
        <v>0.18</v>
      </c>
      <c r="P27" s="829">
        <f t="shared" ref="P27:P42" si="5">AVERAGE(K27:O27)</f>
        <v>0.18099999999999997</v>
      </c>
      <c r="S27" s="52">
        <v>947</v>
      </c>
      <c r="U27" s="563">
        <f t="shared" ref="U27:U42" si="6">AJ27</f>
        <v>717.39464330987482</v>
      </c>
      <c r="W27" s="52" t="s">
        <v>9</v>
      </c>
      <c r="X27" s="498">
        <f t="shared" ref="X27:X42" si="7">X6/AI6</f>
        <v>229.37160694896852</v>
      </c>
      <c r="Y27" s="498">
        <f t="shared" si="0"/>
        <v>218.49793290043289</v>
      </c>
      <c r="Z27" s="498">
        <f t="shared" si="0"/>
        <v>97.327412513255567</v>
      </c>
      <c r="AA27" s="498">
        <f t="shared" si="0"/>
        <v>33.90688139059305</v>
      </c>
      <c r="AB27" s="498">
        <f t="shared" si="0"/>
        <v>32.150229166666669</v>
      </c>
      <c r="AE27" s="502">
        <f>X27/$K$42</f>
        <v>1345.1418210518157</v>
      </c>
      <c r="AF27" s="36">
        <f>Y27/$L$42</f>
        <v>1282.429784050637</v>
      </c>
      <c r="AG27" s="36">
        <f t="shared" si="1"/>
        <v>571.51757518151157</v>
      </c>
      <c r="AH27" s="36">
        <f t="shared" si="2"/>
        <v>199.10088896414004</v>
      </c>
      <c r="AI27" s="531">
        <f t="shared" si="3"/>
        <v>188.78314730127005</v>
      </c>
      <c r="AJ27" s="525">
        <f t="shared" ref="AJ27:AJ42" si="8">AVERAGE(AE27:AI27)</f>
        <v>717.39464330987482</v>
      </c>
    </row>
    <row r="28" spans="2:41" ht="16.5" thickBot="1" x14ac:dyDescent="0.3">
      <c r="B28" s="52" t="s">
        <v>10</v>
      </c>
      <c r="C28" s="502">
        <v>14001.245742846228</v>
      </c>
      <c r="D28" s="36">
        <v>14859.903521257504</v>
      </c>
      <c r="E28" s="502">
        <v>15019.080919879481</v>
      </c>
      <c r="F28" s="36">
        <v>15260.400434284093</v>
      </c>
      <c r="G28" s="531">
        <v>16204.840065242279</v>
      </c>
      <c r="H28" s="526">
        <f t="shared" si="4"/>
        <v>15069.094136701917</v>
      </c>
      <c r="J28" s="52" t="s">
        <v>10</v>
      </c>
      <c r="K28" s="1">
        <v>0.19500000000000001</v>
      </c>
      <c r="L28" s="1">
        <v>0.19500000000000001</v>
      </c>
      <c r="M28" s="814">
        <v>0.19500000000000001</v>
      </c>
      <c r="N28" s="815">
        <v>0.19500000000000001</v>
      </c>
      <c r="O28" s="815">
        <v>0.19500000000000001</v>
      </c>
      <c r="P28" s="829">
        <f t="shared" si="5"/>
        <v>0.19500000000000001</v>
      </c>
      <c r="S28" s="52">
        <v>2520</v>
      </c>
      <c r="U28" s="563">
        <f t="shared" si="6"/>
        <v>398.44965438157311</v>
      </c>
      <c r="W28" s="52" t="s">
        <v>10</v>
      </c>
      <c r="X28" s="498">
        <f t="shared" si="7"/>
        <v>90.626910994764401</v>
      </c>
      <c r="Y28" s="498">
        <f t="shared" si="0"/>
        <v>67.659778761061943</v>
      </c>
      <c r="Z28" s="498">
        <f t="shared" si="0"/>
        <v>47.334212629896079</v>
      </c>
      <c r="AA28" s="498">
        <f t="shared" si="0"/>
        <v>65.029275821131776</v>
      </c>
      <c r="AB28" s="498">
        <f t="shared" si="0"/>
        <v>68.77685104701699</v>
      </c>
      <c r="AE28" s="502">
        <f t="shared" ref="AE28:AE42" si="9">X28/$K$42</f>
        <v>531.47837133529924</v>
      </c>
      <c r="AF28" s="36">
        <f t="shared" ref="AF28:AF42" si="10">Y28/$L$42</f>
        <v>397.11549813609531</v>
      </c>
      <c r="AG28" s="36">
        <f t="shared" si="1"/>
        <v>277.95185063283049</v>
      </c>
      <c r="AH28" s="36">
        <f t="shared" si="2"/>
        <v>381.85129665961114</v>
      </c>
      <c r="AI28" s="531">
        <f t="shared" si="3"/>
        <v>403.85125514402944</v>
      </c>
      <c r="AJ28" s="525">
        <f t="shared" si="8"/>
        <v>398.44965438157311</v>
      </c>
    </row>
    <row r="29" spans="2:41" ht="16.5" thickBot="1" x14ac:dyDescent="0.3">
      <c r="B29" s="52" t="s">
        <v>11</v>
      </c>
      <c r="C29" s="502">
        <v>12952.965890522877</v>
      </c>
      <c r="D29" s="36">
        <v>14112.415854042152</v>
      </c>
      <c r="E29" s="502">
        <v>14600.60539730135</v>
      </c>
      <c r="F29" s="36">
        <v>14927.662522291716</v>
      </c>
      <c r="G29" s="531">
        <v>15346.192467779952</v>
      </c>
      <c r="H29" s="526">
        <f t="shared" si="4"/>
        <v>14387.968426387608</v>
      </c>
      <c r="J29" s="52" t="s">
        <v>11</v>
      </c>
      <c r="K29" s="1">
        <v>0.17</v>
      </c>
      <c r="L29" s="1">
        <v>0.17</v>
      </c>
      <c r="M29" s="814">
        <v>0.17249999999999999</v>
      </c>
      <c r="N29" s="815">
        <v>0.17249999999999999</v>
      </c>
      <c r="O29" s="815">
        <v>0.17249999999999999</v>
      </c>
      <c r="P29" s="829">
        <f t="shared" si="5"/>
        <v>0.17149999999999999</v>
      </c>
      <c r="S29" s="52">
        <v>572</v>
      </c>
      <c r="U29" s="563">
        <f t="shared" si="6"/>
        <v>1622.7260583432621</v>
      </c>
      <c r="W29" s="52" t="s">
        <v>11</v>
      </c>
      <c r="X29" s="498">
        <f t="shared" si="7"/>
        <v>400.32322916666664</v>
      </c>
      <c r="Y29" s="498">
        <f t="shared" si="0"/>
        <v>320.43511586452763</v>
      </c>
      <c r="Z29" s="498">
        <f t="shared" si="0"/>
        <v>185.81717241379312</v>
      </c>
      <c r="AA29" s="498">
        <f t="shared" si="0"/>
        <v>221.29987868284229</v>
      </c>
      <c r="AB29" s="498">
        <f t="shared" si="0"/>
        <v>254.53550173010379</v>
      </c>
      <c r="AE29" s="502">
        <f t="shared" si="9"/>
        <v>2347.6816710378585</v>
      </c>
      <c r="AF29" s="36">
        <f t="shared" si="10"/>
        <v>1880.7296297290181</v>
      </c>
      <c r="AG29" s="36">
        <f t="shared" si="1"/>
        <v>1091.1394545760911</v>
      </c>
      <c r="AH29" s="36">
        <f t="shared" si="2"/>
        <v>1299.4708084723563</v>
      </c>
      <c r="AI29" s="531">
        <f t="shared" si="3"/>
        <v>1494.6087279009864</v>
      </c>
      <c r="AJ29" s="525">
        <f t="shared" si="8"/>
        <v>1622.7260583432621</v>
      </c>
    </row>
    <row r="30" spans="2:41" ht="16.5" thickBot="1" x14ac:dyDescent="0.3">
      <c r="B30" s="52" t="s">
        <v>12</v>
      </c>
      <c r="C30" s="502">
        <v>9967.0318871503096</v>
      </c>
      <c r="D30" s="36">
        <v>10696.366077236977</v>
      </c>
      <c r="E30" s="502">
        <v>11655.825055596739</v>
      </c>
      <c r="F30" s="36">
        <v>11553.919976771198</v>
      </c>
      <c r="G30" s="531">
        <v>11638.021702741704</v>
      </c>
      <c r="H30" s="526">
        <f t="shared" si="4"/>
        <v>11102.232939899386</v>
      </c>
      <c r="J30" s="52" t="s">
        <v>12</v>
      </c>
      <c r="K30" s="1">
        <v>0.185</v>
      </c>
      <c r="L30" s="1">
        <v>0.185</v>
      </c>
      <c r="M30" s="814">
        <v>0.17749999999999999</v>
      </c>
      <c r="N30" s="815">
        <v>0.17499999999999999</v>
      </c>
      <c r="O30" s="815">
        <v>0.17499999999999999</v>
      </c>
      <c r="P30" s="829">
        <f t="shared" si="5"/>
        <v>0.17949999999999999</v>
      </c>
      <c r="S30" s="52">
        <v>500</v>
      </c>
      <c r="U30" s="563">
        <f t="shared" si="6"/>
        <v>65.238876950434062</v>
      </c>
      <c r="W30" s="52" t="s">
        <v>12</v>
      </c>
      <c r="X30" s="498">
        <f t="shared" si="7"/>
        <v>10.599912280701755</v>
      </c>
      <c r="Y30" s="498">
        <f t="shared" si="0"/>
        <v>17.671356673960613</v>
      </c>
      <c r="Z30" s="498">
        <f t="shared" si="0"/>
        <v>12.061199999999999</v>
      </c>
      <c r="AA30" s="498">
        <f t="shared" si="0"/>
        <v>8.1114634146341462</v>
      </c>
      <c r="AB30" s="498">
        <f t="shared" si="0"/>
        <v>7.1285050505050505</v>
      </c>
      <c r="AE30" s="502">
        <f t="shared" si="9"/>
        <v>62.162817350906572</v>
      </c>
      <c r="AF30" s="36">
        <f t="shared" si="10"/>
        <v>103.71848292768993</v>
      </c>
      <c r="AG30" s="36">
        <f t="shared" si="1"/>
        <v>70.824730667122424</v>
      </c>
      <c r="AH30" s="36">
        <f t="shared" si="2"/>
        <v>47.630436962032569</v>
      </c>
      <c r="AI30" s="531">
        <f t="shared" si="3"/>
        <v>41.857916844418838</v>
      </c>
      <c r="AJ30" s="525">
        <f t="shared" si="8"/>
        <v>65.238876950434062</v>
      </c>
    </row>
    <row r="31" spans="2:41" ht="16.5" thickBot="1" x14ac:dyDescent="0.3">
      <c r="B31" s="52" t="s">
        <v>13</v>
      </c>
      <c r="C31" s="502">
        <v>13064.885942760942</v>
      </c>
      <c r="D31" s="36">
        <v>13975.399407609933</v>
      </c>
      <c r="E31" s="502">
        <v>14050.480548187446</v>
      </c>
      <c r="F31" s="36">
        <v>14348.477342229635</v>
      </c>
      <c r="G31" s="531">
        <v>15259.456377175165</v>
      </c>
      <c r="H31" s="526">
        <f t="shared" si="4"/>
        <v>14139.739923592624</v>
      </c>
      <c r="J31" s="52" t="s">
        <v>13</v>
      </c>
      <c r="K31" s="1">
        <v>0.16500000000000001</v>
      </c>
      <c r="L31" s="1">
        <v>0.16500000000000001</v>
      </c>
      <c r="M31" s="814">
        <v>0.16500000000000001</v>
      </c>
      <c r="N31" s="815">
        <v>0.16500000000000001</v>
      </c>
      <c r="O31" s="815">
        <v>0.16500000000000001</v>
      </c>
      <c r="P31" s="829">
        <f t="shared" si="5"/>
        <v>0.16500000000000001</v>
      </c>
      <c r="S31" s="52">
        <v>1540</v>
      </c>
      <c r="U31" s="563">
        <f t="shared" si="6"/>
        <v>308.88049596730485</v>
      </c>
      <c r="W31" s="52" t="s">
        <v>13</v>
      </c>
      <c r="X31" s="498">
        <f t="shared" si="7"/>
        <v>42.540645833333329</v>
      </c>
      <c r="Y31" s="498">
        <f t="shared" si="0"/>
        <v>40.831729323308274</v>
      </c>
      <c r="Z31" s="498">
        <f t="shared" si="0"/>
        <v>66.083388594164461</v>
      </c>
      <c r="AA31" s="498">
        <f t="shared" si="0"/>
        <v>61.358263433813896</v>
      </c>
      <c r="AB31" s="498">
        <f t="shared" si="0"/>
        <v>52.270315374507227</v>
      </c>
      <c r="AE31" s="502">
        <f t="shared" si="9"/>
        <v>249.47813971457052</v>
      </c>
      <c r="AF31" s="36">
        <f t="shared" si="10"/>
        <v>239.653643965437</v>
      </c>
      <c r="AG31" s="36">
        <f t="shared" si="1"/>
        <v>388.04913265284455</v>
      </c>
      <c r="AH31" s="36">
        <f t="shared" si="2"/>
        <v>360.29514641112092</v>
      </c>
      <c r="AI31" s="531">
        <f t="shared" si="3"/>
        <v>306.92641709255122</v>
      </c>
      <c r="AJ31" s="525">
        <f t="shared" si="8"/>
        <v>308.88049596730485</v>
      </c>
    </row>
    <row r="32" spans="2:41" ht="16.5" thickBot="1" x14ac:dyDescent="0.3">
      <c r="B32" s="52" t="s">
        <v>14</v>
      </c>
      <c r="C32" s="502">
        <v>15106.831383561846</v>
      </c>
      <c r="D32" s="36">
        <v>16073.146181296985</v>
      </c>
      <c r="E32" s="502">
        <v>16800.346194700429</v>
      </c>
      <c r="F32" s="36">
        <v>17314.539601013388</v>
      </c>
      <c r="G32" s="531">
        <v>18337.882015263051</v>
      </c>
      <c r="H32" s="526">
        <f t="shared" si="4"/>
        <v>16726.549075167139</v>
      </c>
      <c r="J32" s="52" t="s">
        <v>14</v>
      </c>
      <c r="K32" s="1">
        <v>0.17</v>
      </c>
      <c r="L32" s="1">
        <v>0.17</v>
      </c>
      <c r="M32" s="814">
        <v>0.17</v>
      </c>
      <c r="N32" s="815">
        <v>0.17</v>
      </c>
      <c r="O32" s="815">
        <v>0.17</v>
      </c>
      <c r="P32" s="829">
        <f t="shared" si="5"/>
        <v>0.17</v>
      </c>
      <c r="S32" s="52">
        <v>4424</v>
      </c>
      <c r="U32" s="563">
        <f t="shared" si="6"/>
        <v>929.57620266516221</v>
      </c>
      <c r="W32" s="52" t="s">
        <v>14</v>
      </c>
      <c r="X32" s="498">
        <f t="shared" si="7"/>
        <v>163.50435537401074</v>
      </c>
      <c r="Y32" s="498">
        <f t="shared" si="0"/>
        <v>169.46895822973644</v>
      </c>
      <c r="Z32" s="498">
        <f t="shared" si="0"/>
        <v>174.16221815519765</v>
      </c>
      <c r="AA32" s="498">
        <f t="shared" si="0"/>
        <v>139.21532595904921</v>
      </c>
      <c r="AB32" s="498">
        <f t="shared" si="0"/>
        <v>145.46893455797934</v>
      </c>
      <c r="AE32" s="502">
        <f t="shared" si="9"/>
        <v>958.86561228405378</v>
      </c>
      <c r="AF32" s="36">
        <f t="shared" si="10"/>
        <v>994.66405297702806</v>
      </c>
      <c r="AG32" s="36">
        <f t="shared" si="1"/>
        <v>1022.7002448537869</v>
      </c>
      <c r="AH32" s="36">
        <f t="shared" si="2"/>
        <v>817.47108607779921</v>
      </c>
      <c r="AI32" s="531">
        <f t="shared" si="3"/>
        <v>854.18001713314356</v>
      </c>
      <c r="AJ32" s="525">
        <f t="shared" si="8"/>
        <v>929.57620266516221</v>
      </c>
    </row>
    <row r="33" spans="2:36" ht="16.5" thickBot="1" x14ac:dyDescent="0.3">
      <c r="B33" s="52" t="s">
        <v>15</v>
      </c>
      <c r="C33" s="502">
        <v>14824.090840840841</v>
      </c>
      <c r="D33" s="36">
        <v>15029.913978494626</v>
      </c>
      <c r="E33" s="502">
        <v>14831.871398871399</v>
      </c>
      <c r="F33" s="36">
        <v>15152.498465224226</v>
      </c>
      <c r="G33" s="531">
        <v>16100.796577642732</v>
      </c>
      <c r="H33" s="526">
        <f t="shared" si="4"/>
        <v>15187.834252214767</v>
      </c>
      <c r="J33" s="52" t="s">
        <v>15</v>
      </c>
      <c r="K33" s="1">
        <v>0.185</v>
      </c>
      <c r="L33" s="1">
        <v>0.185</v>
      </c>
      <c r="M33" s="814">
        <v>0.185</v>
      </c>
      <c r="N33" s="815">
        <v>0.185</v>
      </c>
      <c r="O33" s="815">
        <v>0.185</v>
      </c>
      <c r="P33" s="829">
        <f t="shared" si="5"/>
        <v>0.185</v>
      </c>
      <c r="S33" s="52">
        <v>330</v>
      </c>
      <c r="U33" s="563">
        <f t="shared" si="6"/>
        <v>267.0755620662373</v>
      </c>
      <c r="W33" s="52" t="s">
        <v>15</v>
      </c>
      <c r="X33" s="498">
        <f t="shared" si="7"/>
        <v>86.823805555555552</v>
      </c>
      <c r="Y33" s="498">
        <f t="shared" si="0"/>
        <v>65.074301075268821</v>
      </c>
      <c r="Z33" s="498">
        <f t="shared" si="0"/>
        <v>34.315741758241757</v>
      </c>
      <c r="AA33" s="498">
        <f t="shared" si="0"/>
        <v>17.131717451523546</v>
      </c>
      <c r="AB33" s="498">
        <f t="shared" si="0"/>
        <v>24.209999999999997</v>
      </c>
      <c r="AE33" s="502">
        <f t="shared" si="9"/>
        <v>509.17519159916208</v>
      </c>
      <c r="AF33" s="36">
        <f t="shared" si="10"/>
        <v>381.94055553482895</v>
      </c>
      <c r="AG33" s="36">
        <f t="shared" si="1"/>
        <v>201.50591712847799</v>
      </c>
      <c r="AH33" s="36">
        <f t="shared" si="2"/>
        <v>100.59728391969199</v>
      </c>
      <c r="AI33" s="531">
        <f t="shared" si="3"/>
        <v>142.15886214902554</v>
      </c>
      <c r="AJ33" s="525">
        <f t="shared" si="8"/>
        <v>267.0755620662373</v>
      </c>
    </row>
    <row r="34" spans="2:36" ht="16.5" thickBot="1" x14ac:dyDescent="0.3">
      <c r="B34" s="52" t="s">
        <v>16</v>
      </c>
      <c r="C34" s="502">
        <v>11961.263255622038</v>
      </c>
      <c r="D34" s="36">
        <v>13401.663042352699</v>
      </c>
      <c r="E34" s="502">
        <v>13502.271105081914</v>
      </c>
      <c r="F34" s="36">
        <v>14523.792812274742</v>
      </c>
      <c r="G34" s="531">
        <v>14770.399790685506</v>
      </c>
      <c r="H34" s="526">
        <f t="shared" si="4"/>
        <v>13631.878001203379</v>
      </c>
      <c r="J34" s="52" t="s">
        <v>16</v>
      </c>
      <c r="K34" s="1">
        <v>0.185</v>
      </c>
      <c r="L34" s="1">
        <v>0.185</v>
      </c>
      <c r="M34" s="814">
        <v>0.185</v>
      </c>
      <c r="N34" s="815">
        <v>0.19500000000000001</v>
      </c>
      <c r="O34" s="815">
        <v>0.19500000000000001</v>
      </c>
      <c r="P34" s="829">
        <f t="shared" si="5"/>
        <v>0.189</v>
      </c>
      <c r="S34" s="52">
        <v>251</v>
      </c>
      <c r="U34" s="563">
        <f t="shared" si="6"/>
        <v>179.43703960957188</v>
      </c>
      <c r="W34" s="52" t="s">
        <v>16</v>
      </c>
      <c r="X34" s="498">
        <f t="shared" si="7"/>
        <v>26.148053435114505</v>
      </c>
      <c r="Y34" s="498">
        <f t="shared" si="0"/>
        <v>35.234674329501914</v>
      </c>
      <c r="Z34" s="498">
        <f t="shared" si="0"/>
        <v>35.194787644787645</v>
      </c>
      <c r="AA34" s="498">
        <f t="shared" si="0"/>
        <v>27.456827309236949</v>
      </c>
      <c r="AB34" s="498">
        <f t="shared" si="0"/>
        <v>28.805632653061224</v>
      </c>
      <c r="AE34" s="502">
        <f t="shared" si="9"/>
        <v>153.34435104034256</v>
      </c>
      <c r="AF34" s="36">
        <f t="shared" si="10"/>
        <v>206.80285251059294</v>
      </c>
      <c r="AG34" s="36">
        <f t="shared" si="1"/>
        <v>206.66777400496247</v>
      </c>
      <c r="AH34" s="36">
        <f t="shared" si="2"/>
        <v>161.22623199786815</v>
      </c>
      <c r="AI34" s="531">
        <f t="shared" si="3"/>
        <v>169.14398849409335</v>
      </c>
      <c r="AJ34" s="525">
        <f t="shared" si="8"/>
        <v>179.43703960957188</v>
      </c>
    </row>
    <row r="35" spans="2:36" ht="16.5" thickBot="1" x14ac:dyDescent="0.3">
      <c r="B35" s="52" t="s">
        <v>17</v>
      </c>
      <c r="C35" s="502">
        <v>14752.789238430292</v>
      </c>
      <c r="D35" s="36">
        <v>16053.454647484949</v>
      </c>
      <c r="E35" s="502">
        <v>16692.817714075707</v>
      </c>
      <c r="F35" s="36">
        <v>16891.604301075269</v>
      </c>
      <c r="G35" s="531">
        <v>18075.730577229464</v>
      </c>
      <c r="H35" s="526">
        <f t="shared" si="4"/>
        <v>16493.279295659137</v>
      </c>
      <c r="J35" s="52" t="s">
        <v>17</v>
      </c>
      <c r="K35" s="1">
        <v>0.16500000000000001</v>
      </c>
      <c r="L35" s="1">
        <v>0.16500000000000001</v>
      </c>
      <c r="M35" s="814">
        <v>0.16500000000000001</v>
      </c>
      <c r="N35" s="815">
        <v>0.16250000000000001</v>
      </c>
      <c r="O35" s="815">
        <v>0.16250000000000001</v>
      </c>
      <c r="P35" s="829">
        <f t="shared" si="5"/>
        <v>0.16399999999999998</v>
      </c>
      <c r="S35" s="52">
        <v>1926</v>
      </c>
      <c r="U35" s="563">
        <f t="shared" si="6"/>
        <v>180.87804663203752</v>
      </c>
      <c r="W35" s="52" t="s">
        <v>17</v>
      </c>
      <c r="X35" s="498">
        <f t="shared" si="7"/>
        <v>40.755720695457093</v>
      </c>
      <c r="Y35" s="498">
        <f t="shared" si="0"/>
        <v>43.757222222222218</v>
      </c>
      <c r="Z35" s="498">
        <f t="shared" si="0"/>
        <v>36.223484013230426</v>
      </c>
      <c r="AA35" s="498">
        <f t="shared" si="0"/>
        <v>17.393295698924732</v>
      </c>
      <c r="AB35" s="498">
        <f t="shared" si="0"/>
        <v>15.959691980881571</v>
      </c>
      <c r="AE35" s="502">
        <f t="shared" si="9"/>
        <v>239.01050824814328</v>
      </c>
      <c r="AF35" s="36">
        <f t="shared" si="10"/>
        <v>256.82423764929354</v>
      </c>
      <c r="AG35" s="36">
        <f t="shared" si="1"/>
        <v>212.70839543841907</v>
      </c>
      <c r="AH35" s="36">
        <f t="shared" si="2"/>
        <v>102.13326893085573</v>
      </c>
      <c r="AI35" s="531">
        <f t="shared" si="3"/>
        <v>93.713822893475921</v>
      </c>
      <c r="AJ35" s="525">
        <f t="shared" si="8"/>
        <v>180.87804663203752</v>
      </c>
    </row>
    <row r="36" spans="2:36" ht="16.5" thickBot="1" x14ac:dyDescent="0.3">
      <c r="B36" s="52" t="s">
        <v>18</v>
      </c>
      <c r="C36" s="502">
        <v>14160.846288148614</v>
      </c>
      <c r="D36" s="36">
        <v>15475.618027234395</v>
      </c>
      <c r="E36" s="502">
        <v>16150.293318699409</v>
      </c>
      <c r="F36" s="36">
        <v>16875.3468807153</v>
      </c>
      <c r="G36" s="531">
        <v>17619.191947049087</v>
      </c>
      <c r="H36" s="526">
        <f t="shared" si="4"/>
        <v>16056.259292369359</v>
      </c>
      <c r="J36" s="52" t="s">
        <v>18</v>
      </c>
      <c r="K36" s="1">
        <v>0.185</v>
      </c>
      <c r="L36" s="1">
        <v>0.185</v>
      </c>
      <c r="M36" s="814">
        <v>0.185</v>
      </c>
      <c r="N36" s="815">
        <v>0.185</v>
      </c>
      <c r="O36" s="815">
        <v>0.185</v>
      </c>
      <c r="P36" s="829">
        <f t="shared" si="5"/>
        <v>0.185</v>
      </c>
      <c r="S36" s="52">
        <v>413</v>
      </c>
      <c r="U36" s="563">
        <f t="shared" si="6"/>
        <v>612.76737986614989</v>
      </c>
      <c r="W36" s="52" t="s">
        <v>18</v>
      </c>
      <c r="X36" s="498">
        <f t="shared" si="7"/>
        <v>133.00974160206718</v>
      </c>
      <c r="Y36" s="498">
        <f t="shared" si="0"/>
        <v>128.83979539641945</v>
      </c>
      <c r="Z36" s="498">
        <f t="shared" si="0"/>
        <v>101.32527918781727</v>
      </c>
      <c r="AA36" s="498">
        <f t="shared" si="0"/>
        <v>78.222756892230578</v>
      </c>
      <c r="AB36" s="498">
        <f t="shared" si="0"/>
        <v>80.602397959183676</v>
      </c>
      <c r="AE36" s="502">
        <f t="shared" si="9"/>
        <v>780.03100913899175</v>
      </c>
      <c r="AF36" s="36">
        <f t="shared" si="10"/>
        <v>756.19933238751059</v>
      </c>
      <c r="AG36" s="36">
        <f t="shared" si="1"/>
        <v>594.99350050145461</v>
      </c>
      <c r="AH36" s="36">
        <f t="shared" si="2"/>
        <v>459.32329355390823</v>
      </c>
      <c r="AI36" s="531">
        <f t="shared" si="3"/>
        <v>473.28976374888441</v>
      </c>
      <c r="AJ36" s="525">
        <f t="shared" si="8"/>
        <v>612.76737986614989</v>
      </c>
    </row>
    <row r="37" spans="2:36" ht="16.5" thickBot="1" x14ac:dyDescent="0.3">
      <c r="B37" s="52" t="s">
        <v>19</v>
      </c>
      <c r="C37" s="502">
        <v>13464.54400248924</v>
      </c>
      <c r="D37" s="36">
        <v>14087.736538461539</v>
      </c>
      <c r="E37" s="502">
        <v>14864.889917186032</v>
      </c>
      <c r="F37" s="36">
        <v>15033.088040798977</v>
      </c>
      <c r="G37" s="531">
        <v>15703.416684248283</v>
      </c>
      <c r="H37" s="526">
        <f t="shared" si="4"/>
        <v>14630.735036636814</v>
      </c>
      <c r="J37" s="52" t="s">
        <v>19</v>
      </c>
      <c r="K37" s="1">
        <v>0.16500000000000001</v>
      </c>
      <c r="L37" s="1">
        <v>0.16250000000000001</v>
      </c>
      <c r="M37" s="814">
        <v>0.16250000000000001</v>
      </c>
      <c r="N37" s="815">
        <v>0.16250000000000001</v>
      </c>
      <c r="O37" s="815">
        <v>0.16250000000000001</v>
      </c>
      <c r="P37" s="829">
        <f t="shared" si="5"/>
        <v>0.16299999999999998</v>
      </c>
      <c r="S37" s="52">
        <v>1813</v>
      </c>
      <c r="U37" s="563">
        <f t="shared" si="6"/>
        <v>1458.6243421412012</v>
      </c>
      <c r="W37" s="52" t="s">
        <v>19</v>
      </c>
      <c r="X37" s="498">
        <f t="shared" si="7"/>
        <v>187.39314318311466</v>
      </c>
      <c r="Y37" s="498">
        <f t="shared" si="0"/>
        <v>272.00762834821427</v>
      </c>
      <c r="Z37" s="498">
        <f t="shared" si="0"/>
        <v>304.75967258601554</v>
      </c>
      <c r="AA37" s="498">
        <f t="shared" si="0"/>
        <v>242.28152486187844</v>
      </c>
      <c r="AB37" s="498">
        <f t="shared" si="0"/>
        <v>235.93849149753154</v>
      </c>
      <c r="AE37" s="502">
        <f t="shared" si="9"/>
        <v>1098.9605785429235</v>
      </c>
      <c r="AF37" s="36">
        <f t="shared" si="10"/>
        <v>1596.4942068430671</v>
      </c>
      <c r="AG37" s="36">
        <f t="shared" si="1"/>
        <v>1789.5832694180485</v>
      </c>
      <c r="AH37" s="36">
        <f t="shared" si="2"/>
        <v>1422.6748377092099</v>
      </c>
      <c r="AI37" s="531">
        <f t="shared" si="3"/>
        <v>1385.4088181927561</v>
      </c>
      <c r="AJ37" s="525">
        <f t="shared" si="8"/>
        <v>1458.6243421412012</v>
      </c>
    </row>
    <row r="38" spans="2:36" ht="16.5" thickBot="1" x14ac:dyDescent="0.3">
      <c r="B38" s="52" t="s">
        <v>20</v>
      </c>
      <c r="C38" s="502">
        <v>14805.265590062112</v>
      </c>
      <c r="D38" s="36">
        <v>15415.710171428571</v>
      </c>
      <c r="E38" s="502">
        <v>17001.843604108308</v>
      </c>
      <c r="F38" s="36">
        <v>17202.742718446603</v>
      </c>
      <c r="G38" s="531">
        <v>19051.536853685368</v>
      </c>
      <c r="H38" s="526">
        <f t="shared" si="4"/>
        <v>16695.41978754619</v>
      </c>
      <c r="J38" s="52" t="s">
        <v>20</v>
      </c>
      <c r="K38" s="1">
        <v>0.17499999999999999</v>
      </c>
      <c r="L38" s="1">
        <v>0.17499999999999999</v>
      </c>
      <c r="M38" s="814">
        <v>0.18</v>
      </c>
      <c r="N38" s="815">
        <v>0.18</v>
      </c>
      <c r="O38" s="815">
        <v>0.18</v>
      </c>
      <c r="P38" s="829">
        <f t="shared" si="5"/>
        <v>0.17799999999999999</v>
      </c>
      <c r="S38" s="52">
        <v>100</v>
      </c>
      <c r="U38" s="563">
        <f t="shared" si="6"/>
        <v>189.66588943338914</v>
      </c>
      <c r="W38" s="52" t="s">
        <v>20</v>
      </c>
      <c r="X38" s="498">
        <f t="shared" si="7"/>
        <v>12.657913043478262</v>
      </c>
      <c r="Y38" s="498">
        <f t="shared" si="0"/>
        <v>9.8140000000000001</v>
      </c>
      <c r="Z38" s="498">
        <f t="shared" si="0"/>
        <v>35.134033613445375</v>
      </c>
      <c r="AA38" s="498">
        <f t="shared" si="0"/>
        <v>48.470485436893206</v>
      </c>
      <c r="AB38" s="498">
        <f t="shared" si="0"/>
        <v>55.444851485148519</v>
      </c>
      <c r="AE38" s="502">
        <f t="shared" si="9"/>
        <v>74.231891333472859</v>
      </c>
      <c r="AF38" s="36">
        <f t="shared" si="10"/>
        <v>57.601304202763991</v>
      </c>
      <c r="AG38" s="36">
        <f t="shared" si="1"/>
        <v>206.31101946090729</v>
      </c>
      <c r="AH38" s="36">
        <f t="shared" si="2"/>
        <v>284.61823509626072</v>
      </c>
      <c r="AI38" s="531">
        <f t="shared" si="3"/>
        <v>325.56699707354085</v>
      </c>
      <c r="AJ38" s="525">
        <f t="shared" si="8"/>
        <v>189.66588943338914</v>
      </c>
    </row>
    <row r="39" spans="2:36" ht="16.5" thickBot="1" x14ac:dyDescent="0.3">
      <c r="B39" s="52" t="s">
        <v>21</v>
      </c>
      <c r="C39" s="502">
        <v>13444.91026817312</v>
      </c>
      <c r="D39" s="36">
        <v>14142.106851037081</v>
      </c>
      <c r="E39" s="502">
        <v>14899.455693180915</v>
      </c>
      <c r="F39" s="36">
        <v>14715.752447980418</v>
      </c>
      <c r="G39" s="531">
        <v>15881.277803203662</v>
      </c>
      <c r="H39" s="526">
        <f t="shared" si="4"/>
        <v>14616.700612715038</v>
      </c>
      <c r="J39" s="52" t="s">
        <v>21</v>
      </c>
      <c r="K39" s="1">
        <v>0.185</v>
      </c>
      <c r="L39" s="1">
        <v>0.185</v>
      </c>
      <c r="M39" s="814">
        <v>0.185</v>
      </c>
      <c r="N39" s="815">
        <v>0.19</v>
      </c>
      <c r="O39" s="815">
        <v>0.19</v>
      </c>
      <c r="P39" s="829">
        <f t="shared" si="5"/>
        <v>0.18699999999999997</v>
      </c>
      <c r="S39" s="52">
        <v>1029</v>
      </c>
      <c r="U39" s="563">
        <f t="shared" si="6"/>
        <v>61.114262947603777</v>
      </c>
      <c r="W39" s="52" t="s">
        <v>21</v>
      </c>
      <c r="X39" s="498">
        <f t="shared" si="7"/>
        <v>12.420446168768185</v>
      </c>
      <c r="Y39" s="498">
        <f t="shared" si="0"/>
        <v>8.6736918604651159</v>
      </c>
      <c r="Z39" s="498">
        <f t="shared" si="0"/>
        <v>9.4703631010794886</v>
      </c>
      <c r="AA39" s="498">
        <f t="shared" si="0"/>
        <v>9.8038372093023245</v>
      </c>
      <c r="AB39" s="498">
        <f t="shared" si="0"/>
        <v>11.69031884057971</v>
      </c>
      <c r="AE39" s="502">
        <f t="shared" si="9"/>
        <v>72.839275095849061</v>
      </c>
      <c r="AF39" s="36">
        <f t="shared" si="10"/>
        <v>50.908494336222653</v>
      </c>
      <c r="AG39" s="36">
        <f t="shared" si="1"/>
        <v>55.611043341774383</v>
      </c>
      <c r="AH39" s="36">
        <f t="shared" si="2"/>
        <v>57.56803998415927</v>
      </c>
      <c r="AI39" s="531">
        <f t="shared" si="3"/>
        <v>68.644461980013531</v>
      </c>
      <c r="AJ39" s="525">
        <f t="shared" si="8"/>
        <v>61.114262947603777</v>
      </c>
    </row>
    <row r="40" spans="2:36" ht="16.5" thickBot="1" x14ac:dyDescent="0.3">
      <c r="B40" s="52" t="s">
        <v>22</v>
      </c>
      <c r="C40" s="502">
        <v>11254.477251034043</v>
      </c>
      <c r="D40" s="36">
        <v>11997.971621187802</v>
      </c>
      <c r="E40" s="502">
        <v>12419.850442477877</v>
      </c>
      <c r="F40" s="36">
        <v>12266.160975006187</v>
      </c>
      <c r="G40" s="531">
        <v>13688.936413902053</v>
      </c>
      <c r="H40" s="526">
        <f t="shared" si="4"/>
        <v>12325.479340721593</v>
      </c>
      <c r="J40" s="52" t="s">
        <v>22</v>
      </c>
      <c r="K40" s="1">
        <v>0.17499999999999999</v>
      </c>
      <c r="L40" s="1">
        <v>0.17499999999999999</v>
      </c>
      <c r="M40" s="814">
        <v>0.17499999999999999</v>
      </c>
      <c r="N40" s="815">
        <v>0.18</v>
      </c>
      <c r="O40" s="815">
        <v>0.18</v>
      </c>
      <c r="P40" s="829">
        <f t="shared" si="5"/>
        <v>0.17699999999999996</v>
      </c>
      <c r="S40" s="52">
        <v>433</v>
      </c>
      <c r="U40" s="563">
        <f t="shared" si="6"/>
        <v>62.606488184446491</v>
      </c>
      <c r="W40" s="52" t="s">
        <v>22</v>
      </c>
      <c r="X40" s="498">
        <f t="shared" si="7"/>
        <v>13.664276169265033</v>
      </c>
      <c r="Y40" s="498">
        <f t="shared" si="0"/>
        <v>9.5873707865168534</v>
      </c>
      <c r="Z40" s="498">
        <f t="shared" si="0"/>
        <v>9.3371460176991157</v>
      </c>
      <c r="AA40" s="498">
        <f t="shared" si="0"/>
        <v>8.8303563474387534</v>
      </c>
      <c r="AB40" s="498">
        <f t="shared" si="0"/>
        <v>11.912156398104266</v>
      </c>
      <c r="AE40" s="502">
        <f t="shared" si="9"/>
        <v>80.133672925653059</v>
      </c>
      <c r="AF40" s="36">
        <f t="shared" si="10"/>
        <v>56.271149498558181</v>
      </c>
      <c r="AG40" s="36">
        <f t="shared" si="1"/>
        <v>54.828777559706715</v>
      </c>
      <c r="AH40" s="36">
        <f t="shared" si="2"/>
        <v>51.851769509329145</v>
      </c>
      <c r="AI40" s="531">
        <f t="shared" si="3"/>
        <v>69.947071428985424</v>
      </c>
      <c r="AJ40" s="525">
        <f t="shared" si="8"/>
        <v>62.606488184446491</v>
      </c>
    </row>
    <row r="41" spans="2:36" ht="16.5" thickBot="1" x14ac:dyDescent="0.3">
      <c r="B41" s="504" t="s">
        <v>23</v>
      </c>
      <c r="C41" s="502">
        <v>17513.793636501316</v>
      </c>
      <c r="D41" s="36">
        <v>18166.806927496669</v>
      </c>
      <c r="E41" s="502">
        <v>18694.468221084844</v>
      </c>
      <c r="F41" s="36">
        <v>19257.874929710855</v>
      </c>
      <c r="G41" s="531">
        <v>20023.735562926999</v>
      </c>
      <c r="H41" s="526">
        <f t="shared" si="4"/>
        <v>18731.335855544137</v>
      </c>
      <c r="J41" s="504" t="s">
        <v>23</v>
      </c>
      <c r="K41" s="1">
        <v>0.16500000000000001</v>
      </c>
      <c r="L41" s="1">
        <v>0.16500000000000001</v>
      </c>
      <c r="M41" s="814">
        <v>0.16500000000000001</v>
      </c>
      <c r="N41" s="815">
        <v>0.16500000000000001</v>
      </c>
      <c r="O41" s="815">
        <v>0.16500000000000001</v>
      </c>
      <c r="P41" s="829">
        <f t="shared" si="5"/>
        <v>0.16500000000000001</v>
      </c>
      <c r="S41" s="435">
        <v>11393</v>
      </c>
      <c r="U41" s="563">
        <f t="shared" si="6"/>
        <v>3625.3719089718047</v>
      </c>
      <c r="W41" s="504" t="s">
        <v>23</v>
      </c>
      <c r="X41" s="498">
        <f t="shared" si="7"/>
        <v>890.92542753293958</v>
      </c>
      <c r="Y41" s="498">
        <f t="shared" si="0"/>
        <v>807.86431718061681</v>
      </c>
      <c r="Z41" s="498">
        <f t="shared" si="0"/>
        <v>665.0742689901698</v>
      </c>
      <c r="AA41" s="498">
        <f t="shared" si="0"/>
        <v>375.39022640504305</v>
      </c>
      <c r="AB41" s="498">
        <f t="shared" si="0"/>
        <v>349.25308831306188</v>
      </c>
      <c r="AE41" s="502">
        <f t="shared" si="9"/>
        <v>5224.8012208400978</v>
      </c>
      <c r="AF41" s="36">
        <f t="shared" si="10"/>
        <v>4741.5975431504921</v>
      </c>
      <c r="AG41" s="36">
        <f t="shared" si="1"/>
        <v>3905.3913354278275</v>
      </c>
      <c r="AH41" s="36">
        <f t="shared" si="2"/>
        <v>2204.2878825898006</v>
      </c>
      <c r="AI41" s="531">
        <f t="shared" si="3"/>
        <v>2050.781562850806</v>
      </c>
      <c r="AJ41" s="525">
        <f t="shared" si="8"/>
        <v>3625.3719089718047</v>
      </c>
    </row>
    <row r="42" spans="2:36" ht="16.5" thickBot="1" x14ac:dyDescent="0.3">
      <c r="B42" s="493" t="s">
        <v>247</v>
      </c>
      <c r="C42" s="510">
        <v>15302.872018123737</v>
      </c>
      <c r="D42" s="511">
        <v>16115.302734596999</v>
      </c>
      <c r="E42" s="510">
        <v>16621.609460050826</v>
      </c>
      <c r="F42" s="511">
        <v>17037.791059249827</v>
      </c>
      <c r="G42" s="539">
        <v>17911.101579959399</v>
      </c>
      <c r="H42" s="540">
        <f>AVERAGE(C42:G42)</f>
        <v>16597.735370396156</v>
      </c>
      <c r="J42" s="493" t="s">
        <v>247</v>
      </c>
      <c r="K42" s="493">
        <v>0.170518530729804</v>
      </c>
      <c r="L42" s="493">
        <v>0.17037808667410478</v>
      </c>
      <c r="M42" s="817">
        <v>0.17029644710811351</v>
      </c>
      <c r="N42" s="818">
        <v>0.17030000000000001</v>
      </c>
      <c r="O42" s="819">
        <v>0.17030243232124764</v>
      </c>
      <c r="P42" s="829">
        <f t="shared" si="5"/>
        <v>0.170359099366654</v>
      </c>
      <c r="S42" s="435">
        <v>28666</v>
      </c>
      <c r="U42" s="563">
        <f t="shared" si="6"/>
        <v>1839.2313870397841</v>
      </c>
      <c r="W42" s="493" t="s">
        <v>247</v>
      </c>
      <c r="X42" s="1341">
        <f t="shared" si="7"/>
        <v>428.70426974067595</v>
      </c>
      <c r="Y42" s="1341">
        <f t="shared" ref="Y42" si="11">Y21/AJ21</f>
        <v>398.45643470108888</v>
      </c>
      <c r="Z42" s="1341">
        <f t="shared" ref="Z42" si="12">Z21/AK21</f>
        <v>335.27026350555218</v>
      </c>
      <c r="AA42" s="1341">
        <f t="shared" ref="AA42" si="13">AA21/AL21</f>
        <v>206.62318109680834</v>
      </c>
      <c r="AB42" s="1341">
        <f t="shared" ref="AB42" si="14">AB21/AM21</f>
        <v>197.77641323415901</v>
      </c>
      <c r="AE42" s="510">
        <f t="shared" si="9"/>
        <v>2514.1212975848443</v>
      </c>
      <c r="AF42" s="511">
        <f t="shared" si="10"/>
        <v>2338.6601086984092</v>
      </c>
      <c r="AG42" s="510">
        <f t="shared" si="1"/>
        <v>1968.7449104132177</v>
      </c>
      <c r="AH42" s="1208">
        <f t="shared" si="2"/>
        <v>1213.2893781374535</v>
      </c>
      <c r="AI42" s="1208">
        <f>AB42/$N$42</f>
        <v>1161.341240364997</v>
      </c>
      <c r="AJ42" s="1203">
        <f t="shared" si="8"/>
        <v>1839.2313870397841</v>
      </c>
    </row>
    <row r="43" spans="2:36" x14ac:dyDescent="0.2">
      <c r="S43" s="9"/>
      <c r="T43" s="9"/>
      <c r="U43" s="9"/>
      <c r="V43" s="9"/>
      <c r="X43" s="1">
        <v>11770504.43</v>
      </c>
      <c r="Y43" s="1">
        <v>11050790.76</v>
      </c>
      <c r="Z43" s="219">
        <v>9389914.2699999996</v>
      </c>
      <c r="AA43" s="21">
        <v>5858800.3000000007</v>
      </c>
      <c r="AB43" s="21">
        <v>5637023.3300000001</v>
      </c>
      <c r="AE43" s="1">
        <f>X42/K42</f>
        <v>2514.1212975848443</v>
      </c>
      <c r="AF43" s="1">
        <f t="shared" ref="AF43:AI43" si="15">Y42/L42</f>
        <v>2338.6601086984092</v>
      </c>
      <c r="AG43" s="1">
        <f t="shared" si="15"/>
        <v>1968.7449104132177</v>
      </c>
      <c r="AH43" s="1">
        <f t="shared" si="15"/>
        <v>1213.2893781374535</v>
      </c>
      <c r="AI43" s="1">
        <f t="shared" si="15"/>
        <v>1161.3246536672254</v>
      </c>
    </row>
    <row r="44" spans="2:36" ht="15.75" thickBot="1" x14ac:dyDescent="0.25">
      <c r="E44" s="24" t="s">
        <v>549</v>
      </c>
      <c r="J44" s="24" t="s">
        <v>549</v>
      </c>
      <c r="S44" s="24" t="s">
        <v>549</v>
      </c>
      <c r="T44" s="9"/>
      <c r="U44" s="9"/>
      <c r="V44" s="9"/>
      <c r="W44" s="24" t="s">
        <v>550</v>
      </c>
      <c r="AA44" s="9"/>
      <c r="AB44" s="9"/>
      <c r="AG44" s="24" t="s">
        <v>550</v>
      </c>
      <c r="AI44" s="9"/>
      <c r="AJ44" s="9"/>
    </row>
    <row r="45" spans="2:36" ht="15.75" thickBot="1" x14ac:dyDescent="0.25">
      <c r="B45" s="544"/>
      <c r="C45" s="3"/>
      <c r="D45" s="3"/>
      <c r="E45" s="3"/>
      <c r="F45" s="3"/>
      <c r="G45" s="3"/>
      <c r="H45" s="3"/>
      <c r="I45" s="3"/>
      <c r="J45" s="499"/>
      <c r="S45" s="9"/>
      <c r="T45" s="9"/>
      <c r="U45" s="9"/>
      <c r="V45" s="9"/>
      <c r="AI45" s="9"/>
      <c r="AJ45" s="9"/>
    </row>
    <row r="46" spans="2:36" ht="16.5" thickBot="1" x14ac:dyDescent="0.3">
      <c r="B46" s="40" t="s">
        <v>248</v>
      </c>
      <c r="C46" s="733"/>
      <c r="D46" s="733"/>
      <c r="E46" s="733"/>
      <c r="F46" s="733"/>
      <c r="G46" s="1008">
        <f>AVERAGE(C42:G42)</f>
        <v>16597.735370396156</v>
      </c>
      <c r="H46" s="9" t="s">
        <v>249</v>
      </c>
      <c r="I46" s="9"/>
      <c r="J46" s="419"/>
      <c r="S46" s="9"/>
      <c r="T46" s="9"/>
      <c r="U46" s="9">
        <f>AJ46/S37</f>
        <v>0.84481544883352622</v>
      </c>
      <c r="V46" s="9"/>
      <c r="AG46" s="1">
        <f>Z37/0.1704</f>
        <v>1788.4957311385888</v>
      </c>
      <c r="AH46" s="1">
        <f>AA37/0.1704</f>
        <v>1421.839934635437</v>
      </c>
      <c r="AI46" s="1">
        <f>AB37/0.1704</f>
        <v>1384.6155604315231</v>
      </c>
      <c r="AJ46" s="570">
        <f>AVERAGE(AG46:AI46)</f>
        <v>1531.650408735183</v>
      </c>
    </row>
    <row r="47" spans="2:36" ht="16.5" thickBot="1" x14ac:dyDescent="0.3">
      <c r="B47" s="40" t="s">
        <v>250</v>
      </c>
      <c r="C47" s="733"/>
      <c r="D47" s="733"/>
      <c r="E47" s="733"/>
      <c r="F47" s="733"/>
      <c r="G47" s="1008">
        <f>G46*1.1</f>
        <v>18257.508907435775</v>
      </c>
      <c r="H47" s="9"/>
      <c r="I47" s="9"/>
      <c r="J47" s="419"/>
      <c r="S47" s="9"/>
      <c r="T47" s="9"/>
      <c r="U47" s="9"/>
      <c r="V47" s="9"/>
      <c r="AI47" s="9"/>
      <c r="AJ47" s="9"/>
    </row>
    <row r="48" spans="2:36" x14ac:dyDescent="0.2">
      <c r="B48" s="418"/>
      <c r="C48" s="9"/>
      <c r="D48" s="9"/>
      <c r="E48" s="9"/>
      <c r="F48" s="9"/>
      <c r="G48" s="9"/>
      <c r="H48" s="9"/>
      <c r="I48" s="9"/>
      <c r="J48" s="419"/>
      <c r="S48" s="9"/>
      <c r="T48" s="9"/>
      <c r="U48" s="9">
        <f>50*0.9*0.1704*1.1</f>
        <v>8.434800000000001</v>
      </c>
      <c r="V48" s="9"/>
      <c r="AG48" s="1">
        <f>Z28/0.1704</f>
        <v>277.78293796887374</v>
      </c>
      <c r="AH48" s="1">
        <f>AA28/0.1704</f>
        <v>381.62720552307383</v>
      </c>
      <c r="AI48" s="1">
        <f>AB28/0.1704</f>
        <v>403.6200178815551</v>
      </c>
      <c r="AJ48" s="570">
        <f>AVERAGE(AG48:AI48)</f>
        <v>354.34338712450091</v>
      </c>
    </row>
    <row r="49" spans="1:30" ht="15.75" thickBot="1" x14ac:dyDescent="0.25">
      <c r="B49" s="418"/>
      <c r="C49" s="9"/>
      <c r="D49" s="9"/>
      <c r="E49" s="9"/>
      <c r="F49" s="9"/>
      <c r="G49" s="9"/>
      <c r="H49" s="9"/>
      <c r="I49" s="9"/>
      <c r="J49" s="419"/>
      <c r="P49" s="9"/>
      <c r="Q49" s="9"/>
      <c r="R49" s="9"/>
      <c r="S49" s="9"/>
      <c r="AA49" s="9"/>
      <c r="AB49" s="9"/>
      <c r="AC49" s="9"/>
      <c r="AD49" s="9"/>
    </row>
    <row r="50" spans="1:30" ht="16.5" thickBot="1" x14ac:dyDescent="0.3">
      <c r="B50" s="40" t="s">
        <v>251</v>
      </c>
      <c r="C50" s="733"/>
      <c r="D50" s="733"/>
      <c r="E50" s="733"/>
      <c r="F50" s="733"/>
      <c r="G50" s="1008">
        <f>U42</f>
        <v>1839.2313870397841</v>
      </c>
      <c r="H50" s="9" t="s">
        <v>249</v>
      </c>
      <c r="I50" s="9"/>
      <c r="J50" s="419"/>
      <c r="P50" s="9"/>
      <c r="Q50" s="9"/>
      <c r="R50" s="9"/>
      <c r="S50" s="9"/>
    </row>
    <row r="51" spans="1:30" ht="15.75" thickBot="1" x14ac:dyDescent="0.25">
      <c r="B51" s="418"/>
      <c r="C51" s="9"/>
      <c r="D51" s="9"/>
      <c r="E51" s="9"/>
      <c r="F51" s="9"/>
      <c r="G51" s="9"/>
      <c r="H51" s="9"/>
      <c r="I51" s="9"/>
      <c r="J51" s="419"/>
      <c r="P51" s="9"/>
      <c r="Q51" s="9"/>
      <c r="R51" s="9"/>
      <c r="S51" s="9"/>
    </row>
    <row r="52" spans="1:30" ht="16.5" thickBot="1" x14ac:dyDescent="0.3">
      <c r="B52" s="40" t="s">
        <v>252</v>
      </c>
      <c r="C52" s="733"/>
      <c r="D52" s="733"/>
      <c r="E52" s="733"/>
      <c r="F52" s="733"/>
      <c r="G52" s="1009">
        <f>P42</f>
        <v>0.170359099366654</v>
      </c>
      <c r="H52" s="9" t="s">
        <v>249</v>
      </c>
      <c r="I52" s="9"/>
      <c r="J52" s="419"/>
      <c r="P52" s="9"/>
      <c r="Q52" s="9"/>
      <c r="R52" s="9"/>
      <c r="S52" s="9"/>
    </row>
    <row r="53" spans="1:30" ht="15.75" thickBot="1" x14ac:dyDescent="0.25">
      <c r="B53" s="418"/>
      <c r="C53" s="9"/>
      <c r="D53" s="9"/>
      <c r="E53" s="9"/>
      <c r="F53" s="9"/>
      <c r="G53" s="9"/>
      <c r="H53" s="9"/>
      <c r="I53" s="9"/>
      <c r="J53" s="419"/>
      <c r="P53" s="9"/>
      <c r="Q53" s="9"/>
      <c r="R53" s="9"/>
      <c r="S53" s="9"/>
    </row>
    <row r="54" spans="1:30" ht="16.5" thickBot="1" x14ac:dyDescent="0.3">
      <c r="B54" s="40" t="s">
        <v>253</v>
      </c>
      <c r="C54" s="733"/>
      <c r="D54" s="733"/>
      <c r="E54" s="733"/>
      <c r="F54" s="733"/>
      <c r="G54" s="1010">
        <f>H42+U42</f>
        <v>18436.966757435941</v>
      </c>
      <c r="H54" s="9"/>
      <c r="I54" s="9"/>
      <c r="J54" s="419"/>
      <c r="P54" s="9"/>
      <c r="Q54" s="9"/>
      <c r="R54" s="9"/>
      <c r="S54" s="9"/>
    </row>
    <row r="55" spans="1:30" ht="16.5" thickBot="1" x14ac:dyDescent="0.3">
      <c r="B55" s="40" t="s">
        <v>254</v>
      </c>
      <c r="C55" s="733"/>
      <c r="D55" s="733"/>
      <c r="E55" s="733"/>
      <c r="F55" s="733"/>
      <c r="G55" s="1010">
        <f>G54*Kontrollpanel!P15</f>
        <v>21939.990441348767</v>
      </c>
      <c r="H55" s="9"/>
      <c r="I55" s="9"/>
      <c r="J55" s="419"/>
      <c r="P55" s="9"/>
      <c r="Q55" s="9"/>
      <c r="R55" s="9"/>
      <c r="S55" s="9"/>
    </row>
    <row r="56" spans="1:30" ht="16.5" thickBot="1" x14ac:dyDescent="0.3">
      <c r="B56" s="42" t="s">
        <v>509</v>
      </c>
      <c r="C56" s="1007"/>
      <c r="D56" s="1007"/>
      <c r="E56" s="1007"/>
      <c r="F56" s="1007"/>
      <c r="G56" s="1011">
        <f>Kontrollpanel!P16</f>
        <v>0.9</v>
      </c>
      <c r="H56" s="424"/>
      <c r="I56" s="424"/>
      <c r="J56" s="507"/>
      <c r="P56" s="9"/>
      <c r="Q56" s="9"/>
      <c r="R56" s="9"/>
      <c r="S56" s="9"/>
    </row>
    <row r="57" spans="1:30" ht="15.75" thickBot="1" x14ac:dyDescent="0.25">
      <c r="A57" s="9"/>
      <c r="P57" s="9"/>
      <c r="Q57" s="9"/>
      <c r="R57" s="9"/>
      <c r="S57" s="9"/>
    </row>
    <row r="58" spans="1:30" ht="15.75" thickBot="1" x14ac:dyDescent="0.25">
      <c r="A58" s="9"/>
      <c r="F58" s="553" t="s">
        <v>255</v>
      </c>
      <c r="G58" s="554"/>
      <c r="H58" s="554"/>
      <c r="I58" s="554"/>
      <c r="J58" s="554"/>
      <c r="K58" s="554"/>
      <c r="L58" s="554"/>
      <c r="M58" s="554"/>
      <c r="N58" s="554"/>
      <c r="O58" s="555"/>
      <c r="P58" s="9"/>
      <c r="Q58" s="553" t="s">
        <v>256</v>
      </c>
      <c r="R58" s="554"/>
      <c r="S58" s="554"/>
      <c r="T58" s="554"/>
      <c r="U58" s="554"/>
      <c r="V58" s="555"/>
      <c r="W58" s="554"/>
      <c r="X58" s="554"/>
      <c r="Y58" s="555"/>
    </row>
    <row r="59" spans="1:30" ht="15" customHeight="1" x14ac:dyDescent="0.25">
      <c r="A59" s="556"/>
      <c r="B59" s="1371" t="s">
        <v>556</v>
      </c>
      <c r="C59" s="1408"/>
      <c r="D59" s="1408"/>
      <c r="E59" s="1372"/>
      <c r="F59" s="544"/>
      <c r="G59" s="499"/>
      <c r="H59" s="3"/>
      <c r="I59" s="3"/>
      <c r="J59" s="2"/>
      <c r="K59" s="3"/>
      <c r="L59" s="3"/>
      <c r="M59" s="544"/>
      <c r="N59" s="499"/>
      <c r="O59" s="2"/>
      <c r="Q59" s="1410" t="s">
        <v>258</v>
      </c>
      <c r="R59" s="1411"/>
      <c r="S59" s="1416" t="s">
        <v>259</v>
      </c>
      <c r="T59" s="1417"/>
      <c r="U59" s="1410" t="s">
        <v>260</v>
      </c>
      <c r="V59" s="1411"/>
      <c r="W59" s="1416" t="s">
        <v>261</v>
      </c>
      <c r="X59" s="499"/>
      <c r="Y59" s="499"/>
    </row>
    <row r="60" spans="1:30" ht="15" customHeight="1" x14ac:dyDescent="0.25">
      <c r="A60" s="556"/>
      <c r="B60" s="1366"/>
      <c r="C60" s="1364"/>
      <c r="D60" s="1364"/>
      <c r="E60" s="1367"/>
      <c r="F60" s="1366" t="s">
        <v>262</v>
      </c>
      <c r="G60" s="1367"/>
      <c r="H60" s="1364" t="s">
        <v>263</v>
      </c>
      <c r="I60" s="1364"/>
      <c r="J60" s="1368" t="s">
        <v>264</v>
      </c>
      <c r="K60" s="1365" t="s">
        <v>265</v>
      </c>
      <c r="L60" s="1365"/>
      <c r="M60" s="418"/>
      <c r="N60" s="1369" t="s">
        <v>266</v>
      </c>
      <c r="O60" s="1368" t="s">
        <v>267</v>
      </c>
      <c r="Q60" s="1412"/>
      <c r="R60" s="1413"/>
      <c r="S60" s="1418"/>
      <c r="T60" s="1419"/>
      <c r="U60" s="1412"/>
      <c r="V60" s="1413"/>
      <c r="W60" s="1418"/>
      <c r="X60" s="419"/>
      <c r="Y60" s="419"/>
    </row>
    <row r="61" spans="1:30" ht="16.5" customHeight="1" x14ac:dyDescent="0.25">
      <c r="A61" s="556"/>
      <c r="B61" s="1366"/>
      <c r="C61" s="1364"/>
      <c r="D61" s="1364"/>
      <c r="E61" s="1367"/>
      <c r="F61" s="1366"/>
      <c r="G61" s="1367"/>
      <c r="H61" s="1364"/>
      <c r="I61" s="1364"/>
      <c r="J61" s="1368"/>
      <c r="K61" s="1365"/>
      <c r="L61" s="1365"/>
      <c r="M61" s="418"/>
      <c r="N61" s="1369"/>
      <c r="O61" s="1368"/>
      <c r="Q61" s="1412"/>
      <c r="R61" s="1413"/>
      <c r="S61" s="1418"/>
      <c r="T61" s="1419"/>
      <c r="U61" s="1412"/>
      <c r="V61" s="1413"/>
      <c r="W61" s="1418"/>
      <c r="X61" s="1369" t="s">
        <v>268</v>
      </c>
      <c r="Y61" s="1369" t="s">
        <v>269</v>
      </c>
    </row>
    <row r="62" spans="1:30" ht="16.5" customHeight="1" x14ac:dyDescent="0.25">
      <c r="A62" s="138"/>
      <c r="B62" s="1366"/>
      <c r="C62" s="1364"/>
      <c r="D62" s="1364"/>
      <c r="E62" s="1367"/>
      <c r="F62" s="1366"/>
      <c r="G62" s="1367"/>
      <c r="H62" s="1364"/>
      <c r="I62" s="1364"/>
      <c r="J62" s="1368"/>
      <c r="K62" s="828"/>
      <c r="L62" s="828"/>
      <c r="M62" s="418"/>
      <c r="N62" s="1369"/>
      <c r="O62" s="1368"/>
      <c r="Q62" s="1412"/>
      <c r="R62" s="1413"/>
      <c r="S62" s="1418"/>
      <c r="T62" s="1419"/>
      <c r="U62" s="1412"/>
      <c r="V62" s="1413"/>
      <c r="W62" s="1418"/>
      <c r="X62" s="1369"/>
      <c r="Y62" s="1369"/>
    </row>
    <row r="63" spans="1:30" ht="16.5" customHeight="1" thickBot="1" x14ac:dyDescent="0.3">
      <c r="A63" s="138"/>
      <c r="B63" s="1373"/>
      <c r="C63" s="1409"/>
      <c r="D63" s="1409"/>
      <c r="E63" s="1374"/>
      <c r="F63" s="1366"/>
      <c r="G63" s="1367"/>
      <c r="H63" s="1364"/>
      <c r="I63" s="1364"/>
      <c r="J63" s="1368"/>
      <c r="K63" s="828"/>
      <c r="L63" s="828"/>
      <c r="M63" s="418"/>
      <c r="N63" s="1369"/>
      <c r="O63" s="1368"/>
      <c r="Q63" s="1414"/>
      <c r="R63" s="1415"/>
      <c r="S63" s="1420"/>
      <c r="T63" s="1421"/>
      <c r="U63" s="1414"/>
      <c r="V63" s="1415"/>
      <c r="W63" s="557"/>
      <c r="X63" s="1422"/>
      <c r="Y63" s="1422"/>
    </row>
    <row r="64" spans="1:30" ht="16.5" thickBot="1" x14ac:dyDescent="0.3">
      <c r="A64" s="9"/>
      <c r="B64" s="493"/>
      <c r="C64" s="738"/>
      <c r="D64" s="738"/>
      <c r="E64" s="4">
        <v>2014</v>
      </c>
      <c r="F64" s="558"/>
      <c r="G64" s="559"/>
      <c r="H64" s="560"/>
      <c r="I64" s="560"/>
      <c r="J64" s="561"/>
      <c r="K64" s="421"/>
      <c r="L64" s="421"/>
      <c r="M64" s="420"/>
      <c r="N64" s="422"/>
      <c r="O64" s="561"/>
      <c r="Q64" s="420"/>
      <c r="R64" s="422"/>
      <c r="S64" s="420"/>
      <c r="T64" s="422"/>
      <c r="U64" s="544"/>
      <c r="V64" s="499"/>
      <c r="W64" s="420"/>
      <c r="X64" s="422"/>
      <c r="Y64" s="422"/>
    </row>
    <row r="65" spans="2:27" ht="15.75" x14ac:dyDescent="0.25">
      <c r="B65" s="562" t="s">
        <v>8</v>
      </c>
      <c r="C65" s="6"/>
      <c r="D65" s="6"/>
      <c r="E65" s="739">
        <f t="shared" ref="E65:E81" si="16">H26+U26</f>
        <v>16296.776848288056</v>
      </c>
      <c r="F65" s="566"/>
      <c r="G65" s="565">
        <f t="shared" ref="G65:G81" si="17">$G$54-E65</f>
        <v>2140.1899091478845</v>
      </c>
      <c r="H65" s="566"/>
      <c r="I65" s="567">
        <f>$G$55-E65</f>
        <v>5643.213593060711</v>
      </c>
      <c r="J65" s="568">
        <f t="shared" ref="J65:J80" si="18">IF(G65&gt;0,IF(P26&lt;$P$42,P26,$P$42)*G65*0.9,0)</f>
        <v>326.48597064050983</v>
      </c>
      <c r="K65" s="9"/>
      <c r="L65" s="569">
        <f t="shared" ref="L65:L80" si="19">IF(I65&gt;0,IF(P26&lt;$P$42,P26,$P$42)*I65*$G$56,0)</f>
        <v>860.87223362141151</v>
      </c>
      <c r="M65" s="418"/>
      <c r="N65" s="531">
        <f t="shared" ref="N65:N80" si="20">J65*S26</f>
        <v>155080.83605424216</v>
      </c>
      <c r="O65" s="711">
        <f t="shared" ref="O65:O80" si="21">L65*S26</f>
        <v>408914.31097017048</v>
      </c>
      <c r="P65" s="711">
        <v>241872.6787369551</v>
      </c>
      <c r="Q65" s="544"/>
      <c r="R65" s="525">
        <f t="shared" ref="R65:R81" si="22">H26-$H$42</f>
        <v>-1393.9248269250529</v>
      </c>
      <c r="T65" s="22">
        <f>H26-$G$47</f>
        <v>-3053.6983639646714</v>
      </c>
      <c r="U65" s="544"/>
      <c r="V65" s="525">
        <f t="shared" ref="V65:V80" si="23">IF(R65&lt;0,R65*-1*IF(P26&lt;$P$42,P26,$P$42),0)</f>
        <v>236.27025816379648</v>
      </c>
      <c r="W65" s="525">
        <f t="shared" ref="W65:W80" si="24">IF(T65&lt;0,T65*-1*IF(P26&lt;$P$42,P26,$P$42),0)</f>
        <v>517.60187269201185</v>
      </c>
      <c r="X65" s="531">
        <f t="shared" ref="X65:X80" si="25">V65*S26</f>
        <v>112228.37262780333</v>
      </c>
      <c r="Y65" s="563">
        <f t="shared" ref="Y65:Y80" si="26">W65*S26</f>
        <v>245860.88952870562</v>
      </c>
    </row>
    <row r="66" spans="2:27" ht="15.75" x14ac:dyDescent="0.25">
      <c r="B66" s="562" t="s">
        <v>9</v>
      </c>
      <c r="C66" s="6"/>
      <c r="D66" s="6"/>
      <c r="E66" s="740">
        <f t="shared" si="16"/>
        <v>13901.77442079671</v>
      </c>
      <c r="F66" s="566"/>
      <c r="G66" s="565">
        <f t="shared" si="17"/>
        <v>4535.1923366392311</v>
      </c>
      <c r="H66" s="566"/>
      <c r="I66" s="567">
        <f t="shared" ref="I66:I81" si="27">$G$55-E66</f>
        <v>8038.2160205520577</v>
      </c>
      <c r="J66" s="568">
        <f t="shared" si="18"/>
        <v>695.3501537319695</v>
      </c>
      <c r="K66" s="9"/>
      <c r="L66" s="569">
        <f t="shared" si="19"/>
        <v>1232.4449175982722</v>
      </c>
      <c r="M66" s="418"/>
      <c r="N66" s="531">
        <f t="shared" si="20"/>
        <v>658496.59558417508</v>
      </c>
      <c r="O66" s="711">
        <f t="shared" si="21"/>
        <v>1167125.3369655637</v>
      </c>
      <c r="P66" s="711">
        <v>907903.14577119774</v>
      </c>
      <c r="Q66" s="418"/>
      <c r="R66" s="531">
        <f t="shared" si="22"/>
        <v>-3413.3555929093218</v>
      </c>
      <c r="T66" s="22">
        <f t="shared" ref="T66:T80" si="28">H27-$G$47</f>
        <v>-5073.1291299489403</v>
      </c>
      <c r="U66" s="418"/>
      <c r="V66" s="531">
        <f t="shared" si="23"/>
        <v>581.49618462616331</v>
      </c>
      <c r="W66" s="531">
        <f t="shared" si="24"/>
        <v>864.25370954883851</v>
      </c>
      <c r="X66" s="531">
        <f t="shared" si="25"/>
        <v>550676.88684097666</v>
      </c>
      <c r="Y66" s="570">
        <f t="shared" si="26"/>
        <v>818448.26294275012</v>
      </c>
      <c r="AA66" s="711">
        <v>415186.48995389394</v>
      </c>
    </row>
    <row r="67" spans="2:27" ht="15.75" x14ac:dyDescent="0.25">
      <c r="B67" s="562" t="s">
        <v>10</v>
      </c>
      <c r="C67" s="6"/>
      <c r="D67" s="6"/>
      <c r="E67" s="740">
        <f t="shared" si="16"/>
        <v>15467.54379108349</v>
      </c>
      <c r="F67" s="566"/>
      <c r="G67" s="565">
        <f t="shared" si="17"/>
        <v>2969.4229663524511</v>
      </c>
      <c r="H67" s="566"/>
      <c r="I67" s="567">
        <f t="shared" si="27"/>
        <v>6472.4466502652776</v>
      </c>
      <c r="J67" s="568">
        <f t="shared" si="18"/>
        <v>455.28139996781556</v>
      </c>
      <c r="K67" s="9"/>
      <c r="L67" s="569">
        <f t="shared" si="19"/>
        <v>992.3761638341183</v>
      </c>
      <c r="M67" s="418"/>
      <c r="N67" s="531">
        <f t="shared" si="20"/>
        <v>1147309.1279188951</v>
      </c>
      <c r="O67" s="711">
        <f t="shared" si="21"/>
        <v>2500787.9328619782</v>
      </c>
      <c r="P67" s="711">
        <v>1716227.8092105556</v>
      </c>
      <c r="Q67" s="418"/>
      <c r="R67" s="531">
        <f t="shared" si="22"/>
        <v>-1528.6412336942394</v>
      </c>
      <c r="T67" s="22">
        <f t="shared" si="28"/>
        <v>-3188.4147707338579</v>
      </c>
      <c r="U67" s="418"/>
      <c r="V67" s="531">
        <f t="shared" si="23"/>
        <v>260.41794382688147</v>
      </c>
      <c r="W67" s="531">
        <f t="shared" si="24"/>
        <v>543.17546874955667</v>
      </c>
      <c r="X67" s="531">
        <f t="shared" si="25"/>
        <v>656253.21844374132</v>
      </c>
      <c r="Y67" s="570">
        <f t="shared" si="26"/>
        <v>1368802.1812488828</v>
      </c>
      <c r="AA67" s="711">
        <v>1187062.7095225423</v>
      </c>
    </row>
    <row r="68" spans="2:27" ht="15.75" x14ac:dyDescent="0.25">
      <c r="B68" s="562" t="s">
        <v>11</v>
      </c>
      <c r="C68" s="6"/>
      <c r="D68" s="6"/>
      <c r="E68" s="740">
        <f t="shared" si="16"/>
        <v>16010.69448473087</v>
      </c>
      <c r="F68" s="566"/>
      <c r="G68" s="565">
        <f t="shared" si="17"/>
        <v>2426.2722727050714</v>
      </c>
      <c r="H68" s="566"/>
      <c r="I68" s="567">
        <f t="shared" si="27"/>
        <v>5929.2959566178979</v>
      </c>
      <c r="J68" s="568">
        <f t="shared" si="18"/>
        <v>372.00380327668864</v>
      </c>
      <c r="K68" s="9"/>
      <c r="L68" s="569">
        <f t="shared" si="19"/>
        <v>909.09856714299144</v>
      </c>
      <c r="M68" s="418"/>
      <c r="N68" s="531">
        <f t="shared" si="20"/>
        <v>212786.17547426591</v>
      </c>
      <c r="O68" s="711">
        <f t="shared" si="21"/>
        <v>520004.3804057911</v>
      </c>
      <c r="P68" s="711">
        <v>352924.06917053333</v>
      </c>
      <c r="Q68" s="418"/>
      <c r="R68" s="531">
        <f t="shared" si="22"/>
        <v>-2209.7669440085483</v>
      </c>
      <c r="T68" s="22">
        <f t="shared" si="28"/>
        <v>-3869.5404810481668</v>
      </c>
      <c r="U68" s="418"/>
      <c r="V68" s="531">
        <f t="shared" si="23"/>
        <v>376.45390639149963</v>
      </c>
      <c r="W68" s="531">
        <f t="shared" si="24"/>
        <v>659.21143131417477</v>
      </c>
      <c r="X68" s="531">
        <f t="shared" si="25"/>
        <v>215331.63445593778</v>
      </c>
      <c r="Y68" s="570">
        <f t="shared" si="26"/>
        <v>377068.93871170795</v>
      </c>
      <c r="AA68" s="711">
        <v>2550050.914572312</v>
      </c>
    </row>
    <row r="69" spans="2:27" ht="15.75" x14ac:dyDescent="0.25">
      <c r="B69" s="562" t="s">
        <v>12</v>
      </c>
      <c r="C69" s="6"/>
      <c r="D69" s="6"/>
      <c r="E69" s="740">
        <f t="shared" si="16"/>
        <v>11167.47181684982</v>
      </c>
      <c r="F69" s="566"/>
      <c r="G69" s="565">
        <f t="shared" si="17"/>
        <v>7269.4949405861207</v>
      </c>
      <c r="H69" s="566"/>
      <c r="I69" s="567">
        <f t="shared" si="27"/>
        <v>10772.518624498947</v>
      </c>
      <c r="J69" s="568">
        <f t="shared" si="18"/>
        <v>1114.5821498358296</v>
      </c>
      <c r="K69" s="9"/>
      <c r="L69" s="569">
        <f t="shared" si="19"/>
        <v>1651.6769137021324</v>
      </c>
      <c r="M69" s="418"/>
      <c r="N69" s="531">
        <f t="shared" si="20"/>
        <v>557291.07491791481</v>
      </c>
      <c r="O69" s="711">
        <f t="shared" si="21"/>
        <v>825838.45685106621</v>
      </c>
      <c r="P69" s="711">
        <v>661088.0333440532</v>
      </c>
      <c r="Q69" s="418"/>
      <c r="R69" s="531">
        <f t="shared" si="22"/>
        <v>-5495.5024304967701</v>
      </c>
      <c r="T69" s="22">
        <f t="shared" si="28"/>
        <v>-7155.2759675363886</v>
      </c>
      <c r="U69" s="418"/>
      <c r="V69" s="531">
        <f t="shared" si="23"/>
        <v>936.20884462668778</v>
      </c>
      <c r="W69" s="531">
        <f t="shared" si="24"/>
        <v>1218.966369549363</v>
      </c>
      <c r="X69" s="531">
        <f t="shared" si="25"/>
        <v>468104.42231334391</v>
      </c>
      <c r="Y69" s="570">
        <f t="shared" si="26"/>
        <v>609483.18477468146</v>
      </c>
      <c r="AA69" s="711">
        <v>530574.66802968038</v>
      </c>
    </row>
    <row r="70" spans="2:27" ht="15.75" x14ac:dyDescent="0.25">
      <c r="B70" s="562" t="s">
        <v>13</v>
      </c>
      <c r="C70" s="6"/>
      <c r="D70" s="6"/>
      <c r="E70" s="740">
        <f t="shared" si="16"/>
        <v>14448.620419559929</v>
      </c>
      <c r="F70" s="566"/>
      <c r="G70" s="565">
        <f t="shared" si="17"/>
        <v>3988.3463378760116</v>
      </c>
      <c r="H70" s="566"/>
      <c r="I70" s="567">
        <f t="shared" si="27"/>
        <v>7491.3700217888381</v>
      </c>
      <c r="J70" s="568">
        <f t="shared" si="18"/>
        <v>592.26943117458779</v>
      </c>
      <c r="K70" s="9"/>
      <c r="L70" s="569">
        <f t="shared" si="19"/>
        <v>1112.4684482356424</v>
      </c>
      <c r="M70" s="418"/>
      <c r="N70" s="531">
        <f t="shared" si="20"/>
        <v>912094.92400886526</v>
      </c>
      <c r="O70" s="711">
        <f t="shared" si="21"/>
        <v>1713201.4102828894</v>
      </c>
      <c r="P70" s="711">
        <v>1233130.4330766911</v>
      </c>
      <c r="Q70" s="418"/>
      <c r="R70" s="531">
        <f t="shared" si="22"/>
        <v>-2457.9954468035321</v>
      </c>
      <c r="T70" s="22">
        <f t="shared" si="28"/>
        <v>-4117.7689838431506</v>
      </c>
      <c r="U70" s="418"/>
      <c r="V70" s="531">
        <f t="shared" si="23"/>
        <v>405.56924872258281</v>
      </c>
      <c r="W70" s="531">
        <f t="shared" si="24"/>
        <v>679.4318823341199</v>
      </c>
      <c r="X70" s="531">
        <f t="shared" si="25"/>
        <v>624576.64303277759</v>
      </c>
      <c r="Y70" s="570">
        <f t="shared" si="26"/>
        <v>1046325.0987945447</v>
      </c>
      <c r="AA70" s="711">
        <v>835716.94650352444</v>
      </c>
    </row>
    <row r="71" spans="2:27" ht="15.75" x14ac:dyDescent="0.25">
      <c r="B71" s="562" t="s">
        <v>14</v>
      </c>
      <c r="C71" s="6"/>
      <c r="D71" s="6"/>
      <c r="E71" s="740">
        <f t="shared" si="16"/>
        <v>17656.1252778323</v>
      </c>
      <c r="F71" s="566"/>
      <c r="G71" s="565">
        <f t="shared" si="17"/>
        <v>780.84147960364135</v>
      </c>
      <c r="H71" s="566"/>
      <c r="I71" s="567">
        <f t="shared" si="27"/>
        <v>4283.8651635164679</v>
      </c>
      <c r="J71" s="568">
        <f t="shared" si="18"/>
        <v>119.46874637935713</v>
      </c>
      <c r="K71" s="9"/>
      <c r="L71" s="569">
        <f t="shared" si="19"/>
        <v>655.43137001801972</v>
      </c>
      <c r="M71" s="418"/>
      <c r="N71" s="531">
        <f t="shared" si="20"/>
        <v>528529.73398227594</v>
      </c>
      <c r="O71" s="711">
        <f t="shared" si="21"/>
        <v>2899628.3809597194</v>
      </c>
      <c r="P71" s="711">
        <v>1319698.6503318304</v>
      </c>
      <c r="Q71" s="418"/>
      <c r="R71" s="531">
        <f t="shared" si="22"/>
        <v>128.81370477098244</v>
      </c>
      <c r="T71" s="22">
        <f t="shared" si="28"/>
        <v>-1530.9598322686361</v>
      </c>
      <c r="U71" s="418"/>
      <c r="V71" s="531">
        <f t="shared" si="23"/>
        <v>0</v>
      </c>
      <c r="W71" s="531">
        <f t="shared" si="24"/>
        <v>260.26317148566818</v>
      </c>
      <c r="X71" s="531">
        <f t="shared" si="25"/>
        <v>0</v>
      </c>
      <c r="Y71" s="570">
        <f t="shared" si="26"/>
        <v>1151404.2706525961</v>
      </c>
      <c r="AA71" s="711">
        <v>1743767.5993359976</v>
      </c>
    </row>
    <row r="72" spans="2:27" ht="15.75" x14ac:dyDescent="0.25">
      <c r="B72" s="562" t="s">
        <v>15</v>
      </c>
      <c r="C72" s="6"/>
      <c r="D72" s="6"/>
      <c r="E72" s="740">
        <f t="shared" si="16"/>
        <v>15454.909814281003</v>
      </c>
      <c r="F72" s="566"/>
      <c r="G72" s="565">
        <f t="shared" si="17"/>
        <v>2982.0569431549375</v>
      </c>
      <c r="H72" s="566"/>
      <c r="I72" s="567">
        <f t="shared" si="27"/>
        <v>6485.080627067764</v>
      </c>
      <c r="J72" s="568">
        <f t="shared" si="18"/>
        <v>457.21848158635726</v>
      </c>
      <c r="K72" s="9"/>
      <c r="L72" s="569">
        <f t="shared" si="19"/>
        <v>994.31324545266</v>
      </c>
      <c r="M72" s="418"/>
      <c r="N72" s="531">
        <f t="shared" si="20"/>
        <v>150882.09892349789</v>
      </c>
      <c r="O72" s="711">
        <f t="shared" si="21"/>
        <v>328123.3709993778</v>
      </c>
      <c r="P72" s="711">
        <v>241368.01644203655</v>
      </c>
      <c r="Q72" s="418"/>
      <c r="R72" s="531">
        <f t="shared" si="22"/>
        <v>-1409.9011181813894</v>
      </c>
      <c r="T72" s="22">
        <f t="shared" si="28"/>
        <v>-3069.6746552210079</v>
      </c>
      <c r="U72" s="418"/>
      <c r="V72" s="531">
        <f t="shared" si="23"/>
        <v>240.18948468941988</v>
      </c>
      <c r="W72" s="531">
        <f t="shared" si="24"/>
        <v>522.94700961209503</v>
      </c>
      <c r="X72" s="531">
        <f t="shared" si="25"/>
        <v>79262.529947508563</v>
      </c>
      <c r="Y72" s="570">
        <f t="shared" si="26"/>
        <v>172572.51317199136</v>
      </c>
      <c r="AA72" s="711">
        <v>3027756.4549490428</v>
      </c>
    </row>
    <row r="73" spans="2:27" ht="15.75" x14ac:dyDescent="0.25">
      <c r="B73" s="562" t="s">
        <v>16</v>
      </c>
      <c r="C73" s="6"/>
      <c r="D73" s="6"/>
      <c r="E73" s="740">
        <f t="shared" si="16"/>
        <v>13811.31504081295</v>
      </c>
      <c r="F73" s="566"/>
      <c r="G73" s="565">
        <f t="shared" si="17"/>
        <v>4625.6517166229914</v>
      </c>
      <c r="H73" s="566"/>
      <c r="I73" s="567">
        <f t="shared" si="27"/>
        <v>8128.675400535818</v>
      </c>
      <c r="J73" s="568">
        <f t="shared" si="18"/>
        <v>709.21967438493891</v>
      </c>
      <c r="K73" s="9"/>
      <c r="L73" s="569">
        <f t="shared" si="19"/>
        <v>1246.3144382512417</v>
      </c>
      <c r="M73" s="418"/>
      <c r="N73" s="531">
        <f t="shared" si="20"/>
        <v>178014.13827061967</v>
      </c>
      <c r="O73" s="711">
        <f t="shared" si="21"/>
        <v>312824.92400106165</v>
      </c>
      <c r="P73" s="711">
        <v>224996.70532946571</v>
      </c>
      <c r="Q73" s="418"/>
      <c r="R73" s="531">
        <f t="shared" si="22"/>
        <v>-2965.8573691927777</v>
      </c>
      <c r="T73" s="22">
        <f t="shared" si="28"/>
        <v>-4625.6309062323962</v>
      </c>
      <c r="U73" s="418"/>
      <c r="V73" s="531">
        <f t="shared" si="23"/>
        <v>505.26079026563542</v>
      </c>
      <c r="W73" s="531">
        <f t="shared" si="24"/>
        <v>788.01831518831057</v>
      </c>
      <c r="X73" s="531">
        <f t="shared" si="25"/>
        <v>126820.45835667448</v>
      </c>
      <c r="Y73" s="570">
        <f t="shared" si="26"/>
        <v>197792.59711226594</v>
      </c>
      <c r="AA73" s="711">
        <v>333148.86448317376</v>
      </c>
    </row>
    <row r="74" spans="2:27" ht="15.75" x14ac:dyDescent="0.25">
      <c r="B74" s="562" t="s">
        <v>17</v>
      </c>
      <c r="C74" s="6"/>
      <c r="D74" s="6"/>
      <c r="E74" s="740">
        <f t="shared" si="16"/>
        <v>16674.157342291175</v>
      </c>
      <c r="F74" s="566"/>
      <c r="G74" s="565">
        <f t="shared" si="17"/>
        <v>1762.8094151447658</v>
      </c>
      <c r="H74" s="566"/>
      <c r="I74" s="567">
        <f t="shared" si="27"/>
        <v>5265.8330990575923</v>
      </c>
      <c r="J74" s="568">
        <f t="shared" si="18"/>
        <v>260.19066967536742</v>
      </c>
      <c r="K74" s="9"/>
      <c r="L74" s="569">
        <f t="shared" si="19"/>
        <v>777.23696542090056</v>
      </c>
      <c r="M74" s="418"/>
      <c r="N74" s="531">
        <f t="shared" si="20"/>
        <v>501127.22979475767</v>
      </c>
      <c r="O74" s="711">
        <f t="shared" si="21"/>
        <v>1496958.3954006545</v>
      </c>
      <c r="P74" s="711">
        <v>832607.83834419644</v>
      </c>
      <c r="Q74" s="418"/>
      <c r="R74" s="531">
        <f t="shared" si="22"/>
        <v>-104.45607473701966</v>
      </c>
      <c r="T74" s="22">
        <f t="shared" si="28"/>
        <v>-1764.2296117766382</v>
      </c>
      <c r="U74" s="418"/>
      <c r="V74" s="531">
        <f t="shared" si="23"/>
        <v>17.130796256871221</v>
      </c>
      <c r="W74" s="531">
        <f t="shared" si="24"/>
        <v>289.33365633136862</v>
      </c>
      <c r="X74" s="531">
        <f t="shared" si="25"/>
        <v>32993.913590733973</v>
      </c>
      <c r="Y74" s="570">
        <f t="shared" si="26"/>
        <v>557256.62209421594</v>
      </c>
      <c r="AA74" s="711">
        <v>317511.99304765981</v>
      </c>
    </row>
    <row r="75" spans="2:27" ht="15.75" x14ac:dyDescent="0.25">
      <c r="B75" s="562" t="s">
        <v>18</v>
      </c>
      <c r="C75" s="6"/>
      <c r="D75" s="6"/>
      <c r="E75" s="740">
        <f t="shared" si="16"/>
        <v>16669.026672235508</v>
      </c>
      <c r="F75" s="566"/>
      <c r="G75" s="565">
        <f t="shared" si="17"/>
        <v>1767.9400852004328</v>
      </c>
      <c r="H75" s="566"/>
      <c r="I75" s="567">
        <f t="shared" si="27"/>
        <v>5270.9637691132593</v>
      </c>
      <c r="J75" s="568">
        <f t="shared" si="18"/>
        <v>271.06621258405613</v>
      </c>
      <c r="K75" s="9"/>
      <c r="L75" s="569">
        <f t="shared" si="19"/>
        <v>808.16097645035904</v>
      </c>
      <c r="M75" s="418"/>
      <c r="N75" s="531">
        <f t="shared" si="20"/>
        <v>111950.34579721518</v>
      </c>
      <c r="O75" s="711">
        <f t="shared" si="21"/>
        <v>333770.48327399831</v>
      </c>
      <c r="P75" s="711">
        <v>185097.39976314269</v>
      </c>
      <c r="Q75" s="418"/>
      <c r="R75" s="531">
        <f t="shared" si="22"/>
        <v>-541.47607802679704</v>
      </c>
      <c r="T75" s="22">
        <f t="shared" si="28"/>
        <v>-2201.2496150664156</v>
      </c>
      <c r="U75" s="418"/>
      <c r="V75" s="531">
        <f t="shared" si="23"/>
        <v>92.245376981233207</v>
      </c>
      <c r="W75" s="531">
        <f t="shared" si="24"/>
        <v>375.00290190390837</v>
      </c>
      <c r="X75" s="531">
        <f t="shared" si="25"/>
        <v>38097.340693249316</v>
      </c>
      <c r="Y75" s="570">
        <f t="shared" si="26"/>
        <v>154876.19848631416</v>
      </c>
      <c r="AA75" s="711">
        <v>1535625.2136299261</v>
      </c>
    </row>
    <row r="76" spans="2:27" ht="15.75" x14ac:dyDescent="0.25">
      <c r="B76" s="562" t="s">
        <v>19</v>
      </c>
      <c r="C76" s="6"/>
      <c r="D76" s="6"/>
      <c r="E76" s="740">
        <f t="shared" si="16"/>
        <v>16089.359378778016</v>
      </c>
      <c r="F76" s="566"/>
      <c r="G76" s="565">
        <f t="shared" si="17"/>
        <v>2347.6073786579254</v>
      </c>
      <c r="H76" s="566"/>
      <c r="I76" s="567">
        <f t="shared" si="27"/>
        <v>5850.631062570752</v>
      </c>
      <c r="J76" s="568">
        <f t="shared" si="18"/>
        <v>344.39400244911758</v>
      </c>
      <c r="K76" s="9"/>
      <c r="L76" s="569">
        <f t="shared" si="19"/>
        <v>858.28757687912923</v>
      </c>
      <c r="M76" s="418"/>
      <c r="N76" s="531">
        <f t="shared" si="20"/>
        <v>624386.32644025015</v>
      </c>
      <c r="O76" s="711">
        <f t="shared" si="21"/>
        <v>1556075.3768818614</v>
      </c>
      <c r="P76" s="711">
        <v>944089.86005777167</v>
      </c>
      <c r="Q76" s="418"/>
      <c r="R76" s="531">
        <f t="shared" si="22"/>
        <v>-1967.0003337593425</v>
      </c>
      <c r="T76" s="22">
        <f t="shared" si="28"/>
        <v>-3626.7738707989611</v>
      </c>
      <c r="U76" s="418"/>
      <c r="V76" s="531">
        <f t="shared" si="23"/>
        <v>320.62105440277281</v>
      </c>
      <c r="W76" s="531">
        <f t="shared" si="24"/>
        <v>591.1641409402306</v>
      </c>
      <c r="X76" s="531">
        <f t="shared" si="25"/>
        <v>581285.97163222707</v>
      </c>
      <c r="Y76" s="570">
        <f t="shared" si="26"/>
        <v>1071780.587524638</v>
      </c>
      <c r="AA76" s="711">
        <v>343668.75208810071</v>
      </c>
    </row>
    <row r="77" spans="2:27" ht="15.75" x14ac:dyDescent="0.25">
      <c r="B77" s="562" t="s">
        <v>20</v>
      </c>
      <c r="C77" s="6"/>
      <c r="D77" s="6"/>
      <c r="E77" s="740">
        <f t="shared" si="16"/>
        <v>16885.085676979579</v>
      </c>
      <c r="F77" s="566"/>
      <c r="G77" s="565">
        <f t="shared" si="17"/>
        <v>1551.8810804563618</v>
      </c>
      <c r="H77" s="566"/>
      <c r="I77" s="567">
        <f t="shared" si="27"/>
        <v>5054.9047643691883</v>
      </c>
      <c r="J77" s="568">
        <f t="shared" si="18"/>
        <v>237.93935687162613</v>
      </c>
      <c r="K77" s="9"/>
      <c r="L77" s="569">
        <f t="shared" si="19"/>
        <v>775.03412073792902</v>
      </c>
      <c r="M77" s="418"/>
      <c r="N77" s="531">
        <f t="shared" si="20"/>
        <v>23793.935687162611</v>
      </c>
      <c r="O77" s="711">
        <f t="shared" si="21"/>
        <v>77503.412073792904</v>
      </c>
      <c r="P77" s="711">
        <v>34503.88693583147</v>
      </c>
      <c r="Q77" s="418"/>
      <c r="R77" s="531">
        <f t="shared" si="22"/>
        <v>97.684417150034278</v>
      </c>
      <c r="T77" s="22">
        <f t="shared" si="28"/>
        <v>-1562.0891198895843</v>
      </c>
      <c r="U77" s="418"/>
      <c r="V77" s="531">
        <f t="shared" si="23"/>
        <v>0</v>
      </c>
      <c r="W77" s="531">
        <f t="shared" si="24"/>
        <v>266.11609559483878</v>
      </c>
      <c r="X77" s="531">
        <f t="shared" si="25"/>
        <v>0</v>
      </c>
      <c r="Y77" s="570">
        <f t="shared" si="26"/>
        <v>26611.609559483877</v>
      </c>
      <c r="AA77" s="711">
        <v>1592545.4245450576</v>
      </c>
    </row>
    <row r="78" spans="2:27" ht="15.75" x14ac:dyDescent="0.25">
      <c r="B78" s="562" t="s">
        <v>21</v>
      </c>
      <c r="C78" s="6"/>
      <c r="D78" s="6"/>
      <c r="E78" s="740">
        <f t="shared" si="16"/>
        <v>14677.814875662641</v>
      </c>
      <c r="F78" s="566"/>
      <c r="G78" s="565">
        <f t="shared" si="17"/>
        <v>3759.1518817732995</v>
      </c>
      <c r="H78" s="566"/>
      <c r="I78" s="567">
        <f t="shared" si="27"/>
        <v>7262.175565686126</v>
      </c>
      <c r="J78" s="568">
        <f t="shared" si="18"/>
        <v>576.36515606522573</v>
      </c>
      <c r="K78" s="9"/>
      <c r="L78" s="569">
        <f t="shared" si="19"/>
        <v>1113.4599199315285</v>
      </c>
      <c r="M78" s="418"/>
      <c r="N78" s="531">
        <f t="shared" si="20"/>
        <v>593079.7455911173</v>
      </c>
      <c r="O78" s="711">
        <f t="shared" si="21"/>
        <v>1145750.2576095427</v>
      </c>
      <c r="P78" s="711">
        <v>799155.52726779284</v>
      </c>
      <c r="Q78" s="418"/>
      <c r="R78" s="531">
        <f t="shared" si="22"/>
        <v>-1981.0347576811182</v>
      </c>
      <c r="T78" s="22">
        <f t="shared" si="28"/>
        <v>-3640.8082947207367</v>
      </c>
      <c r="U78" s="418"/>
      <c r="V78" s="531">
        <f t="shared" si="23"/>
        <v>337.48729713259297</v>
      </c>
      <c r="W78" s="531">
        <f t="shared" si="24"/>
        <v>620.24482205526806</v>
      </c>
      <c r="X78" s="531">
        <f t="shared" si="25"/>
        <v>347274.42874943814</v>
      </c>
      <c r="Y78" s="570">
        <f t="shared" si="26"/>
        <v>638231.92189487081</v>
      </c>
      <c r="AA78" s="711">
        <v>79185.832056386062</v>
      </c>
    </row>
    <row r="79" spans="2:27" ht="15.75" x14ac:dyDescent="0.25">
      <c r="B79" s="562" t="s">
        <v>22</v>
      </c>
      <c r="C79" s="6"/>
      <c r="D79" s="6"/>
      <c r="E79" s="740">
        <f t="shared" si="16"/>
        <v>12388.08582890604</v>
      </c>
      <c r="F79" s="566"/>
      <c r="G79" s="565">
        <f t="shared" si="17"/>
        <v>6048.8809285299012</v>
      </c>
      <c r="H79" s="566"/>
      <c r="I79" s="567">
        <f t="shared" si="27"/>
        <v>9551.9046124427277</v>
      </c>
      <c r="J79" s="568">
        <f t="shared" si="18"/>
        <v>927.4337164444355</v>
      </c>
      <c r="K79" s="9"/>
      <c r="L79" s="569">
        <f t="shared" si="19"/>
        <v>1464.5284803107381</v>
      </c>
      <c r="M79" s="418"/>
      <c r="N79" s="531">
        <f t="shared" si="20"/>
        <v>401578.79922044056</v>
      </c>
      <c r="O79" s="711">
        <f t="shared" si="21"/>
        <v>634140.83197454957</v>
      </c>
      <c r="P79" s="711">
        <v>493929.58929159911</v>
      </c>
      <c r="Q79" s="418"/>
      <c r="R79" s="531">
        <f t="shared" si="22"/>
        <v>-4272.2560296745633</v>
      </c>
      <c r="T79" s="22">
        <f t="shared" si="28"/>
        <v>-5932.0295667141818</v>
      </c>
      <c r="U79" s="418"/>
      <c r="V79" s="531">
        <f t="shared" si="23"/>
        <v>727.81768947911564</v>
      </c>
      <c r="W79" s="531">
        <f t="shared" si="24"/>
        <v>1010.5752144017907</v>
      </c>
      <c r="X79" s="531">
        <f t="shared" si="25"/>
        <v>315145.05954445706</v>
      </c>
      <c r="Y79" s="570">
        <f t="shared" si="26"/>
        <v>437579.06783597538</v>
      </c>
      <c r="AA79" s="711">
        <v>1165467.107123663</v>
      </c>
    </row>
    <row r="80" spans="2:27" ht="16.5" thickBot="1" x14ac:dyDescent="0.3">
      <c r="B80" s="562" t="s">
        <v>23</v>
      </c>
      <c r="C80" s="6"/>
      <c r="D80" s="6"/>
      <c r="E80" s="741">
        <f t="shared" si="16"/>
        <v>22356.707764515941</v>
      </c>
      <c r="F80" s="566"/>
      <c r="G80" s="565">
        <f t="shared" si="17"/>
        <v>-3919.7410070799997</v>
      </c>
      <c r="H80" s="566"/>
      <c r="I80" s="567">
        <f t="shared" si="27"/>
        <v>-416.71732316717316</v>
      </c>
      <c r="J80" s="568">
        <f t="shared" si="18"/>
        <v>0</v>
      </c>
      <c r="K80" s="9"/>
      <c r="L80" s="569">
        <f t="shared" si="19"/>
        <v>0</v>
      </c>
      <c r="M80" s="418"/>
      <c r="N80" s="531">
        <f t="shared" si="20"/>
        <v>0</v>
      </c>
      <c r="O80" s="711">
        <f t="shared" si="21"/>
        <v>0</v>
      </c>
      <c r="P80" s="711">
        <v>0</v>
      </c>
      <c r="Q80" s="557"/>
      <c r="R80" s="571">
        <f t="shared" si="22"/>
        <v>2133.6004851479811</v>
      </c>
      <c r="T80" s="22">
        <f t="shared" si="28"/>
        <v>473.82694810836256</v>
      </c>
      <c r="U80" s="557"/>
      <c r="V80" s="571">
        <f t="shared" si="23"/>
        <v>0</v>
      </c>
      <c r="W80" s="571">
        <f t="shared" si="24"/>
        <v>0</v>
      </c>
      <c r="X80" s="531">
        <f t="shared" si="25"/>
        <v>0</v>
      </c>
      <c r="Y80" s="572">
        <f t="shared" si="26"/>
        <v>0</v>
      </c>
      <c r="AA80" s="711">
        <v>642348.02480218967</v>
      </c>
    </row>
    <row r="81" spans="2:27" ht="16.5" thickBot="1" x14ac:dyDescent="0.3">
      <c r="B81" s="493" t="s">
        <v>247</v>
      </c>
      <c r="C81" s="6"/>
      <c r="D81" s="6"/>
      <c r="E81" s="741">
        <f t="shared" si="16"/>
        <v>18436.966757435941</v>
      </c>
      <c r="F81" s="574"/>
      <c r="G81" s="575">
        <f t="shared" si="17"/>
        <v>0</v>
      </c>
      <c r="H81" s="576"/>
      <c r="I81" s="577">
        <f t="shared" si="27"/>
        <v>3503.0236839128265</v>
      </c>
      <c r="J81" s="435"/>
      <c r="K81" s="494"/>
      <c r="L81" s="494"/>
      <c r="M81" s="420"/>
      <c r="N81" s="539">
        <f>SUM(N65:N80)</f>
        <v>6756401.0876656957</v>
      </c>
      <c r="O81" s="714">
        <f>SUM(O65:O80)</f>
        <v>15920647.261512017</v>
      </c>
      <c r="P81" s="714">
        <v>10188593.643073654</v>
      </c>
      <c r="Q81" s="420"/>
      <c r="R81" s="579">
        <f t="shared" si="22"/>
        <v>0</v>
      </c>
      <c r="S81" s="420"/>
      <c r="T81" s="422"/>
      <c r="U81" s="557"/>
      <c r="V81" s="507"/>
      <c r="W81" s="420"/>
      <c r="X81" s="573">
        <f>SUM(X65:X80)</f>
        <v>4148050.8802288696</v>
      </c>
      <c r="Y81" s="571">
        <f>SUM(Y65:Y80)</f>
        <v>8874093.9443336241</v>
      </c>
      <c r="AA81" s="711">
        <v>0</v>
      </c>
    </row>
    <row r="82" spans="2:27" ht="16.5" thickBot="1" x14ac:dyDescent="0.3">
      <c r="AA82" s="714">
        <v>16299616.99464315</v>
      </c>
    </row>
    <row r="83" spans="2:27" ht="16.5" thickBot="1" x14ac:dyDescent="0.3">
      <c r="O83" s="714">
        <v>13106454.567731623</v>
      </c>
      <c r="P83" s="1" t="s">
        <v>567</v>
      </c>
      <c r="Q83" s="569"/>
      <c r="R83" s="37"/>
    </row>
    <row r="84" spans="2:27" x14ac:dyDescent="0.2">
      <c r="F84" s="1" t="s">
        <v>395</v>
      </c>
      <c r="Q84" s="569"/>
      <c r="R84" s="37"/>
    </row>
    <row r="85" spans="2:27" ht="15.75" thickBot="1" x14ac:dyDescent="0.25">
      <c r="Q85" s="569"/>
      <c r="R85" s="37"/>
    </row>
    <row r="86" spans="2:27" ht="15.75" thickBot="1" x14ac:dyDescent="0.25">
      <c r="F86" s="553" t="s">
        <v>255</v>
      </c>
      <c r="G86" s="554"/>
      <c r="H86" s="554"/>
      <c r="I86" s="554"/>
      <c r="J86" s="554"/>
      <c r="K86" s="554"/>
      <c r="L86" s="554"/>
      <c r="M86" s="554"/>
      <c r="N86" s="554"/>
      <c r="O86" s="555"/>
      <c r="Q86" s="569"/>
      <c r="R86" s="37"/>
    </row>
    <row r="87" spans="2:27" x14ac:dyDescent="0.2">
      <c r="B87" s="1371" t="s">
        <v>257</v>
      </c>
      <c r="C87" s="1408"/>
      <c r="D87" s="1408"/>
      <c r="E87" s="1372"/>
      <c r="F87" s="544"/>
      <c r="G87" s="499"/>
      <c r="H87" s="3"/>
      <c r="I87" s="3"/>
      <c r="J87" s="2"/>
      <c r="K87" s="3"/>
      <c r="L87" s="3"/>
      <c r="M87" s="544"/>
      <c r="N87" s="499"/>
      <c r="O87" s="2"/>
      <c r="Q87" s="569"/>
      <c r="R87" s="37"/>
    </row>
    <row r="88" spans="2:27" x14ac:dyDescent="0.2">
      <c r="B88" s="1366"/>
      <c r="C88" s="1364"/>
      <c r="D88" s="1364"/>
      <c r="E88" s="1367"/>
      <c r="F88" s="1366" t="s">
        <v>262</v>
      </c>
      <c r="G88" s="1367"/>
      <c r="H88" s="1364" t="s">
        <v>263</v>
      </c>
      <c r="I88" s="1364"/>
      <c r="J88" s="1368" t="s">
        <v>264</v>
      </c>
      <c r="K88" s="1365" t="s">
        <v>265</v>
      </c>
      <c r="L88" s="1365"/>
      <c r="M88" s="418"/>
      <c r="N88" s="1369" t="s">
        <v>266</v>
      </c>
      <c r="O88" s="1368" t="s">
        <v>267</v>
      </c>
      <c r="Q88" s="569"/>
      <c r="R88" s="37"/>
    </row>
    <row r="89" spans="2:27" x14ac:dyDescent="0.2">
      <c r="B89" s="1366"/>
      <c r="C89" s="1364"/>
      <c r="D89" s="1364"/>
      <c r="E89" s="1367"/>
      <c r="F89" s="1366"/>
      <c r="G89" s="1367"/>
      <c r="H89" s="1364"/>
      <c r="I89" s="1364"/>
      <c r="J89" s="1368"/>
      <c r="K89" s="1365"/>
      <c r="L89" s="1365"/>
      <c r="M89" s="418"/>
      <c r="N89" s="1369"/>
      <c r="O89" s="1368"/>
      <c r="Q89" s="569"/>
      <c r="R89" s="37"/>
    </row>
    <row r="90" spans="2:27" ht="15.75" x14ac:dyDescent="0.25">
      <c r="B90" s="1366"/>
      <c r="C90" s="1364"/>
      <c r="D90" s="1364"/>
      <c r="E90" s="1367"/>
      <c r="F90" s="1366"/>
      <c r="G90" s="1367"/>
      <c r="H90" s="1364"/>
      <c r="I90" s="1364"/>
      <c r="J90" s="1368"/>
      <c r="K90" s="828"/>
      <c r="L90" s="828"/>
      <c r="M90" s="418"/>
      <c r="N90" s="1369"/>
      <c r="O90" s="1368"/>
      <c r="Q90" s="569"/>
      <c r="R90" s="37"/>
    </row>
    <row r="91" spans="2:27" ht="16.5" thickBot="1" x14ac:dyDescent="0.3">
      <c r="B91" s="1373"/>
      <c r="C91" s="1409"/>
      <c r="D91" s="1409"/>
      <c r="E91" s="1374"/>
      <c r="F91" s="1366"/>
      <c r="G91" s="1367"/>
      <c r="H91" s="1364"/>
      <c r="I91" s="1364"/>
      <c r="J91" s="1368"/>
      <c r="K91" s="828"/>
      <c r="L91" s="828"/>
      <c r="M91" s="418"/>
      <c r="N91" s="1369"/>
      <c r="O91" s="1368"/>
      <c r="Q91" s="569"/>
      <c r="R91" s="37"/>
    </row>
    <row r="92" spans="2:27" ht="16.5" thickBot="1" x14ac:dyDescent="0.3">
      <c r="B92" s="493"/>
      <c r="C92" s="494"/>
      <c r="D92" s="494"/>
      <c r="E92" s="495">
        <v>2013</v>
      </c>
      <c r="F92" s="558"/>
      <c r="G92" s="559"/>
      <c r="H92" s="560"/>
      <c r="I92" s="560"/>
      <c r="J92" s="561"/>
      <c r="K92" s="421"/>
      <c r="L92" s="421"/>
      <c r="M92" s="420"/>
      <c r="N92" s="422"/>
      <c r="O92" s="561"/>
      <c r="Q92" s="569"/>
      <c r="R92" s="37"/>
    </row>
    <row r="93" spans="2:27" ht="15.75" x14ac:dyDescent="0.25">
      <c r="B93" s="562" t="s">
        <v>8</v>
      </c>
      <c r="C93" s="562"/>
      <c r="D93" s="562"/>
      <c r="E93" s="563">
        <v>2654.7680644939264</v>
      </c>
      <c r="F93" s="564"/>
      <c r="G93" s="565">
        <v>421.69273965205002</v>
      </c>
      <c r="H93" s="566"/>
      <c r="I93" s="567">
        <v>729.33882006664817</v>
      </c>
      <c r="J93" s="568">
        <v>379.52346568684504</v>
      </c>
      <c r="K93" s="9"/>
      <c r="L93" s="569">
        <v>656.40493805998335</v>
      </c>
      <c r="M93" s="418"/>
      <c r="N93" s="531">
        <v>196593.15522578574</v>
      </c>
      <c r="O93" s="568">
        <v>340017.75791507139</v>
      </c>
      <c r="Q93" s="569"/>
      <c r="R93" s="37"/>
    </row>
    <row r="94" spans="2:27" ht="15.75" x14ac:dyDescent="0.25">
      <c r="B94" s="562" t="s">
        <v>9</v>
      </c>
      <c r="C94" s="562"/>
      <c r="D94" s="562"/>
      <c r="E94" s="570">
        <v>2409.1948955682587</v>
      </c>
      <c r="F94" s="564"/>
      <c r="G94" s="565">
        <v>667.26590857771771</v>
      </c>
      <c r="H94" s="566"/>
      <c r="I94" s="567">
        <v>974.91198899231586</v>
      </c>
      <c r="J94" s="568">
        <v>600.53931771994598</v>
      </c>
      <c r="K94" s="9"/>
      <c r="L94" s="569">
        <v>877.42079009308429</v>
      </c>
      <c r="M94" s="418"/>
      <c r="N94" s="531">
        <v>553096.71162007027</v>
      </c>
      <c r="O94" s="568">
        <v>808104.54767573066</v>
      </c>
      <c r="Q94" s="569"/>
      <c r="R94" s="37"/>
    </row>
    <row r="95" spans="2:27" ht="15.75" x14ac:dyDescent="0.25">
      <c r="B95" s="562" t="s">
        <v>10</v>
      </c>
      <c r="C95" s="562"/>
      <c r="D95" s="562"/>
      <c r="E95" s="570">
        <v>2574.8580789313751</v>
      </c>
      <c r="F95" s="564"/>
      <c r="G95" s="565">
        <v>501.60272521460138</v>
      </c>
      <c r="H95" s="566"/>
      <c r="I95" s="567">
        <v>809.24880562919952</v>
      </c>
      <c r="J95" s="568">
        <v>451.44245269314126</v>
      </c>
      <c r="K95" s="9"/>
      <c r="L95" s="569">
        <v>728.32392506627957</v>
      </c>
      <c r="M95" s="418"/>
      <c r="N95" s="531">
        <v>1120931.6100370698</v>
      </c>
      <c r="O95" s="568">
        <v>1808428.3059395722</v>
      </c>
      <c r="Q95" s="569"/>
      <c r="R95" s="37"/>
    </row>
    <row r="96" spans="2:27" ht="15.75" x14ac:dyDescent="0.25">
      <c r="B96" s="562" t="s">
        <v>11</v>
      </c>
      <c r="C96" s="562"/>
      <c r="D96" s="562"/>
      <c r="E96" s="570">
        <v>2691.4098263892156</v>
      </c>
      <c r="F96" s="564"/>
      <c r="G96" s="565">
        <v>385.05097775676086</v>
      </c>
      <c r="H96" s="566"/>
      <c r="I96" s="567">
        <v>692.697058171359</v>
      </c>
      <c r="J96" s="568">
        <v>346.54587998108479</v>
      </c>
      <c r="K96" s="9"/>
      <c r="L96" s="569">
        <v>623.4273523542231</v>
      </c>
      <c r="M96" s="418"/>
      <c r="N96" s="531">
        <v>199610.42686910485</v>
      </c>
      <c r="O96" s="568">
        <v>359094.15495603252</v>
      </c>
      <c r="Q96" s="569"/>
      <c r="R96" s="37"/>
    </row>
    <row r="97" spans="2:18" ht="15.75" x14ac:dyDescent="0.25">
      <c r="B97" s="562" t="s">
        <v>12</v>
      </c>
      <c r="C97" s="562"/>
      <c r="D97" s="562"/>
      <c r="E97" s="570">
        <v>1850.7581657490268</v>
      </c>
      <c r="F97" s="564"/>
      <c r="G97" s="565">
        <v>1225.7026383969496</v>
      </c>
      <c r="H97" s="566"/>
      <c r="I97" s="567">
        <v>1533.3487188115478</v>
      </c>
      <c r="J97" s="568">
        <v>1103.1323745572547</v>
      </c>
      <c r="K97" s="9"/>
      <c r="L97" s="569">
        <v>1380.0138469303931</v>
      </c>
      <c r="M97" s="418"/>
      <c r="N97" s="531">
        <v>503028.36279810814</v>
      </c>
      <c r="O97" s="568">
        <v>629286.31420025928</v>
      </c>
      <c r="Q97" s="569"/>
      <c r="R97" s="37"/>
    </row>
    <row r="98" spans="2:18" ht="15.75" x14ac:dyDescent="0.25">
      <c r="B98" s="562" t="s">
        <v>13</v>
      </c>
      <c r="C98" s="562"/>
      <c r="D98" s="562"/>
      <c r="E98" s="570">
        <v>2389.6992850613929</v>
      </c>
      <c r="F98" s="564"/>
      <c r="G98" s="565">
        <v>686.7615190845836</v>
      </c>
      <c r="H98" s="566"/>
      <c r="I98" s="567">
        <v>994.40759949918174</v>
      </c>
      <c r="J98" s="568">
        <v>618.08536717612526</v>
      </c>
      <c r="K98" s="9"/>
      <c r="L98" s="569">
        <v>894.96683954926357</v>
      </c>
      <c r="M98" s="418"/>
      <c r="N98" s="531">
        <v>890042.92873362033</v>
      </c>
      <c r="O98" s="568">
        <v>1288752.2489509396</v>
      </c>
      <c r="Q98" s="569"/>
      <c r="R98" s="37"/>
    </row>
    <row r="99" spans="2:18" ht="15.75" x14ac:dyDescent="0.25">
      <c r="B99" s="562" t="s">
        <v>14</v>
      </c>
      <c r="C99" s="562"/>
      <c r="D99" s="562"/>
      <c r="E99" s="570">
        <v>2896.60674794125</v>
      </c>
      <c r="F99" s="564"/>
      <c r="G99" s="565">
        <v>179.85405620472648</v>
      </c>
      <c r="H99" s="566"/>
      <c r="I99" s="567">
        <v>487.50013661932462</v>
      </c>
      <c r="J99" s="568">
        <v>161.86865058425383</v>
      </c>
      <c r="K99" s="9"/>
      <c r="L99" s="569">
        <v>438.75012295739219</v>
      </c>
      <c r="M99" s="418"/>
      <c r="N99" s="531">
        <v>634039.50433852221</v>
      </c>
      <c r="O99" s="568">
        <v>1718584.2316241052</v>
      </c>
      <c r="Q99" s="736"/>
      <c r="R99" s="9"/>
    </row>
    <row r="100" spans="2:18" ht="15.75" x14ac:dyDescent="0.25">
      <c r="B100" s="562" t="s">
        <v>15</v>
      </c>
      <c r="C100" s="562"/>
      <c r="D100" s="562"/>
      <c r="E100" s="570">
        <v>2603.2971501358857</v>
      </c>
      <c r="F100" s="564"/>
      <c r="G100" s="565">
        <v>473.1636540100908</v>
      </c>
      <c r="H100" s="566"/>
      <c r="I100" s="567">
        <v>780.80973442468894</v>
      </c>
      <c r="J100" s="568">
        <v>425.84728860908172</v>
      </c>
      <c r="K100" s="9"/>
      <c r="L100" s="569">
        <v>702.72876098222002</v>
      </c>
      <c r="M100" s="418"/>
      <c r="N100" s="531">
        <v>153305.02389926941</v>
      </c>
      <c r="O100" s="568">
        <v>252982.3539535992</v>
      </c>
      <c r="Q100" s="9"/>
      <c r="R100" s="9"/>
    </row>
    <row r="101" spans="2:18" ht="15.75" x14ac:dyDescent="0.25">
      <c r="B101" s="562" t="s">
        <v>16</v>
      </c>
      <c r="C101" s="562"/>
      <c r="D101" s="562"/>
      <c r="E101" s="570">
        <v>2242.1674788031364</v>
      </c>
      <c r="F101" s="564"/>
      <c r="G101" s="565">
        <v>834.29332534284003</v>
      </c>
      <c r="H101" s="566"/>
      <c r="I101" s="567">
        <v>1141.9394057574382</v>
      </c>
      <c r="J101" s="568">
        <v>750.86399280855608</v>
      </c>
      <c r="K101" s="9"/>
      <c r="L101" s="569">
        <v>1027.7454651816945</v>
      </c>
      <c r="M101" s="418"/>
      <c r="N101" s="531">
        <v>196726.36611584169</v>
      </c>
      <c r="O101" s="568">
        <v>269269.31187760393</v>
      </c>
    </row>
    <row r="102" spans="2:18" ht="15.75" x14ac:dyDescent="0.25">
      <c r="B102" s="562" t="s">
        <v>17</v>
      </c>
      <c r="C102" s="562"/>
      <c r="D102" s="562"/>
      <c r="E102" s="570">
        <v>2738.7291126646674</v>
      </c>
      <c r="F102" s="564"/>
      <c r="G102" s="565">
        <v>337.7316914813091</v>
      </c>
      <c r="H102" s="566"/>
      <c r="I102" s="567">
        <v>645.37777189590724</v>
      </c>
      <c r="J102" s="568">
        <v>303.95852233317822</v>
      </c>
      <c r="K102" s="9"/>
      <c r="L102" s="569">
        <v>580.83999470631659</v>
      </c>
      <c r="M102" s="418"/>
      <c r="N102" s="531">
        <v>541958.04532005673</v>
      </c>
      <c r="O102" s="568">
        <v>1035637.7105613624</v>
      </c>
    </row>
    <row r="103" spans="2:18" ht="15.75" x14ac:dyDescent="0.25">
      <c r="B103" s="562" t="s">
        <v>18</v>
      </c>
      <c r="C103" s="562"/>
      <c r="D103" s="562"/>
      <c r="E103" s="570">
        <v>2743.4985147070383</v>
      </c>
      <c r="F103" s="564"/>
      <c r="G103" s="565">
        <v>332.96228943893811</v>
      </c>
      <c r="H103" s="566"/>
      <c r="I103" s="567">
        <v>640.60836985353626</v>
      </c>
      <c r="J103" s="568">
        <v>299.66606049504429</v>
      </c>
      <c r="K103" s="9"/>
      <c r="L103" s="569">
        <v>576.54753286818266</v>
      </c>
      <c r="M103" s="418"/>
      <c r="N103" s="531">
        <v>115970.76541158214</v>
      </c>
      <c r="O103" s="568">
        <v>223123.89521998668</v>
      </c>
    </row>
    <row r="104" spans="2:18" ht="15.75" x14ac:dyDescent="0.25">
      <c r="B104" s="562" t="s">
        <v>19</v>
      </c>
      <c r="C104" s="562"/>
      <c r="D104" s="562"/>
      <c r="E104" s="570">
        <v>2624.570148222665</v>
      </c>
      <c r="F104" s="564"/>
      <c r="G104" s="565">
        <v>451.89065592331144</v>
      </c>
      <c r="H104" s="566"/>
      <c r="I104" s="567">
        <v>759.53673633790959</v>
      </c>
      <c r="J104" s="568">
        <v>406.70159033098031</v>
      </c>
      <c r="K104" s="9"/>
      <c r="L104" s="569">
        <v>683.58306270411867</v>
      </c>
      <c r="M104" s="418"/>
      <c r="N104" s="531">
        <v>712947.88785020844</v>
      </c>
      <c r="O104" s="568">
        <v>1198321.1089203199</v>
      </c>
    </row>
    <row r="105" spans="2:18" ht="15.75" x14ac:dyDescent="0.25">
      <c r="B105" s="562" t="s">
        <v>20</v>
      </c>
      <c r="C105" s="562"/>
      <c r="D105" s="562"/>
      <c r="E105" s="570">
        <v>2701.8196401363634</v>
      </c>
      <c r="F105" s="564"/>
      <c r="G105" s="565">
        <v>374.64116400961302</v>
      </c>
      <c r="H105" s="566"/>
      <c r="I105" s="567">
        <v>682.28724442421117</v>
      </c>
      <c r="J105" s="568">
        <v>337.17704760865172</v>
      </c>
      <c r="K105" s="9"/>
      <c r="L105" s="569">
        <v>614.05851998179003</v>
      </c>
      <c r="M105" s="418"/>
      <c r="N105" s="531">
        <v>38775.360474994945</v>
      </c>
      <c r="O105" s="568">
        <v>70616.729797905849</v>
      </c>
    </row>
    <row r="106" spans="2:18" ht="15.75" x14ac:dyDescent="0.25">
      <c r="B106" s="562" t="s">
        <v>21</v>
      </c>
      <c r="C106" s="562"/>
      <c r="D106" s="562"/>
      <c r="E106" s="570">
        <v>2425.3222016775098</v>
      </c>
      <c r="F106" s="564"/>
      <c r="G106" s="565">
        <v>651.13860246846662</v>
      </c>
      <c r="H106" s="566"/>
      <c r="I106" s="567">
        <v>958.78468288306476</v>
      </c>
      <c r="J106" s="568">
        <v>586.02474222161993</v>
      </c>
      <c r="K106" s="9"/>
      <c r="L106" s="569">
        <v>862.90621459475835</v>
      </c>
      <c r="M106" s="418"/>
      <c r="N106" s="531">
        <v>604191.50923049019</v>
      </c>
      <c r="O106" s="568">
        <v>889656.30724719586</v>
      </c>
    </row>
    <row r="107" spans="2:18" ht="15.75" x14ac:dyDescent="0.25">
      <c r="B107" s="562" t="s">
        <v>22</v>
      </c>
      <c r="C107" s="562"/>
      <c r="D107" s="562"/>
      <c r="E107" s="570">
        <v>2038.0179225503391</v>
      </c>
      <c r="F107" s="564"/>
      <c r="G107" s="565">
        <v>1038.4428815956373</v>
      </c>
      <c r="H107" s="566"/>
      <c r="I107" s="567">
        <v>1346.0889620102355</v>
      </c>
      <c r="J107" s="568">
        <v>934.59859343607366</v>
      </c>
      <c r="K107" s="9"/>
      <c r="L107" s="569">
        <v>1211.480065809212</v>
      </c>
      <c r="M107" s="418"/>
      <c r="N107" s="531">
        <v>419634.76845279709</v>
      </c>
      <c r="O107" s="568">
        <v>543954.54954833619</v>
      </c>
    </row>
    <row r="108" spans="2:18" ht="16.5" thickBot="1" x14ac:dyDescent="0.3">
      <c r="B108" s="562" t="s">
        <v>23</v>
      </c>
      <c r="C108" s="562"/>
      <c r="D108" s="562"/>
      <c r="E108" s="570">
        <v>3770.7159936426542</v>
      </c>
      <c r="F108" s="564"/>
      <c r="G108" s="565">
        <v>-694.25518949667776</v>
      </c>
      <c r="H108" s="566"/>
      <c r="I108" s="567">
        <v>-386.60910908207961</v>
      </c>
      <c r="J108" s="568">
        <v>0</v>
      </c>
      <c r="K108" s="9"/>
      <c r="L108" s="569">
        <v>0</v>
      </c>
      <c r="M108" s="418"/>
      <c r="N108" s="531">
        <v>0</v>
      </c>
      <c r="O108" s="568">
        <v>0</v>
      </c>
    </row>
    <row r="109" spans="2:18" ht="16.5" thickBot="1" x14ac:dyDescent="0.3">
      <c r="B109" s="493" t="s">
        <v>247</v>
      </c>
      <c r="C109" s="493"/>
      <c r="D109" s="493"/>
      <c r="E109" s="573"/>
      <c r="F109" s="574"/>
      <c r="G109" s="575">
        <v>3076.4608041459765</v>
      </c>
      <c r="H109" s="576"/>
      <c r="I109" s="577">
        <v>3384.1068845605746</v>
      </c>
      <c r="J109" s="435"/>
      <c r="K109" s="494"/>
      <c r="L109" s="494"/>
      <c r="M109" s="420"/>
      <c r="N109" s="539">
        <v>6880852.4263775209</v>
      </c>
      <c r="O109" s="578">
        <v>11435829.528388018</v>
      </c>
    </row>
  </sheetData>
  <mergeCells count="20">
    <mergeCell ref="B87:E91"/>
    <mergeCell ref="F88:G91"/>
    <mergeCell ref="H88:I91"/>
    <mergeCell ref="J88:J91"/>
    <mergeCell ref="K88:L89"/>
    <mergeCell ref="B59:E63"/>
    <mergeCell ref="Q59:R63"/>
    <mergeCell ref="S59:T63"/>
    <mergeCell ref="F60:G63"/>
    <mergeCell ref="H60:I63"/>
    <mergeCell ref="J60:J63"/>
    <mergeCell ref="K60:L61"/>
    <mergeCell ref="N60:N63"/>
    <mergeCell ref="O60:O63"/>
    <mergeCell ref="X61:X63"/>
    <mergeCell ref="Y61:Y63"/>
    <mergeCell ref="U59:V63"/>
    <mergeCell ref="W59:W62"/>
    <mergeCell ref="N88:N91"/>
    <mergeCell ref="O88:O91"/>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F168"/>
  <sheetViews>
    <sheetView topLeftCell="A118" zoomScale="85" zoomScaleNormal="85" workbookViewId="0">
      <selection activeCell="B142" sqref="B142:C159"/>
    </sheetView>
  </sheetViews>
  <sheetFormatPr defaultColWidth="8.88671875" defaultRowHeight="15" x14ac:dyDescent="0.2"/>
  <cols>
    <col min="1" max="1" width="4.44140625" style="1" customWidth="1"/>
    <col min="2" max="2" width="15.88671875" style="1" customWidth="1"/>
    <col min="3" max="3" width="15.21875" style="1" customWidth="1"/>
    <col min="4" max="4" width="11.5546875" style="1" customWidth="1"/>
    <col min="5" max="5" width="7.6640625" style="1" customWidth="1"/>
    <col min="6" max="7" width="10.44140625" style="1" bestFit="1" customWidth="1"/>
    <col min="8" max="16384" width="8.88671875" style="1"/>
  </cols>
  <sheetData>
    <row r="3" spans="2:2" ht="20.25" thickBot="1" x14ac:dyDescent="0.35">
      <c r="B3" s="120" t="s">
        <v>223</v>
      </c>
    </row>
    <row r="4" spans="2:2" ht="15.75" thickTop="1" x14ac:dyDescent="0.2"/>
    <row r="6" spans="2:2" ht="17.25" thickBot="1" x14ac:dyDescent="0.3">
      <c r="B6" s="223" t="s">
        <v>333</v>
      </c>
    </row>
    <row r="7" spans="2:2" ht="15.75" thickTop="1" x14ac:dyDescent="0.2"/>
    <row r="20" spans="2:20" ht="15.75" thickBot="1" x14ac:dyDescent="0.25">
      <c r="C20" s="1" t="s">
        <v>338</v>
      </c>
      <c r="G20" s="1" t="s">
        <v>337</v>
      </c>
    </row>
    <row r="21" spans="2:20" ht="19.5" thickBot="1" x14ac:dyDescent="0.35">
      <c r="B21" s="603" t="s">
        <v>336</v>
      </c>
      <c r="C21" s="604">
        <v>2011</v>
      </c>
      <c r="D21" s="604">
        <v>2012</v>
      </c>
      <c r="E21" s="604">
        <v>2013</v>
      </c>
      <c r="F21" s="604">
        <v>2014</v>
      </c>
      <c r="G21" s="606">
        <v>2015</v>
      </c>
      <c r="H21" s="606">
        <v>2016</v>
      </c>
      <c r="I21" s="606">
        <v>2017</v>
      </c>
      <c r="J21" s="606">
        <v>2018</v>
      </c>
      <c r="K21" s="606">
        <v>2019</v>
      </c>
      <c r="L21" s="606">
        <v>2020</v>
      </c>
      <c r="M21" s="606">
        <v>2021</v>
      </c>
      <c r="N21" s="607">
        <v>2022</v>
      </c>
    </row>
    <row r="22" spans="2:20" ht="15.75" x14ac:dyDescent="0.25">
      <c r="B22" s="592" t="s">
        <v>8</v>
      </c>
      <c r="C22" s="620">
        <v>480</v>
      </c>
      <c r="D22" s="620">
        <v>476</v>
      </c>
      <c r="E22" s="620">
        <v>475</v>
      </c>
      <c r="F22" s="625">
        <v>474</v>
      </c>
      <c r="G22" s="608">
        <v>467</v>
      </c>
      <c r="H22" s="608">
        <v>466</v>
      </c>
      <c r="I22" s="608">
        <v>466</v>
      </c>
      <c r="J22" s="608">
        <v>472</v>
      </c>
      <c r="K22" s="608">
        <v>468</v>
      </c>
      <c r="L22" s="608">
        <v>473</v>
      </c>
      <c r="M22" s="608">
        <v>469</v>
      </c>
      <c r="N22" s="609">
        <v>466</v>
      </c>
      <c r="P22" s="5"/>
      <c r="T22" s="219"/>
    </row>
    <row r="23" spans="2:20" ht="15.75" x14ac:dyDescent="0.25">
      <c r="B23" s="562" t="s">
        <v>9</v>
      </c>
      <c r="C23" s="621">
        <v>978</v>
      </c>
      <c r="D23" s="621">
        <v>960</v>
      </c>
      <c r="E23" s="621">
        <v>947</v>
      </c>
      <c r="F23" s="626">
        <v>932</v>
      </c>
      <c r="G23" s="610">
        <v>928</v>
      </c>
      <c r="H23" s="610">
        <v>933</v>
      </c>
      <c r="I23" s="610">
        <v>936</v>
      </c>
      <c r="J23" s="610">
        <v>941</v>
      </c>
      <c r="K23" s="610">
        <v>945</v>
      </c>
      <c r="L23" s="610">
        <v>947</v>
      </c>
      <c r="M23" s="610">
        <v>959</v>
      </c>
      <c r="N23" s="611">
        <v>962</v>
      </c>
      <c r="T23" s="219"/>
    </row>
    <row r="24" spans="2:20" ht="15.75" x14ac:dyDescent="0.25">
      <c r="B24" s="562" t="s">
        <v>10</v>
      </c>
      <c r="C24" s="621">
        <v>2527</v>
      </c>
      <c r="D24" s="621">
        <v>2531</v>
      </c>
      <c r="E24" s="621">
        <v>2520</v>
      </c>
      <c r="F24" s="626">
        <v>2534</v>
      </c>
      <c r="G24" s="610">
        <v>2540</v>
      </c>
      <c r="H24" s="610">
        <v>2543</v>
      </c>
      <c r="I24" s="610">
        <v>2561</v>
      </c>
      <c r="J24" s="610">
        <v>2571</v>
      </c>
      <c r="K24" s="610">
        <v>2595</v>
      </c>
      <c r="L24" s="610">
        <v>2612</v>
      </c>
      <c r="M24" s="610">
        <v>2636</v>
      </c>
      <c r="N24" s="611">
        <v>2659</v>
      </c>
      <c r="P24" s="22"/>
      <c r="T24" s="219"/>
    </row>
    <row r="25" spans="2:20" ht="15.75" x14ac:dyDescent="0.25">
      <c r="B25" s="562" t="s">
        <v>11</v>
      </c>
      <c r="C25" s="621">
        <v>577</v>
      </c>
      <c r="D25" s="621">
        <v>578</v>
      </c>
      <c r="E25" s="621">
        <v>572</v>
      </c>
      <c r="F25" s="626">
        <v>568</v>
      </c>
      <c r="G25" s="610">
        <v>562</v>
      </c>
      <c r="H25" s="610">
        <v>567</v>
      </c>
      <c r="I25" s="610">
        <v>582</v>
      </c>
      <c r="J25" s="610">
        <v>570</v>
      </c>
      <c r="K25" s="610">
        <v>577</v>
      </c>
      <c r="L25" s="610">
        <v>581</v>
      </c>
      <c r="M25" s="610">
        <v>582</v>
      </c>
      <c r="N25" s="611">
        <v>593</v>
      </c>
      <c r="T25" s="219"/>
    </row>
    <row r="26" spans="2:20" ht="15.75" x14ac:dyDescent="0.25">
      <c r="B26" s="562" t="s">
        <v>12</v>
      </c>
      <c r="C26" s="621">
        <v>492</v>
      </c>
      <c r="D26" s="621">
        <v>495</v>
      </c>
      <c r="E26" s="621">
        <v>500</v>
      </c>
      <c r="F26" s="626">
        <v>494</v>
      </c>
      <c r="G26" s="610">
        <v>497</v>
      </c>
      <c r="H26" s="610">
        <v>500</v>
      </c>
      <c r="I26" s="610">
        <v>511</v>
      </c>
      <c r="J26" s="610">
        <v>510</v>
      </c>
      <c r="K26" s="610">
        <v>520</v>
      </c>
      <c r="L26" s="610">
        <v>525</v>
      </c>
      <c r="M26" s="610">
        <v>532</v>
      </c>
      <c r="N26" s="611">
        <v>534</v>
      </c>
      <c r="T26" s="219"/>
    </row>
    <row r="27" spans="2:20" ht="15.75" x14ac:dyDescent="0.25">
      <c r="B27" s="562" t="s">
        <v>13</v>
      </c>
      <c r="C27" s="621">
        <v>1526</v>
      </c>
      <c r="D27" s="621">
        <v>1522</v>
      </c>
      <c r="E27" s="621">
        <v>1540</v>
      </c>
      <c r="F27" s="626">
        <v>1532</v>
      </c>
      <c r="G27" s="610">
        <v>1533</v>
      </c>
      <c r="H27" s="610">
        <v>1533</v>
      </c>
      <c r="I27" s="610">
        <v>1542</v>
      </c>
      <c r="J27" s="610">
        <v>1561</v>
      </c>
      <c r="K27" s="610">
        <v>1581</v>
      </c>
      <c r="L27" s="610">
        <v>1598</v>
      </c>
      <c r="M27" s="610">
        <v>1602</v>
      </c>
      <c r="N27" s="611">
        <v>1627</v>
      </c>
      <c r="P27" s="22"/>
      <c r="T27" s="219"/>
    </row>
    <row r="28" spans="2:20" ht="15.75" x14ac:dyDescent="0.25">
      <c r="B28" s="562" t="s">
        <v>14</v>
      </c>
      <c r="C28" s="621">
        <v>4249</v>
      </c>
      <c r="D28" s="621">
        <v>4355</v>
      </c>
      <c r="E28" s="621">
        <v>4424</v>
      </c>
      <c r="F28" s="626">
        <v>4560</v>
      </c>
      <c r="G28" s="610">
        <v>4626</v>
      </c>
      <c r="H28" s="610">
        <v>4720</v>
      </c>
      <c r="I28" s="610">
        <v>4803</v>
      </c>
      <c r="J28" s="610">
        <v>4895</v>
      </c>
      <c r="K28" s="610">
        <v>4984</v>
      </c>
      <c r="L28" s="610">
        <v>5079</v>
      </c>
      <c r="M28" s="610">
        <v>5157</v>
      </c>
      <c r="N28" s="611">
        <v>5239</v>
      </c>
      <c r="P28" s="22"/>
      <c r="T28" s="219"/>
    </row>
    <row r="29" spans="2:20" ht="15.75" x14ac:dyDescent="0.25">
      <c r="B29" s="562" t="s">
        <v>15</v>
      </c>
      <c r="C29" s="621">
        <v>361</v>
      </c>
      <c r="D29" s="621">
        <v>338</v>
      </c>
      <c r="E29" s="621">
        <v>330</v>
      </c>
      <c r="F29" s="626">
        <v>328</v>
      </c>
      <c r="G29" s="610">
        <v>320</v>
      </c>
      <c r="H29" s="610">
        <v>318</v>
      </c>
      <c r="I29" s="610">
        <v>321</v>
      </c>
      <c r="J29" s="610">
        <v>325</v>
      </c>
      <c r="K29" s="610">
        <v>325</v>
      </c>
      <c r="L29" s="610">
        <v>321</v>
      </c>
      <c r="M29" s="610">
        <v>321</v>
      </c>
      <c r="N29" s="611">
        <v>317</v>
      </c>
      <c r="T29" s="219"/>
    </row>
    <row r="30" spans="2:20" ht="15.75" x14ac:dyDescent="0.25">
      <c r="B30" s="562" t="s">
        <v>16</v>
      </c>
      <c r="C30" s="621">
        <v>249</v>
      </c>
      <c r="D30" s="621">
        <v>245</v>
      </c>
      <c r="E30" s="621">
        <v>251</v>
      </c>
      <c r="F30" s="626">
        <v>253</v>
      </c>
      <c r="G30" s="610">
        <v>246</v>
      </c>
      <c r="H30" s="610">
        <v>242</v>
      </c>
      <c r="I30" s="610">
        <v>238</v>
      </c>
      <c r="J30" s="610">
        <v>242</v>
      </c>
      <c r="K30" s="610">
        <v>243</v>
      </c>
      <c r="L30" s="610">
        <v>244</v>
      </c>
      <c r="M30" s="610">
        <v>241</v>
      </c>
      <c r="N30" s="611">
        <v>246</v>
      </c>
      <c r="T30" s="219"/>
    </row>
    <row r="31" spans="2:20" ht="15.75" x14ac:dyDescent="0.25">
      <c r="B31" s="562" t="s">
        <v>17</v>
      </c>
      <c r="C31" s="621">
        <v>1860</v>
      </c>
      <c r="D31" s="621">
        <v>1883</v>
      </c>
      <c r="E31" s="621">
        <v>1926</v>
      </c>
      <c r="F31" s="626">
        <v>1943</v>
      </c>
      <c r="G31" s="610">
        <v>1949</v>
      </c>
      <c r="H31" s="610">
        <v>1962</v>
      </c>
      <c r="I31" s="610">
        <v>1969</v>
      </c>
      <c r="J31" s="610">
        <v>1985</v>
      </c>
      <c r="K31" s="610">
        <v>2012</v>
      </c>
      <c r="L31" s="610">
        <v>2018</v>
      </c>
      <c r="M31" s="610">
        <v>2044</v>
      </c>
      <c r="N31" s="611">
        <v>2057</v>
      </c>
      <c r="P31" s="22"/>
      <c r="T31" s="219"/>
    </row>
    <row r="32" spans="2:20" ht="15.75" x14ac:dyDescent="0.25">
      <c r="B32" s="562" t="s">
        <v>18</v>
      </c>
      <c r="C32" s="621">
        <v>399</v>
      </c>
      <c r="D32" s="621">
        <v>392</v>
      </c>
      <c r="E32" s="621">
        <v>413</v>
      </c>
      <c r="F32" s="626">
        <v>418</v>
      </c>
      <c r="G32" s="610">
        <v>417</v>
      </c>
      <c r="H32" s="610">
        <v>420</v>
      </c>
      <c r="I32" s="610">
        <v>420</v>
      </c>
      <c r="J32" s="610">
        <v>427</v>
      </c>
      <c r="K32" s="610">
        <v>438</v>
      </c>
      <c r="L32" s="610">
        <v>436</v>
      </c>
      <c r="M32" s="610">
        <v>441</v>
      </c>
      <c r="N32" s="611">
        <v>445</v>
      </c>
      <c r="T32" s="219"/>
    </row>
    <row r="33" spans="2:32" ht="15.75" x14ac:dyDescent="0.25">
      <c r="B33" s="562" t="s">
        <v>19</v>
      </c>
      <c r="C33" s="621">
        <v>1810</v>
      </c>
      <c r="D33" s="621">
        <v>1823</v>
      </c>
      <c r="E33" s="621">
        <v>1813</v>
      </c>
      <c r="F33" s="626">
        <v>1825</v>
      </c>
      <c r="G33" s="610">
        <v>1829</v>
      </c>
      <c r="H33" s="610">
        <v>1829</v>
      </c>
      <c r="I33" s="610">
        <v>1838</v>
      </c>
      <c r="J33" s="610">
        <v>1852</v>
      </c>
      <c r="K33" s="610">
        <v>1869</v>
      </c>
      <c r="L33" s="610">
        <v>1876</v>
      </c>
      <c r="M33" s="610">
        <v>1900</v>
      </c>
      <c r="N33" s="611">
        <v>1899</v>
      </c>
      <c r="P33" s="22"/>
      <c r="T33" s="219"/>
    </row>
    <row r="34" spans="2:32" ht="15.75" x14ac:dyDescent="0.25">
      <c r="B34" s="562" t="s">
        <v>20</v>
      </c>
      <c r="C34" s="621">
        <v>103</v>
      </c>
      <c r="D34" s="621">
        <v>101</v>
      </c>
      <c r="E34" s="621">
        <v>100</v>
      </c>
      <c r="F34" s="626">
        <v>101</v>
      </c>
      <c r="G34" s="610">
        <v>93</v>
      </c>
      <c r="H34" s="610">
        <v>83</v>
      </c>
      <c r="I34" s="610">
        <v>79</v>
      </c>
      <c r="J34" s="610">
        <v>70</v>
      </c>
      <c r="K34" s="610">
        <v>65</v>
      </c>
      <c r="L34" s="610">
        <v>62</v>
      </c>
      <c r="M34" s="610">
        <v>62</v>
      </c>
      <c r="N34" s="611">
        <v>62</v>
      </c>
      <c r="T34" s="219"/>
    </row>
    <row r="35" spans="2:32" ht="15.75" x14ac:dyDescent="0.25">
      <c r="B35" s="562" t="s">
        <v>21</v>
      </c>
      <c r="C35" s="621">
        <v>1032</v>
      </c>
      <c r="D35" s="621">
        <v>1035</v>
      </c>
      <c r="E35" s="621">
        <v>1029</v>
      </c>
      <c r="F35" s="626">
        <v>1035</v>
      </c>
      <c r="G35" s="610">
        <v>1028</v>
      </c>
      <c r="H35" s="610">
        <v>1024</v>
      </c>
      <c r="I35" s="610">
        <v>1033</v>
      </c>
      <c r="J35" s="610">
        <v>1041</v>
      </c>
      <c r="K35" s="610">
        <v>1039</v>
      </c>
      <c r="L35" s="610">
        <v>1044</v>
      </c>
      <c r="M35" s="610">
        <v>1051</v>
      </c>
      <c r="N35" s="611">
        <v>1056</v>
      </c>
      <c r="P35" s="22"/>
      <c r="T35" s="219"/>
    </row>
    <row r="36" spans="2:32" ht="15.75" x14ac:dyDescent="0.25">
      <c r="B36" s="562" t="s">
        <v>22</v>
      </c>
      <c r="C36" s="621">
        <v>449</v>
      </c>
      <c r="D36" s="621">
        <v>422</v>
      </c>
      <c r="E36" s="621">
        <v>433</v>
      </c>
      <c r="F36" s="626">
        <v>439</v>
      </c>
      <c r="G36" s="610">
        <v>436</v>
      </c>
      <c r="H36" s="610">
        <v>442</v>
      </c>
      <c r="I36" s="610">
        <v>440</v>
      </c>
      <c r="J36" s="610">
        <v>443</v>
      </c>
      <c r="K36" s="610">
        <v>443</v>
      </c>
      <c r="L36" s="610">
        <v>446</v>
      </c>
      <c r="M36" s="610">
        <v>456</v>
      </c>
      <c r="N36" s="611">
        <v>456</v>
      </c>
      <c r="T36" s="219"/>
    </row>
    <row r="37" spans="2:32" ht="16.5" thickBot="1" x14ac:dyDescent="0.3">
      <c r="B37" s="593" t="s">
        <v>23</v>
      </c>
      <c r="C37" s="622">
        <v>11263</v>
      </c>
      <c r="D37" s="622">
        <v>11346</v>
      </c>
      <c r="E37" s="622">
        <v>11393</v>
      </c>
      <c r="F37" s="627">
        <v>11480</v>
      </c>
      <c r="G37" s="612">
        <v>11506</v>
      </c>
      <c r="H37" s="612">
        <v>11546</v>
      </c>
      <c r="I37" s="612">
        <v>11615</v>
      </c>
      <c r="J37" s="612">
        <v>11680</v>
      </c>
      <c r="K37" s="612">
        <v>11756</v>
      </c>
      <c r="L37" s="612">
        <v>11823</v>
      </c>
      <c r="M37" s="612">
        <v>11899</v>
      </c>
      <c r="N37" s="613">
        <v>11974</v>
      </c>
      <c r="P37" s="22"/>
      <c r="T37" s="219"/>
    </row>
    <row r="38" spans="2:32" ht="19.5" thickBot="1" x14ac:dyDescent="0.35">
      <c r="B38" s="594" t="s">
        <v>24</v>
      </c>
      <c r="C38" s="623">
        <v>28355</v>
      </c>
      <c r="D38" s="623">
        <v>28502</v>
      </c>
      <c r="E38" s="623">
        <v>28666</v>
      </c>
      <c r="F38" s="624">
        <v>28916</v>
      </c>
      <c r="G38" s="614">
        <v>28977</v>
      </c>
      <c r="H38" s="614">
        <v>29128</v>
      </c>
      <c r="I38" s="614">
        <v>29354</v>
      </c>
      <c r="J38" s="614">
        <v>29585</v>
      </c>
      <c r="K38" s="614">
        <v>29860</v>
      </c>
      <c r="L38" s="614">
        <v>30085</v>
      </c>
      <c r="M38" s="614">
        <v>30352</v>
      </c>
      <c r="N38" s="615">
        <v>30592</v>
      </c>
      <c r="P38" s="22"/>
    </row>
    <row r="39" spans="2:32" ht="19.5" thickBot="1" x14ac:dyDescent="0.35">
      <c r="B39" s="595"/>
      <c r="F39" s="595"/>
      <c r="G39" s="595"/>
      <c r="H39" s="595"/>
      <c r="I39" s="595"/>
      <c r="J39" s="595"/>
      <c r="K39" s="595"/>
      <c r="L39" s="595"/>
      <c r="M39" s="595"/>
      <c r="N39" s="595"/>
      <c r="P39" s="5"/>
    </row>
    <row r="40" spans="2:32" ht="19.5" thickBot="1" x14ac:dyDescent="0.35">
      <c r="B40" s="603" t="s">
        <v>335</v>
      </c>
      <c r="C40" s="605">
        <v>2011</v>
      </c>
      <c r="D40" s="604">
        <v>2012</v>
      </c>
      <c r="E40" s="605">
        <v>2013</v>
      </c>
      <c r="F40" s="604">
        <v>2014</v>
      </c>
      <c r="G40" s="605">
        <v>2015</v>
      </c>
      <c r="H40" s="603">
        <v>2016</v>
      </c>
      <c r="I40" s="604">
        <v>2017</v>
      </c>
      <c r="J40" s="604">
        <v>2018</v>
      </c>
      <c r="K40" s="604">
        <v>2019</v>
      </c>
      <c r="L40" s="604">
        <v>2020</v>
      </c>
      <c r="M40" s="604">
        <v>2021</v>
      </c>
      <c r="N40" s="605">
        <v>2022</v>
      </c>
      <c r="P40" s="5"/>
    </row>
    <row r="41" spans="2:32" ht="15.75" x14ac:dyDescent="0.25">
      <c r="B41" s="592" t="s">
        <v>8</v>
      </c>
      <c r="C41" s="597"/>
      <c r="D41" s="597"/>
      <c r="E41" s="597">
        <f>AVERAGE(C22:E22)-C22</f>
        <v>-3</v>
      </c>
      <c r="F41" s="597">
        <f t="shared" ref="E41:H56" si="0">AVERAGE(D22:F22)-D22</f>
        <v>-1</v>
      </c>
      <c r="G41" s="628">
        <f t="shared" si="0"/>
        <v>-3</v>
      </c>
      <c r="H41" s="629">
        <f>AVERAGE(F22:H22)-F22</f>
        <v>-5</v>
      </c>
      <c r="I41" s="629">
        <f t="shared" ref="I41:N56" si="1">AVERAGE(G22:I22)-G22</f>
        <v>-0.66666666666668561</v>
      </c>
      <c r="J41" s="629">
        <f t="shared" si="1"/>
        <v>2</v>
      </c>
      <c r="K41" s="629">
        <f t="shared" si="1"/>
        <v>2.6666666666666856</v>
      </c>
      <c r="L41" s="629">
        <f t="shared" si="1"/>
        <v>-1</v>
      </c>
      <c r="M41" s="629">
        <f t="shared" si="1"/>
        <v>2</v>
      </c>
      <c r="N41" s="630">
        <f t="shared" si="1"/>
        <v>-3.6666666666666856</v>
      </c>
      <c r="P41" s="5"/>
    </row>
    <row r="42" spans="2:32" ht="15.75" x14ac:dyDescent="0.25">
      <c r="B42" s="562" t="s">
        <v>9</v>
      </c>
      <c r="C42" s="598"/>
      <c r="D42" s="598"/>
      <c r="E42" s="598">
        <f t="shared" si="0"/>
        <v>-16.333333333333371</v>
      </c>
      <c r="F42" s="598">
        <f t="shared" si="0"/>
        <v>-13.666666666666629</v>
      </c>
      <c r="G42" s="631">
        <f t="shared" si="0"/>
        <v>-11.333333333333371</v>
      </c>
      <c r="H42" s="632">
        <f t="shared" si="0"/>
        <v>-1</v>
      </c>
      <c r="I42" s="632">
        <f t="shared" si="1"/>
        <v>4.3333333333333712</v>
      </c>
      <c r="J42" s="632">
        <f t="shared" si="1"/>
        <v>3.6666666666666288</v>
      </c>
      <c r="K42" s="632">
        <f t="shared" si="1"/>
        <v>4.6666666666666288</v>
      </c>
      <c r="L42" s="632">
        <f t="shared" si="1"/>
        <v>3.3333333333333712</v>
      </c>
      <c r="M42" s="632">
        <f t="shared" si="1"/>
        <v>5.3333333333333712</v>
      </c>
      <c r="N42" s="633">
        <f t="shared" si="1"/>
        <v>9</v>
      </c>
      <c r="P42" s="5"/>
    </row>
    <row r="43" spans="2:32" ht="15.75" x14ac:dyDescent="0.25">
      <c r="B43" s="562" t="s">
        <v>10</v>
      </c>
      <c r="C43" s="598"/>
      <c r="D43" s="598"/>
      <c r="E43" s="598">
        <f t="shared" si="0"/>
        <v>-1</v>
      </c>
      <c r="F43" s="598">
        <f t="shared" si="0"/>
        <v>-2.6666666666665151</v>
      </c>
      <c r="G43" s="631">
        <f t="shared" si="0"/>
        <v>11.333333333333485</v>
      </c>
      <c r="H43" s="632">
        <f t="shared" si="0"/>
        <v>5</v>
      </c>
      <c r="I43" s="632">
        <f t="shared" si="1"/>
        <v>8</v>
      </c>
      <c r="J43" s="632">
        <f t="shared" si="1"/>
        <v>15.333333333333485</v>
      </c>
      <c r="K43" s="632">
        <f t="shared" si="1"/>
        <v>14.666666666666515</v>
      </c>
      <c r="L43" s="632">
        <f t="shared" si="1"/>
        <v>21.666666666666515</v>
      </c>
      <c r="M43" s="632">
        <f t="shared" si="1"/>
        <v>19.333333333333485</v>
      </c>
      <c r="N43" s="633">
        <f t="shared" si="1"/>
        <v>23.666666666666515</v>
      </c>
      <c r="P43" s="5"/>
      <c r="R43" s="22"/>
      <c r="U43" s="22"/>
      <c r="V43" s="22"/>
      <c r="Y43" s="22"/>
      <c r="AA43" s="22"/>
      <c r="AC43" s="22"/>
      <c r="AE43" s="22"/>
      <c r="AF43" s="22"/>
    </row>
    <row r="44" spans="2:32" ht="15.75" x14ac:dyDescent="0.25">
      <c r="B44" s="562" t="s">
        <v>11</v>
      </c>
      <c r="C44" s="598"/>
      <c r="D44" s="598"/>
      <c r="E44" s="598">
        <f t="shared" si="0"/>
        <v>-1.3333333333333712</v>
      </c>
      <c r="F44" s="598">
        <f t="shared" si="0"/>
        <v>-5.3333333333333712</v>
      </c>
      <c r="G44" s="631">
        <f t="shared" si="0"/>
        <v>-4.6666666666666288</v>
      </c>
      <c r="H44" s="632">
        <f t="shared" si="0"/>
        <v>-2.3333333333333712</v>
      </c>
      <c r="I44" s="632">
        <f t="shared" si="1"/>
        <v>8.3333333333333712</v>
      </c>
      <c r="J44" s="632">
        <f t="shared" si="1"/>
        <v>6</v>
      </c>
      <c r="K44" s="632">
        <f t="shared" si="1"/>
        <v>-5.6666666666666288</v>
      </c>
      <c r="L44" s="632">
        <f t="shared" si="1"/>
        <v>6</v>
      </c>
      <c r="M44" s="632">
        <f t="shared" si="1"/>
        <v>3</v>
      </c>
      <c r="N44" s="633">
        <f t="shared" si="1"/>
        <v>4.3333333333333712</v>
      </c>
      <c r="P44" s="5"/>
    </row>
    <row r="45" spans="2:32" ht="15.75" x14ac:dyDescent="0.25">
      <c r="B45" s="562" t="s">
        <v>12</v>
      </c>
      <c r="C45" s="598"/>
      <c r="D45" s="598"/>
      <c r="E45" s="598">
        <f t="shared" si="0"/>
        <v>3.6666666666666856</v>
      </c>
      <c r="F45" s="598">
        <f t="shared" si="0"/>
        <v>1.3333333333333144</v>
      </c>
      <c r="G45" s="631">
        <f t="shared" si="0"/>
        <v>-3</v>
      </c>
      <c r="H45" s="632">
        <f t="shared" si="0"/>
        <v>3</v>
      </c>
      <c r="I45" s="632">
        <f t="shared" si="1"/>
        <v>5.6666666666666856</v>
      </c>
      <c r="J45" s="632">
        <f t="shared" si="1"/>
        <v>7</v>
      </c>
      <c r="K45" s="632">
        <f t="shared" si="1"/>
        <v>2.6666666666666288</v>
      </c>
      <c r="L45" s="632">
        <f t="shared" si="1"/>
        <v>8.3333333333333712</v>
      </c>
      <c r="M45" s="632">
        <f t="shared" si="1"/>
        <v>5.6666666666666288</v>
      </c>
      <c r="N45" s="633">
        <f t="shared" si="1"/>
        <v>5.3333333333333712</v>
      </c>
      <c r="P45" s="5"/>
    </row>
    <row r="46" spans="2:32" ht="15.75" x14ac:dyDescent="0.25">
      <c r="B46" s="562" t="s">
        <v>13</v>
      </c>
      <c r="C46" s="598"/>
      <c r="D46" s="598"/>
      <c r="E46" s="598">
        <f t="shared" si="0"/>
        <v>3.3333333333332575</v>
      </c>
      <c r="F46" s="598">
        <f t="shared" si="0"/>
        <v>9.3333333333332575</v>
      </c>
      <c r="G46" s="631">
        <f t="shared" si="0"/>
        <v>-5</v>
      </c>
      <c r="H46" s="632">
        <f t="shared" si="0"/>
        <v>0.66666666666674246</v>
      </c>
      <c r="I46" s="632">
        <f t="shared" si="1"/>
        <v>3</v>
      </c>
      <c r="J46" s="632">
        <f t="shared" si="1"/>
        <v>12.333333333333258</v>
      </c>
      <c r="K46" s="632">
        <f t="shared" si="1"/>
        <v>19.333333333333258</v>
      </c>
      <c r="L46" s="632">
        <f t="shared" si="1"/>
        <v>19</v>
      </c>
      <c r="M46" s="632">
        <f t="shared" si="1"/>
        <v>12.666666666666742</v>
      </c>
      <c r="N46" s="633">
        <f t="shared" si="1"/>
        <v>11</v>
      </c>
      <c r="P46" s="5"/>
    </row>
    <row r="47" spans="2:32" ht="15.75" x14ac:dyDescent="0.25">
      <c r="B47" s="562" t="s">
        <v>14</v>
      </c>
      <c r="C47" s="598"/>
      <c r="D47" s="598"/>
      <c r="E47" s="598">
        <f t="shared" si="0"/>
        <v>93.66666666666697</v>
      </c>
      <c r="F47" s="598">
        <f t="shared" si="0"/>
        <v>91.33333333333303</v>
      </c>
      <c r="G47" s="631">
        <f t="shared" si="0"/>
        <v>112.66666666666697</v>
      </c>
      <c r="H47" s="632">
        <f t="shared" si="0"/>
        <v>75.33333333333303</v>
      </c>
      <c r="I47" s="632">
        <f t="shared" si="1"/>
        <v>90.33333333333303</v>
      </c>
      <c r="J47" s="632">
        <f t="shared" si="1"/>
        <v>86</v>
      </c>
      <c r="K47" s="632">
        <f t="shared" si="1"/>
        <v>91</v>
      </c>
      <c r="L47" s="632">
        <f t="shared" si="1"/>
        <v>91</v>
      </c>
      <c r="M47" s="632">
        <f t="shared" si="1"/>
        <v>89.33333333333303</v>
      </c>
      <c r="N47" s="633">
        <f t="shared" si="1"/>
        <v>79.33333333333303</v>
      </c>
    </row>
    <row r="48" spans="2:32" ht="15.75" x14ac:dyDescent="0.25">
      <c r="B48" s="562" t="s">
        <v>15</v>
      </c>
      <c r="C48" s="598"/>
      <c r="D48" s="598"/>
      <c r="E48" s="598">
        <f t="shared" si="0"/>
        <v>-18</v>
      </c>
      <c r="F48" s="598">
        <f t="shared" si="0"/>
        <v>-6</v>
      </c>
      <c r="G48" s="631">
        <f t="shared" si="0"/>
        <v>-4</v>
      </c>
      <c r="H48" s="632">
        <f t="shared" si="0"/>
        <v>-6</v>
      </c>
      <c r="I48" s="632">
        <f t="shared" si="1"/>
        <v>-0.33333333333331439</v>
      </c>
      <c r="J48" s="632">
        <f t="shared" si="1"/>
        <v>3.3333333333333144</v>
      </c>
      <c r="K48" s="632">
        <f t="shared" si="1"/>
        <v>2.6666666666666856</v>
      </c>
      <c r="L48" s="632">
        <f t="shared" si="1"/>
        <v>-1.3333333333333144</v>
      </c>
      <c r="M48" s="632">
        <f t="shared" si="1"/>
        <v>-2.6666666666666856</v>
      </c>
      <c r="N48" s="633">
        <f t="shared" si="1"/>
        <v>-1.3333333333333144</v>
      </c>
    </row>
    <row r="49" spans="2:14" ht="15.75" x14ac:dyDescent="0.25">
      <c r="B49" s="562" t="s">
        <v>16</v>
      </c>
      <c r="C49" s="598"/>
      <c r="D49" s="598"/>
      <c r="E49" s="598">
        <f t="shared" si="0"/>
        <v>-0.66666666666665719</v>
      </c>
      <c r="F49" s="598">
        <f t="shared" si="0"/>
        <v>4.6666666666666572</v>
      </c>
      <c r="G49" s="631">
        <f t="shared" si="0"/>
        <v>-1</v>
      </c>
      <c r="H49" s="632">
        <f t="shared" si="0"/>
        <v>-6</v>
      </c>
      <c r="I49" s="632">
        <f t="shared" si="1"/>
        <v>-4</v>
      </c>
      <c r="J49" s="632">
        <f t="shared" si="1"/>
        <v>-1.3333333333333428</v>
      </c>
      <c r="K49" s="632">
        <f t="shared" si="1"/>
        <v>3</v>
      </c>
      <c r="L49" s="632">
        <f t="shared" si="1"/>
        <v>1</v>
      </c>
      <c r="M49" s="632">
        <f t="shared" si="1"/>
        <v>-0.33333333333334281</v>
      </c>
      <c r="N49" s="633">
        <f t="shared" si="1"/>
        <v>-0.33333333333334281</v>
      </c>
    </row>
    <row r="50" spans="2:14" ht="15.75" x14ac:dyDescent="0.25">
      <c r="B50" s="562" t="s">
        <v>17</v>
      </c>
      <c r="C50" s="598"/>
      <c r="D50" s="598"/>
      <c r="E50" s="598">
        <f t="shared" si="0"/>
        <v>29.666666666666742</v>
      </c>
      <c r="F50" s="598">
        <f t="shared" si="0"/>
        <v>34.333333333333258</v>
      </c>
      <c r="G50" s="631">
        <f t="shared" si="0"/>
        <v>13.333333333333258</v>
      </c>
      <c r="H50" s="632">
        <f t="shared" si="0"/>
        <v>8.3333333333332575</v>
      </c>
      <c r="I50" s="632">
        <f t="shared" si="1"/>
        <v>11</v>
      </c>
      <c r="J50" s="632">
        <f t="shared" si="1"/>
        <v>10</v>
      </c>
      <c r="K50" s="632">
        <f t="shared" si="1"/>
        <v>19.666666666666742</v>
      </c>
      <c r="L50" s="632">
        <f t="shared" si="1"/>
        <v>20</v>
      </c>
      <c r="M50" s="632">
        <f t="shared" si="1"/>
        <v>12.666666666666742</v>
      </c>
      <c r="N50" s="633">
        <f t="shared" si="1"/>
        <v>21.666666666666742</v>
      </c>
    </row>
    <row r="51" spans="2:14" ht="15.75" x14ac:dyDescent="0.25">
      <c r="B51" s="562" t="s">
        <v>18</v>
      </c>
      <c r="C51" s="598"/>
      <c r="D51" s="598"/>
      <c r="E51" s="598">
        <f t="shared" si="0"/>
        <v>2.3333333333333144</v>
      </c>
      <c r="F51" s="598">
        <f t="shared" si="0"/>
        <v>15.666666666666686</v>
      </c>
      <c r="G51" s="631">
        <f t="shared" si="0"/>
        <v>3</v>
      </c>
      <c r="H51" s="632">
        <f t="shared" si="0"/>
        <v>0.33333333333331439</v>
      </c>
      <c r="I51" s="632">
        <f t="shared" si="1"/>
        <v>2</v>
      </c>
      <c r="J51" s="632">
        <f t="shared" si="1"/>
        <v>2.3333333333333144</v>
      </c>
      <c r="K51" s="632">
        <f t="shared" si="1"/>
        <v>8.3333333333333144</v>
      </c>
      <c r="L51" s="632">
        <f t="shared" si="1"/>
        <v>6.6666666666666856</v>
      </c>
      <c r="M51" s="632">
        <f t="shared" si="1"/>
        <v>0.33333333333331439</v>
      </c>
      <c r="N51" s="633">
        <f t="shared" si="1"/>
        <v>4.6666666666666856</v>
      </c>
    </row>
    <row r="52" spans="2:14" ht="15.75" x14ac:dyDescent="0.25">
      <c r="B52" s="562" t="s">
        <v>19</v>
      </c>
      <c r="C52" s="598"/>
      <c r="D52" s="598"/>
      <c r="E52" s="598">
        <f t="shared" si="0"/>
        <v>5.3333333333332575</v>
      </c>
      <c r="F52" s="598">
        <f t="shared" si="0"/>
        <v>-2.6666666666667425</v>
      </c>
      <c r="G52" s="631">
        <f t="shared" si="0"/>
        <v>9.3333333333332575</v>
      </c>
      <c r="H52" s="632">
        <f t="shared" si="0"/>
        <v>2.6666666666667425</v>
      </c>
      <c r="I52" s="632">
        <f t="shared" si="1"/>
        <v>3</v>
      </c>
      <c r="J52" s="632">
        <f t="shared" si="1"/>
        <v>10.666666666666742</v>
      </c>
      <c r="K52" s="632">
        <f t="shared" si="1"/>
        <v>15</v>
      </c>
      <c r="L52" s="632">
        <f t="shared" si="1"/>
        <v>13.666666666666742</v>
      </c>
      <c r="M52" s="632">
        <f t="shared" si="1"/>
        <v>12.666666666666742</v>
      </c>
      <c r="N52" s="633">
        <f t="shared" si="1"/>
        <v>15.666666666666742</v>
      </c>
    </row>
    <row r="53" spans="2:14" ht="15.75" x14ac:dyDescent="0.25">
      <c r="B53" s="562" t="s">
        <v>20</v>
      </c>
      <c r="C53" s="598"/>
      <c r="D53" s="598"/>
      <c r="E53" s="598">
        <f t="shared" si="0"/>
        <v>-1.6666666666666714</v>
      </c>
      <c r="F53" s="598">
        <f t="shared" si="0"/>
        <v>-0.3333333333333286</v>
      </c>
      <c r="G53" s="631">
        <f t="shared" si="0"/>
        <v>-2</v>
      </c>
      <c r="H53" s="632">
        <f t="shared" si="0"/>
        <v>-8.6666666666666714</v>
      </c>
      <c r="I53" s="632">
        <f t="shared" si="1"/>
        <v>-8</v>
      </c>
      <c r="J53" s="632">
        <f t="shared" si="1"/>
        <v>-5.6666666666666714</v>
      </c>
      <c r="K53" s="632">
        <f t="shared" si="1"/>
        <v>-7.6666666666666714</v>
      </c>
      <c r="L53" s="632">
        <f t="shared" si="1"/>
        <v>-4.3333333333333286</v>
      </c>
      <c r="M53" s="632">
        <f t="shared" si="1"/>
        <v>-2</v>
      </c>
      <c r="N53" s="633">
        <f t="shared" si="1"/>
        <v>0</v>
      </c>
    </row>
    <row r="54" spans="2:14" ht="15.75" x14ac:dyDescent="0.25">
      <c r="B54" s="562" t="s">
        <v>21</v>
      </c>
      <c r="C54" s="598"/>
      <c r="D54" s="598"/>
      <c r="E54" s="598">
        <f t="shared" si="0"/>
        <v>0</v>
      </c>
      <c r="F54" s="598">
        <f t="shared" si="0"/>
        <v>-2</v>
      </c>
      <c r="G54" s="631">
        <f t="shared" si="0"/>
        <v>1.6666666666667425</v>
      </c>
      <c r="H54" s="632">
        <f t="shared" si="0"/>
        <v>-6</v>
      </c>
      <c r="I54" s="632">
        <f t="shared" si="1"/>
        <v>0.33333333333325754</v>
      </c>
      <c r="J54" s="632">
        <f t="shared" si="1"/>
        <v>8.6666666666667425</v>
      </c>
      <c r="K54" s="632">
        <f t="shared" si="1"/>
        <v>4.6666666666667425</v>
      </c>
      <c r="L54" s="632">
        <f t="shared" si="1"/>
        <v>0.33333333333325754</v>
      </c>
      <c r="M54" s="632">
        <f t="shared" si="1"/>
        <v>5.6666666666667425</v>
      </c>
      <c r="N54" s="633">
        <f t="shared" si="1"/>
        <v>6.3333333333332575</v>
      </c>
    </row>
    <row r="55" spans="2:14" ht="15.75" x14ac:dyDescent="0.25">
      <c r="B55" s="562" t="s">
        <v>22</v>
      </c>
      <c r="C55" s="598"/>
      <c r="D55" s="598"/>
      <c r="E55" s="598">
        <f t="shared" si="0"/>
        <v>-14.333333333333314</v>
      </c>
      <c r="F55" s="598">
        <f t="shared" si="0"/>
        <v>9.3333333333333144</v>
      </c>
      <c r="G55" s="631">
        <f t="shared" si="0"/>
        <v>3</v>
      </c>
      <c r="H55" s="632">
        <f t="shared" si="0"/>
        <v>0</v>
      </c>
      <c r="I55" s="632">
        <f t="shared" si="1"/>
        <v>3.3333333333333144</v>
      </c>
      <c r="J55" s="632">
        <f t="shared" si="1"/>
        <v>-0.33333333333331439</v>
      </c>
      <c r="K55" s="632">
        <f t="shared" si="1"/>
        <v>2</v>
      </c>
      <c r="L55" s="632">
        <f t="shared" si="1"/>
        <v>1</v>
      </c>
      <c r="M55" s="632">
        <f t="shared" si="1"/>
        <v>5.3333333333333144</v>
      </c>
      <c r="N55" s="633">
        <f t="shared" si="1"/>
        <v>6.6666666666666856</v>
      </c>
    </row>
    <row r="56" spans="2:14" ht="16.5" thickBot="1" x14ac:dyDescent="0.3">
      <c r="B56" s="593" t="s">
        <v>23</v>
      </c>
      <c r="C56" s="599"/>
      <c r="D56" s="599"/>
      <c r="E56" s="599">
        <f t="shared" si="0"/>
        <v>71</v>
      </c>
      <c r="F56" s="599">
        <f t="shared" si="0"/>
        <v>60.33333333333394</v>
      </c>
      <c r="G56" s="634">
        <f t="shared" si="0"/>
        <v>66.66666666666606</v>
      </c>
      <c r="H56" s="635">
        <f t="shared" si="0"/>
        <v>30.66666666666606</v>
      </c>
      <c r="I56" s="635">
        <f t="shared" si="1"/>
        <v>49.66666666666606</v>
      </c>
      <c r="J56" s="635">
        <f t="shared" si="1"/>
        <v>67.66666666666606</v>
      </c>
      <c r="K56" s="635">
        <f t="shared" si="1"/>
        <v>68.66666666666606</v>
      </c>
      <c r="L56" s="635">
        <f t="shared" si="1"/>
        <v>73</v>
      </c>
      <c r="M56" s="635">
        <f t="shared" si="1"/>
        <v>70</v>
      </c>
      <c r="N56" s="636">
        <f t="shared" si="1"/>
        <v>75.66666666666606</v>
      </c>
    </row>
    <row r="57" spans="2:14" ht="19.5" thickBot="1" x14ac:dyDescent="0.35">
      <c r="B57" s="594" t="s">
        <v>24</v>
      </c>
      <c r="C57" s="637"/>
      <c r="D57" s="637"/>
      <c r="E57" s="637">
        <f t="shared" ref="E57:N57" si="2">AVERAGE(C38:E38)-C38</f>
        <v>152.66666666666788</v>
      </c>
      <c r="F57" s="637">
        <f t="shared" si="2"/>
        <v>192.66666666666788</v>
      </c>
      <c r="G57" s="642">
        <f t="shared" si="2"/>
        <v>187</v>
      </c>
      <c r="H57" s="638">
        <f t="shared" si="2"/>
        <v>91</v>
      </c>
      <c r="I57" s="638">
        <f t="shared" si="2"/>
        <v>176</v>
      </c>
      <c r="J57" s="638">
        <f t="shared" si="2"/>
        <v>227.66666666666788</v>
      </c>
      <c r="K57" s="638">
        <f t="shared" si="2"/>
        <v>245.66666666666788</v>
      </c>
      <c r="L57" s="638">
        <f t="shared" si="2"/>
        <v>258.33333333333212</v>
      </c>
      <c r="M57" s="638">
        <f t="shared" si="2"/>
        <v>239</v>
      </c>
      <c r="N57" s="639">
        <f t="shared" si="2"/>
        <v>258</v>
      </c>
    </row>
    <row r="58" spans="2:14" ht="15.75" thickBot="1" x14ac:dyDescent="0.25"/>
    <row r="59" spans="2:14" ht="19.5" thickBot="1" x14ac:dyDescent="0.35">
      <c r="B59" s="603" t="s">
        <v>335</v>
      </c>
      <c r="C59" s="421"/>
      <c r="D59" s="421"/>
      <c r="E59" s="604">
        <v>2013</v>
      </c>
      <c r="F59" s="604">
        <v>2014</v>
      </c>
      <c r="G59" s="604">
        <v>2015</v>
      </c>
      <c r="H59" s="604">
        <v>2016</v>
      </c>
      <c r="I59" s="604">
        <v>2017</v>
      </c>
      <c r="J59" s="604">
        <v>2018</v>
      </c>
      <c r="K59" s="604">
        <v>2019</v>
      </c>
      <c r="L59" s="604">
        <v>2020</v>
      </c>
      <c r="M59" s="604">
        <v>2021</v>
      </c>
      <c r="N59" s="605">
        <v>2022</v>
      </c>
    </row>
    <row r="60" spans="2:14" ht="15.75" x14ac:dyDescent="0.25">
      <c r="B60" s="562" t="s">
        <v>8</v>
      </c>
      <c r="E60" s="600">
        <f t="shared" ref="E60:H75" si="3">E41/C22</f>
        <v>-6.2500000000000003E-3</v>
      </c>
      <c r="F60" s="600">
        <f t="shared" si="3"/>
        <v>-2.1008403361344537E-3</v>
      </c>
      <c r="G60" s="600">
        <f t="shared" si="3"/>
        <v>-6.3157894736842104E-3</v>
      </c>
      <c r="H60" s="600">
        <f>H41/F22</f>
        <v>-1.0548523206751054E-2</v>
      </c>
      <c r="I60" s="600">
        <f t="shared" ref="I60:N75" si="4">I41/G22</f>
        <v>-1.4275517487509328E-3</v>
      </c>
      <c r="J60" s="600">
        <f t="shared" si="4"/>
        <v>4.2918454935622317E-3</v>
      </c>
      <c r="K60" s="600">
        <f t="shared" si="4"/>
        <v>5.7224606580830164E-3</v>
      </c>
      <c r="L60" s="600">
        <f t="shared" si="4"/>
        <v>-2.1186440677966102E-3</v>
      </c>
      <c r="M60" s="600">
        <f t="shared" si="4"/>
        <v>4.2735042735042739E-3</v>
      </c>
      <c r="N60" s="601">
        <f t="shared" si="4"/>
        <v>-7.7519379844961638E-3</v>
      </c>
    </row>
    <row r="61" spans="2:14" ht="15.75" x14ac:dyDescent="0.25">
      <c r="B61" s="562" t="s">
        <v>9</v>
      </c>
      <c r="E61" s="600">
        <f t="shared" si="3"/>
        <v>-1.6700749829584225E-2</v>
      </c>
      <c r="F61" s="600">
        <f t="shared" si="3"/>
        <v>-1.4236111111111071E-2</v>
      </c>
      <c r="G61" s="600">
        <f t="shared" si="3"/>
        <v>-1.1967617036254879E-2</v>
      </c>
      <c r="H61" s="600">
        <f t="shared" si="3"/>
        <v>-1.0729613733905579E-3</v>
      </c>
      <c r="I61" s="600">
        <f t="shared" si="4"/>
        <v>4.6695402298850986E-3</v>
      </c>
      <c r="J61" s="600">
        <f t="shared" si="4"/>
        <v>3.9299749910681981E-3</v>
      </c>
      <c r="K61" s="600">
        <f t="shared" si="4"/>
        <v>4.9857549857549449E-3</v>
      </c>
      <c r="L61" s="600">
        <f t="shared" si="4"/>
        <v>3.5423308537017762E-3</v>
      </c>
      <c r="M61" s="600">
        <f t="shared" si="4"/>
        <v>5.6437389770723507E-3</v>
      </c>
      <c r="N61" s="601">
        <f t="shared" si="4"/>
        <v>9.5036958817317843E-3</v>
      </c>
    </row>
    <row r="62" spans="2:14" ht="15.75" x14ac:dyDescent="0.25">
      <c r="B62" s="562" t="s">
        <v>10</v>
      </c>
      <c r="E62" s="600">
        <f t="shared" si="3"/>
        <v>-3.9572615749901069E-4</v>
      </c>
      <c r="F62" s="600">
        <f t="shared" si="3"/>
        <v>-1.0536020018437435E-3</v>
      </c>
      <c r="G62" s="600">
        <f t="shared" si="3"/>
        <v>4.4973544973545571E-3</v>
      </c>
      <c r="H62" s="600">
        <f t="shared" si="3"/>
        <v>1.9731649565903711E-3</v>
      </c>
      <c r="I62" s="600">
        <f t="shared" si="4"/>
        <v>3.1496062992125984E-3</v>
      </c>
      <c r="J62" s="600">
        <f t="shared" si="4"/>
        <v>6.0296238039062068E-3</v>
      </c>
      <c r="K62" s="600">
        <f t="shared" si="4"/>
        <v>5.7269295847975459E-3</v>
      </c>
      <c r="L62" s="600">
        <f t="shared" si="4"/>
        <v>8.4273304810060339E-3</v>
      </c>
      <c r="M62" s="600">
        <f t="shared" si="4"/>
        <v>7.450224791265312E-3</v>
      </c>
      <c r="N62" s="601">
        <f t="shared" si="4"/>
        <v>9.0607452782031066E-3</v>
      </c>
    </row>
    <row r="63" spans="2:14" ht="15.75" x14ac:dyDescent="0.25">
      <c r="B63" s="562" t="s">
        <v>11</v>
      </c>
      <c r="E63" s="600">
        <f t="shared" si="3"/>
        <v>-2.310803004043971E-3</v>
      </c>
      <c r="F63" s="600">
        <f t="shared" si="3"/>
        <v>-9.2272202998847259E-3</v>
      </c>
      <c r="G63" s="600">
        <f t="shared" si="3"/>
        <v>-8.1585081585080921E-3</v>
      </c>
      <c r="H63" s="600">
        <f t="shared" si="3"/>
        <v>-4.1079812206573441E-3</v>
      </c>
      <c r="I63" s="600">
        <f t="shared" si="4"/>
        <v>1.4827995255041585E-2</v>
      </c>
      <c r="J63" s="600">
        <f t="shared" si="4"/>
        <v>1.0582010582010581E-2</v>
      </c>
      <c r="K63" s="600">
        <f t="shared" si="4"/>
        <v>-9.7365406643756501E-3</v>
      </c>
      <c r="L63" s="600">
        <f t="shared" si="4"/>
        <v>1.0526315789473684E-2</v>
      </c>
      <c r="M63" s="600">
        <f t="shared" si="4"/>
        <v>5.1993067590987872E-3</v>
      </c>
      <c r="N63" s="601">
        <f t="shared" si="4"/>
        <v>7.4584050487665598E-3</v>
      </c>
    </row>
    <row r="64" spans="2:14" ht="15.75" x14ac:dyDescent="0.25">
      <c r="B64" s="562" t="s">
        <v>12</v>
      </c>
      <c r="E64" s="600">
        <f t="shared" si="3"/>
        <v>7.4525745257452963E-3</v>
      </c>
      <c r="F64" s="600">
        <f t="shared" si="3"/>
        <v>2.6936026936026551E-3</v>
      </c>
      <c r="G64" s="600">
        <f t="shared" si="3"/>
        <v>-6.0000000000000001E-3</v>
      </c>
      <c r="H64" s="600">
        <f t="shared" si="3"/>
        <v>6.0728744939271256E-3</v>
      </c>
      <c r="I64" s="600">
        <f t="shared" si="4"/>
        <v>1.1401743796110031E-2</v>
      </c>
      <c r="J64" s="600">
        <f t="shared" si="4"/>
        <v>1.4E-2</v>
      </c>
      <c r="K64" s="600">
        <f t="shared" si="4"/>
        <v>5.2185257664708979E-3</v>
      </c>
      <c r="L64" s="600">
        <f t="shared" si="4"/>
        <v>1.6339869281045825E-2</v>
      </c>
      <c r="M64" s="600">
        <f t="shared" si="4"/>
        <v>1.0897435897435824E-2</v>
      </c>
      <c r="N64" s="601">
        <f t="shared" si="4"/>
        <v>1.0158730158730232E-2</v>
      </c>
    </row>
    <row r="65" spans="2:14" ht="15.75" x14ac:dyDescent="0.25">
      <c r="B65" s="562" t="s">
        <v>13</v>
      </c>
      <c r="E65" s="600">
        <f t="shared" si="3"/>
        <v>2.1843599825250703E-3</v>
      </c>
      <c r="F65" s="600">
        <f t="shared" si="3"/>
        <v>6.132282084975859E-3</v>
      </c>
      <c r="G65" s="600">
        <f t="shared" si="3"/>
        <v>-3.246753246753247E-3</v>
      </c>
      <c r="H65" s="600">
        <f t="shared" si="3"/>
        <v>4.3516100957359169E-4</v>
      </c>
      <c r="I65" s="600">
        <f t="shared" si="4"/>
        <v>1.9569471624266144E-3</v>
      </c>
      <c r="J65" s="600">
        <f t="shared" si="4"/>
        <v>8.0452272233093661E-3</v>
      </c>
      <c r="K65" s="600">
        <f t="shared" si="4"/>
        <v>1.2537829658452177E-2</v>
      </c>
      <c r="L65" s="600">
        <f t="shared" si="4"/>
        <v>1.2171684817424727E-2</v>
      </c>
      <c r="M65" s="600">
        <f t="shared" si="4"/>
        <v>8.0118068732869963E-3</v>
      </c>
      <c r="N65" s="601">
        <f t="shared" si="4"/>
        <v>6.8836045056320403E-3</v>
      </c>
    </row>
    <row r="66" spans="2:14" ht="15.75" x14ac:dyDescent="0.25">
      <c r="B66" s="562" t="s">
        <v>14</v>
      </c>
      <c r="E66" s="600">
        <f t="shared" si="3"/>
        <v>2.2044402604534472E-2</v>
      </c>
      <c r="F66" s="600">
        <f t="shared" si="3"/>
        <v>2.0972062763107469E-2</v>
      </c>
      <c r="G66" s="600">
        <f t="shared" si="3"/>
        <v>2.5467148884870474E-2</v>
      </c>
      <c r="H66" s="600">
        <f t="shared" si="3"/>
        <v>1.6520467836257244E-2</v>
      </c>
      <c r="I66" s="600">
        <f t="shared" si="4"/>
        <v>1.9527309410577828E-2</v>
      </c>
      <c r="J66" s="600">
        <f t="shared" si="4"/>
        <v>1.8220338983050848E-2</v>
      </c>
      <c r="K66" s="600">
        <f t="shared" si="4"/>
        <v>1.8946491775973351E-2</v>
      </c>
      <c r="L66" s="600">
        <f t="shared" si="4"/>
        <v>1.8590398365679266E-2</v>
      </c>
      <c r="M66" s="600">
        <f t="shared" si="4"/>
        <v>1.7924023542001011E-2</v>
      </c>
      <c r="N66" s="601">
        <f t="shared" si="4"/>
        <v>1.5619872678348697E-2</v>
      </c>
    </row>
    <row r="67" spans="2:14" ht="15.75" x14ac:dyDescent="0.25">
      <c r="B67" s="562" t="s">
        <v>15</v>
      </c>
      <c r="E67" s="600">
        <f t="shared" si="3"/>
        <v>-4.9861495844875349E-2</v>
      </c>
      <c r="F67" s="600">
        <f t="shared" si="3"/>
        <v>-1.7751479289940829E-2</v>
      </c>
      <c r="G67" s="600">
        <f t="shared" si="3"/>
        <v>-1.2121212121212121E-2</v>
      </c>
      <c r="H67" s="600">
        <f t="shared" si="3"/>
        <v>-1.8292682926829267E-2</v>
      </c>
      <c r="I67" s="600">
        <f t="shared" si="4"/>
        <v>-1.0416666666666075E-3</v>
      </c>
      <c r="J67" s="600">
        <f t="shared" si="4"/>
        <v>1.0482180293500988E-2</v>
      </c>
      <c r="K67" s="600">
        <f t="shared" si="4"/>
        <v>8.3073727933541605E-3</v>
      </c>
      <c r="L67" s="600">
        <f t="shared" si="4"/>
        <v>-4.1025641025640444E-3</v>
      </c>
      <c r="M67" s="600">
        <f t="shared" si="4"/>
        <v>-8.2051282051282641E-3</v>
      </c>
      <c r="N67" s="601">
        <f t="shared" si="4"/>
        <v>-4.1536863966769918E-3</v>
      </c>
    </row>
    <row r="68" spans="2:14" ht="15.75" x14ac:dyDescent="0.25">
      <c r="B68" s="562" t="s">
        <v>16</v>
      </c>
      <c r="E68" s="600">
        <f t="shared" si="3"/>
        <v>-2.6773761713520371E-3</v>
      </c>
      <c r="F68" s="600">
        <f t="shared" si="3"/>
        <v>1.9047619047619008E-2</v>
      </c>
      <c r="G68" s="600">
        <f t="shared" si="3"/>
        <v>-3.9840637450199202E-3</v>
      </c>
      <c r="H68" s="600">
        <f t="shared" si="3"/>
        <v>-2.3715415019762844E-2</v>
      </c>
      <c r="I68" s="600">
        <f t="shared" si="4"/>
        <v>-1.6260162601626018E-2</v>
      </c>
      <c r="J68" s="600">
        <f t="shared" si="4"/>
        <v>-5.5096418732782761E-3</v>
      </c>
      <c r="K68" s="600">
        <f t="shared" si="4"/>
        <v>1.2605042016806723E-2</v>
      </c>
      <c r="L68" s="600">
        <f t="shared" si="4"/>
        <v>4.1322314049586778E-3</v>
      </c>
      <c r="M68" s="600">
        <f t="shared" si="4"/>
        <v>-1.3717421124828922E-3</v>
      </c>
      <c r="N68" s="601">
        <f t="shared" si="4"/>
        <v>-1.3661202185792738E-3</v>
      </c>
    </row>
    <row r="69" spans="2:14" ht="15.75" x14ac:dyDescent="0.25">
      <c r="B69" s="562" t="s">
        <v>17</v>
      </c>
      <c r="E69" s="600">
        <f t="shared" si="3"/>
        <v>1.5949820788530508E-2</v>
      </c>
      <c r="F69" s="600">
        <f t="shared" si="3"/>
        <v>1.8233315631085108E-2</v>
      </c>
      <c r="G69" s="600">
        <f t="shared" si="3"/>
        <v>6.9228106611283792E-3</v>
      </c>
      <c r="H69" s="600">
        <f t="shared" si="3"/>
        <v>4.288900325956386E-3</v>
      </c>
      <c r="I69" s="600">
        <f t="shared" si="4"/>
        <v>5.643919958953309E-3</v>
      </c>
      <c r="J69" s="600">
        <f t="shared" si="4"/>
        <v>5.0968399592252805E-3</v>
      </c>
      <c r="K69" s="600">
        <f t="shared" si="4"/>
        <v>9.9881496529541612E-3</v>
      </c>
      <c r="L69" s="600">
        <f t="shared" si="4"/>
        <v>1.0075566750629723E-2</v>
      </c>
      <c r="M69" s="600">
        <f t="shared" si="4"/>
        <v>6.2955599734924169E-3</v>
      </c>
      <c r="N69" s="601">
        <f t="shared" si="4"/>
        <v>1.0736703006276879E-2</v>
      </c>
    </row>
    <row r="70" spans="2:14" ht="15.75" x14ac:dyDescent="0.25">
      <c r="B70" s="562" t="s">
        <v>18</v>
      </c>
      <c r="E70" s="600">
        <f t="shared" si="3"/>
        <v>5.8479532163742218E-3</v>
      </c>
      <c r="F70" s="600">
        <f t="shared" si="3"/>
        <v>3.9965986394557874E-2</v>
      </c>
      <c r="G70" s="600">
        <f t="shared" si="3"/>
        <v>7.2639225181598066E-3</v>
      </c>
      <c r="H70" s="600">
        <f t="shared" si="3"/>
        <v>7.9744816586917319E-4</v>
      </c>
      <c r="I70" s="600">
        <f t="shared" si="4"/>
        <v>4.7961630695443642E-3</v>
      </c>
      <c r="J70" s="600">
        <f t="shared" si="4"/>
        <v>5.5555555555555107E-3</v>
      </c>
      <c r="K70" s="600">
        <f t="shared" si="4"/>
        <v>1.9841269841269795E-2</v>
      </c>
      <c r="L70" s="600">
        <f t="shared" si="4"/>
        <v>1.5612802498048445E-2</v>
      </c>
      <c r="M70" s="600">
        <f t="shared" si="4"/>
        <v>7.6103500761030677E-4</v>
      </c>
      <c r="N70" s="601">
        <f t="shared" si="4"/>
        <v>1.0703363914373131E-2</v>
      </c>
    </row>
    <row r="71" spans="2:14" ht="15.75" x14ac:dyDescent="0.25">
      <c r="B71" s="562" t="s">
        <v>19</v>
      </c>
      <c r="E71" s="600">
        <f t="shared" si="3"/>
        <v>2.9465930018415789E-3</v>
      </c>
      <c r="F71" s="600">
        <f t="shared" si="3"/>
        <v>-1.4627902724447298E-3</v>
      </c>
      <c r="G71" s="600">
        <f t="shared" si="3"/>
        <v>5.1480051480051062E-3</v>
      </c>
      <c r="H71" s="600">
        <f t="shared" si="3"/>
        <v>1.4611872146119136E-3</v>
      </c>
      <c r="I71" s="600">
        <f t="shared" si="4"/>
        <v>1.6402405686167304E-3</v>
      </c>
      <c r="J71" s="600">
        <f t="shared" si="4"/>
        <v>5.8319664661928604E-3</v>
      </c>
      <c r="K71" s="600">
        <f t="shared" si="4"/>
        <v>8.1610446137105556E-3</v>
      </c>
      <c r="L71" s="600">
        <f t="shared" si="4"/>
        <v>7.3794096472282623E-3</v>
      </c>
      <c r="M71" s="600">
        <f t="shared" si="4"/>
        <v>6.7772427322989525E-3</v>
      </c>
      <c r="N71" s="601">
        <f t="shared" si="4"/>
        <v>8.3511016346837653E-3</v>
      </c>
    </row>
    <row r="72" spans="2:14" ht="15.75" x14ac:dyDescent="0.25">
      <c r="B72" s="562" t="s">
        <v>20</v>
      </c>
      <c r="E72" s="600">
        <f t="shared" si="3"/>
        <v>-1.618122977346283E-2</v>
      </c>
      <c r="F72" s="600">
        <f t="shared" si="3"/>
        <v>-3.3003300330032535E-3</v>
      </c>
      <c r="G72" s="600">
        <f t="shared" si="3"/>
        <v>-0.02</v>
      </c>
      <c r="H72" s="600">
        <f t="shared" si="3"/>
        <v>-8.5808580858085862E-2</v>
      </c>
      <c r="I72" s="600">
        <f t="shared" si="4"/>
        <v>-8.6021505376344093E-2</v>
      </c>
      <c r="J72" s="600">
        <f t="shared" si="4"/>
        <v>-6.827309236947797E-2</v>
      </c>
      <c r="K72" s="600">
        <f t="shared" si="4"/>
        <v>-9.7046413502109768E-2</v>
      </c>
      <c r="L72" s="600">
        <f t="shared" si="4"/>
        <v>-6.1904761904761837E-2</v>
      </c>
      <c r="M72" s="600">
        <f t="shared" si="4"/>
        <v>-3.0769230769230771E-2</v>
      </c>
      <c r="N72" s="601">
        <f t="shared" si="4"/>
        <v>0</v>
      </c>
    </row>
    <row r="73" spans="2:14" ht="15.75" x14ac:dyDescent="0.25">
      <c r="B73" s="562" t="s">
        <v>21</v>
      </c>
      <c r="E73" s="600">
        <f t="shared" si="3"/>
        <v>0</v>
      </c>
      <c r="F73" s="600">
        <f t="shared" si="3"/>
        <v>-1.9323671497584541E-3</v>
      </c>
      <c r="G73" s="600">
        <f t="shared" si="3"/>
        <v>1.6196954972465913E-3</v>
      </c>
      <c r="H73" s="600">
        <f t="shared" si="3"/>
        <v>-5.7971014492753624E-3</v>
      </c>
      <c r="I73" s="600">
        <f t="shared" si="4"/>
        <v>3.2425421530472522E-4</v>
      </c>
      <c r="J73" s="600">
        <f t="shared" si="4"/>
        <v>8.4635416666667407E-3</v>
      </c>
      <c r="K73" s="600">
        <f t="shared" si="4"/>
        <v>4.517586318167224E-3</v>
      </c>
      <c r="L73" s="600">
        <f t="shared" si="4"/>
        <v>3.2020493115586697E-4</v>
      </c>
      <c r="M73" s="600">
        <f t="shared" si="4"/>
        <v>5.453962143086374E-3</v>
      </c>
      <c r="N73" s="601">
        <f t="shared" si="4"/>
        <v>6.0664112388249597E-3</v>
      </c>
    </row>
    <row r="74" spans="2:14" ht="15.75" x14ac:dyDescent="0.25">
      <c r="B74" s="562" t="s">
        <v>22</v>
      </c>
      <c r="E74" s="600">
        <f t="shared" si="3"/>
        <v>-3.1922791388270186E-2</v>
      </c>
      <c r="F74" s="600">
        <f t="shared" si="3"/>
        <v>2.2116903633491267E-2</v>
      </c>
      <c r="G74" s="600">
        <f t="shared" si="3"/>
        <v>6.9284064665127024E-3</v>
      </c>
      <c r="H74" s="600">
        <f t="shared" si="3"/>
        <v>0</v>
      </c>
      <c r="I74" s="600">
        <f t="shared" si="4"/>
        <v>7.645259938837877E-3</v>
      </c>
      <c r="J74" s="600">
        <f t="shared" si="4"/>
        <v>-7.5414781297129948E-4</v>
      </c>
      <c r="K74" s="600">
        <f t="shared" si="4"/>
        <v>4.5454545454545452E-3</v>
      </c>
      <c r="L74" s="600">
        <f t="shared" si="4"/>
        <v>2.257336343115124E-3</v>
      </c>
      <c r="M74" s="600">
        <f t="shared" si="4"/>
        <v>1.203912716328062E-2</v>
      </c>
      <c r="N74" s="601">
        <f t="shared" si="4"/>
        <v>1.4947683109118129E-2</v>
      </c>
    </row>
    <row r="75" spans="2:14" ht="16.5" thickBot="1" x14ac:dyDescent="0.3">
      <c r="B75" s="562" t="s">
        <v>23</v>
      </c>
      <c r="E75" s="600">
        <f t="shared" si="3"/>
        <v>6.3038266891591935E-3</v>
      </c>
      <c r="F75" s="600">
        <f t="shared" si="3"/>
        <v>5.3175862271579357E-3</v>
      </c>
      <c r="G75" s="600">
        <f t="shared" si="3"/>
        <v>5.8515462711020852E-3</v>
      </c>
      <c r="H75" s="600">
        <f t="shared" si="3"/>
        <v>2.6713124274099355E-3</v>
      </c>
      <c r="I75" s="600">
        <f t="shared" si="4"/>
        <v>4.3165884466075145E-3</v>
      </c>
      <c r="J75" s="600">
        <f t="shared" si="4"/>
        <v>5.8606155089785256E-3</v>
      </c>
      <c r="K75" s="600">
        <f t="shared" si="4"/>
        <v>5.911895537379773E-3</v>
      </c>
      <c r="L75" s="600">
        <f t="shared" si="4"/>
        <v>6.2500000000000003E-3</v>
      </c>
      <c r="M75" s="600">
        <f t="shared" si="4"/>
        <v>5.9544062606328683E-3</v>
      </c>
      <c r="N75" s="601">
        <f t="shared" si="4"/>
        <v>6.3999548901857448E-3</v>
      </c>
    </row>
    <row r="76" spans="2:14" ht="19.5" thickBot="1" x14ac:dyDescent="0.35">
      <c r="B76" s="594" t="s">
        <v>24</v>
      </c>
      <c r="C76" s="421"/>
      <c r="D76" s="421"/>
      <c r="E76" s="640">
        <f t="shared" ref="E76:N76" si="5">E57/C38</f>
        <v>5.3841180273908615E-3</v>
      </c>
      <c r="F76" s="640">
        <f t="shared" si="5"/>
        <v>6.7597595490375374E-3</v>
      </c>
      <c r="G76" s="640">
        <f t="shared" si="5"/>
        <v>6.5234075211051418E-3</v>
      </c>
      <c r="H76" s="640">
        <f t="shared" si="5"/>
        <v>3.147046617789459E-3</v>
      </c>
      <c r="I76" s="640">
        <f t="shared" si="5"/>
        <v>6.0737826552093041E-3</v>
      </c>
      <c r="J76" s="640">
        <f t="shared" si="5"/>
        <v>7.8160761695505315E-3</v>
      </c>
      <c r="K76" s="640">
        <f t="shared" si="5"/>
        <v>8.3691035861098283E-3</v>
      </c>
      <c r="L76" s="640">
        <f t="shared" si="5"/>
        <v>8.7319024280321823E-3</v>
      </c>
      <c r="M76" s="640">
        <f t="shared" si="5"/>
        <v>8.004018754186203E-3</v>
      </c>
      <c r="N76" s="641">
        <f t="shared" si="5"/>
        <v>8.5757021771647006E-3</v>
      </c>
    </row>
    <row r="77" spans="2:14" ht="15.75" thickBot="1" x14ac:dyDescent="0.25"/>
    <row r="78" spans="2:14" ht="19.5" thickBot="1" x14ac:dyDescent="0.35">
      <c r="B78" s="603" t="s">
        <v>346</v>
      </c>
      <c r="C78" s="421"/>
      <c r="D78" s="421"/>
      <c r="E78" s="604">
        <v>2013</v>
      </c>
      <c r="F78" s="604">
        <v>2014</v>
      </c>
      <c r="G78" s="604">
        <v>2015</v>
      </c>
      <c r="H78" s="603">
        <v>2016</v>
      </c>
      <c r="I78" s="604">
        <v>2017</v>
      </c>
      <c r="J78" s="604">
        <v>2018</v>
      </c>
      <c r="K78" s="604">
        <v>2019</v>
      </c>
      <c r="L78" s="604">
        <v>2020</v>
      </c>
      <c r="M78" s="604">
        <v>2021</v>
      </c>
      <c r="N78" s="605">
        <v>2022</v>
      </c>
    </row>
    <row r="79" spans="2:14" ht="16.5" thickBot="1" x14ac:dyDescent="0.3">
      <c r="B79" s="592" t="s">
        <v>8</v>
      </c>
      <c r="C79" s="3"/>
      <c r="D79" s="3"/>
      <c r="E79" s="596">
        <f t="shared" ref="E79:N94" si="6">IF(E60&lt;E$76,0,(E60-E$76)*C22)</f>
        <v>0</v>
      </c>
      <c r="F79" s="596">
        <f t="shared" si="6"/>
        <v>0</v>
      </c>
      <c r="G79" s="596">
        <f t="shared" si="6"/>
        <v>0</v>
      </c>
      <c r="H79" s="596">
        <f t="shared" si="6"/>
        <v>0</v>
      </c>
      <c r="I79" s="596">
        <f t="shared" si="6"/>
        <v>0</v>
      </c>
      <c r="J79" s="596">
        <f t="shared" si="6"/>
        <v>0</v>
      </c>
      <c r="K79" s="596">
        <f t="shared" si="6"/>
        <v>0</v>
      </c>
      <c r="L79" s="596">
        <f t="shared" si="6"/>
        <v>0</v>
      </c>
      <c r="M79" s="596">
        <f t="shared" si="6"/>
        <v>0</v>
      </c>
      <c r="N79" s="618">
        <f t="shared" si="6"/>
        <v>0</v>
      </c>
    </row>
    <row r="80" spans="2:14" ht="16.5" thickBot="1" x14ac:dyDescent="0.3">
      <c r="B80" s="562" t="s">
        <v>9</v>
      </c>
      <c r="C80" s="9"/>
      <c r="D80" s="9"/>
      <c r="E80" s="596">
        <f t="shared" si="6"/>
        <v>0</v>
      </c>
      <c r="F80" s="596">
        <f t="shared" si="6"/>
        <v>0</v>
      </c>
      <c r="G80" s="596">
        <f t="shared" si="6"/>
        <v>0</v>
      </c>
      <c r="H80" s="596">
        <f t="shared" si="6"/>
        <v>0</v>
      </c>
      <c r="I80" s="596">
        <f t="shared" si="6"/>
        <v>0</v>
      </c>
      <c r="J80" s="596">
        <f t="shared" si="6"/>
        <v>0</v>
      </c>
      <c r="K80" s="596">
        <f t="shared" si="6"/>
        <v>0</v>
      </c>
      <c r="L80" s="596">
        <f t="shared" si="6"/>
        <v>0</v>
      </c>
      <c r="M80" s="596">
        <f t="shared" si="6"/>
        <v>0</v>
      </c>
      <c r="N80" s="618">
        <f t="shared" si="6"/>
        <v>0.87881003822502823</v>
      </c>
    </row>
    <row r="81" spans="2:16" ht="16.5" thickBot="1" x14ac:dyDescent="0.3">
      <c r="B81" s="562" t="s">
        <v>10</v>
      </c>
      <c r="C81" s="9"/>
      <c r="D81" s="9"/>
      <c r="E81" s="596">
        <f t="shared" si="6"/>
        <v>0</v>
      </c>
      <c r="F81" s="596">
        <f t="shared" si="6"/>
        <v>0</v>
      </c>
      <c r="G81" s="596">
        <f t="shared" si="6"/>
        <v>0</v>
      </c>
      <c r="H81" s="596">
        <f t="shared" si="6"/>
        <v>0</v>
      </c>
      <c r="I81" s="596">
        <f t="shared" si="6"/>
        <v>0</v>
      </c>
      <c r="J81" s="596">
        <f t="shared" si="6"/>
        <v>0</v>
      </c>
      <c r="K81" s="596">
        <f t="shared" si="6"/>
        <v>0</v>
      </c>
      <c r="L81" s="596">
        <f t="shared" si="6"/>
        <v>0</v>
      </c>
      <c r="M81" s="596">
        <f t="shared" si="6"/>
        <v>0</v>
      </c>
      <c r="N81" s="618">
        <f t="shared" si="6"/>
        <v>1.2669325799123166</v>
      </c>
    </row>
    <row r="82" spans="2:16" ht="16.5" thickBot="1" x14ac:dyDescent="0.3">
      <c r="B82" s="562" t="s">
        <v>11</v>
      </c>
      <c r="C82" s="9"/>
      <c r="D82" s="9"/>
      <c r="E82" s="596">
        <f t="shared" si="6"/>
        <v>0</v>
      </c>
      <c r="F82" s="596">
        <f t="shared" si="6"/>
        <v>0</v>
      </c>
      <c r="G82" s="596">
        <f t="shared" si="6"/>
        <v>0</v>
      </c>
      <c r="H82" s="596">
        <f t="shared" si="6"/>
        <v>0</v>
      </c>
      <c r="I82" s="596">
        <f t="shared" si="6"/>
        <v>4.9198674811057428</v>
      </c>
      <c r="J82" s="596">
        <f t="shared" si="6"/>
        <v>1.5682848118648482</v>
      </c>
      <c r="K82" s="596">
        <f t="shared" si="6"/>
        <v>0</v>
      </c>
      <c r="L82" s="596">
        <f t="shared" si="6"/>
        <v>1.0228156160216559</v>
      </c>
      <c r="M82" s="596">
        <f t="shared" si="6"/>
        <v>0</v>
      </c>
      <c r="N82" s="618">
        <f t="shared" si="6"/>
        <v>0</v>
      </c>
    </row>
    <row r="83" spans="2:16" ht="16.5" thickBot="1" x14ac:dyDescent="0.3">
      <c r="B83" s="562" t="s">
        <v>12</v>
      </c>
      <c r="C83" s="9"/>
      <c r="D83" s="9"/>
      <c r="E83" s="596">
        <f t="shared" si="6"/>
        <v>1.017680597190382</v>
      </c>
      <c r="F83" s="596">
        <f t="shared" si="6"/>
        <v>0</v>
      </c>
      <c r="G83" s="596">
        <f t="shared" si="6"/>
        <v>0</v>
      </c>
      <c r="H83" s="596">
        <f t="shared" si="6"/>
        <v>1.4453589708120074</v>
      </c>
      <c r="I83" s="596">
        <f t="shared" si="6"/>
        <v>2.6479966870276614</v>
      </c>
      <c r="J83" s="596">
        <f t="shared" si="6"/>
        <v>3.0919619152247342</v>
      </c>
      <c r="K83" s="596">
        <f t="shared" si="6"/>
        <v>0</v>
      </c>
      <c r="L83" s="596">
        <f t="shared" si="6"/>
        <v>3.8800630950369581</v>
      </c>
      <c r="M83" s="596">
        <f t="shared" si="6"/>
        <v>1.5045769144898029</v>
      </c>
      <c r="N83" s="618">
        <f t="shared" si="6"/>
        <v>0.83108969032190372</v>
      </c>
    </row>
    <row r="84" spans="2:16" ht="16.5" thickBot="1" x14ac:dyDescent="0.3">
      <c r="B84" s="562" t="s">
        <v>13</v>
      </c>
      <c r="C84" s="9"/>
      <c r="D84" s="9"/>
      <c r="E84" s="596">
        <f t="shared" si="6"/>
        <v>0</v>
      </c>
      <c r="F84" s="596">
        <f t="shared" si="6"/>
        <v>0</v>
      </c>
      <c r="G84" s="596">
        <f t="shared" si="6"/>
        <v>0</v>
      </c>
      <c r="H84" s="596">
        <f t="shared" si="6"/>
        <v>0</v>
      </c>
      <c r="I84" s="596">
        <f t="shared" si="6"/>
        <v>0</v>
      </c>
      <c r="J84" s="596">
        <f t="shared" si="6"/>
        <v>0.35128856541229336</v>
      </c>
      <c r="K84" s="596">
        <f t="shared" si="6"/>
        <v>6.4281756035519013</v>
      </c>
      <c r="L84" s="596">
        <f t="shared" si="6"/>
        <v>5.3695003098417624</v>
      </c>
      <c r="M84" s="596">
        <f t="shared" si="6"/>
        <v>1.2313016298354296E-2</v>
      </c>
      <c r="N84" s="618">
        <f t="shared" si="6"/>
        <v>0</v>
      </c>
    </row>
    <row r="85" spans="2:16" ht="16.5" thickBot="1" x14ac:dyDescent="0.3">
      <c r="B85" s="562" t="s">
        <v>14</v>
      </c>
      <c r="C85" s="9"/>
      <c r="D85" s="9"/>
      <c r="E85" s="596">
        <f t="shared" si="6"/>
        <v>70.789549168283202</v>
      </c>
      <c r="F85" s="596">
        <f t="shared" si="6"/>
        <v>61.894580497274546</v>
      </c>
      <c r="G85" s="596">
        <f t="shared" si="6"/>
        <v>83.807111793297821</v>
      </c>
      <c r="H85" s="596">
        <f t="shared" si="6"/>
        <v>60.982800756213102</v>
      </c>
      <c r="I85" s="596">
        <f t="shared" si="6"/>
        <v>62.236014770334798</v>
      </c>
      <c r="J85" s="596">
        <f t="shared" si="6"/>
        <v>49.108120479721492</v>
      </c>
      <c r="K85" s="596">
        <f t="shared" si="6"/>
        <v>50.803195475914499</v>
      </c>
      <c r="L85" s="596">
        <f t="shared" si="6"/>
        <v>48.257337614782472</v>
      </c>
      <c r="M85" s="596">
        <f t="shared" si="6"/>
        <v>49.441303862468999</v>
      </c>
      <c r="N85" s="618">
        <f t="shared" si="6"/>
        <v>35.777341975513515</v>
      </c>
    </row>
    <row r="86" spans="2:16" ht="16.5" thickBot="1" x14ac:dyDescent="0.3">
      <c r="B86" s="562" t="s">
        <v>15</v>
      </c>
      <c r="C86" s="9"/>
      <c r="D86" s="9"/>
      <c r="E86" s="596">
        <f t="shared" si="6"/>
        <v>0</v>
      </c>
      <c r="F86" s="596">
        <f t="shared" si="6"/>
        <v>0</v>
      </c>
      <c r="G86" s="596">
        <f t="shared" si="6"/>
        <v>0</v>
      </c>
      <c r="H86" s="596">
        <f t="shared" si="6"/>
        <v>0</v>
      </c>
      <c r="I86" s="596">
        <f t="shared" si="6"/>
        <v>0</v>
      </c>
      <c r="J86" s="596">
        <f t="shared" si="6"/>
        <v>0.84782111141624517</v>
      </c>
      <c r="K86" s="596">
        <f t="shared" si="6"/>
        <v>0</v>
      </c>
      <c r="L86" s="596">
        <f t="shared" si="6"/>
        <v>0</v>
      </c>
      <c r="M86" s="596">
        <f t="shared" si="6"/>
        <v>0</v>
      </c>
      <c r="N86" s="618">
        <f t="shared" si="6"/>
        <v>0</v>
      </c>
    </row>
    <row r="87" spans="2:16" ht="16.5" thickBot="1" x14ac:dyDescent="0.3">
      <c r="B87" s="562" t="s">
        <v>16</v>
      </c>
      <c r="C87" s="9"/>
      <c r="D87" s="9"/>
      <c r="E87" s="596">
        <f t="shared" si="6"/>
        <v>0</v>
      </c>
      <c r="F87" s="596">
        <f t="shared" si="6"/>
        <v>3.0105255771524599</v>
      </c>
      <c r="G87" s="596">
        <f t="shared" si="6"/>
        <v>0</v>
      </c>
      <c r="H87" s="596">
        <f t="shared" si="6"/>
        <v>0</v>
      </c>
      <c r="I87" s="596">
        <f t="shared" si="6"/>
        <v>0</v>
      </c>
      <c r="J87" s="596">
        <f t="shared" si="6"/>
        <v>0</v>
      </c>
      <c r="K87" s="596">
        <f t="shared" si="6"/>
        <v>1.008153346505861</v>
      </c>
      <c r="L87" s="596">
        <f t="shared" si="6"/>
        <v>0</v>
      </c>
      <c r="M87" s="596">
        <f t="shared" si="6"/>
        <v>0</v>
      </c>
      <c r="N87" s="618">
        <f t="shared" si="6"/>
        <v>0</v>
      </c>
    </row>
    <row r="88" spans="2:16" ht="16.5" thickBot="1" x14ac:dyDescent="0.3">
      <c r="B88" s="562" t="s">
        <v>17</v>
      </c>
      <c r="C88" s="9"/>
      <c r="D88" s="9"/>
      <c r="E88" s="596">
        <f t="shared" si="6"/>
        <v>19.652207135719745</v>
      </c>
      <c r="F88" s="596">
        <f t="shared" si="6"/>
        <v>21.604706102495573</v>
      </c>
      <c r="G88" s="596">
        <f t="shared" si="6"/>
        <v>0.76925044768475515</v>
      </c>
      <c r="H88" s="596">
        <f t="shared" si="6"/>
        <v>2.2186217549683391</v>
      </c>
      <c r="I88" s="596">
        <f t="shared" si="6"/>
        <v>0</v>
      </c>
      <c r="J88" s="596">
        <f t="shared" si="6"/>
        <v>0</v>
      </c>
      <c r="K88" s="596">
        <f t="shared" si="6"/>
        <v>3.1879017056164916</v>
      </c>
      <c r="L88" s="596">
        <f t="shared" si="6"/>
        <v>2.6671736803561177</v>
      </c>
      <c r="M88" s="596">
        <f t="shared" si="6"/>
        <v>0</v>
      </c>
      <c r="N88" s="618">
        <f t="shared" si="6"/>
        <v>4.3608996731483751</v>
      </c>
    </row>
    <row r="89" spans="2:16" ht="16.5" thickBot="1" x14ac:dyDescent="0.3">
      <c r="B89" s="562" t="s">
        <v>18</v>
      </c>
      <c r="C89" s="9"/>
      <c r="D89" s="9"/>
      <c r="E89" s="596">
        <f t="shared" si="6"/>
        <v>0.18507024040436076</v>
      </c>
      <c r="F89" s="596">
        <f t="shared" si="6"/>
        <v>13.016840923443974</v>
      </c>
      <c r="G89" s="596">
        <f t="shared" si="6"/>
        <v>0.30583269378357658</v>
      </c>
      <c r="H89" s="596">
        <f t="shared" si="6"/>
        <v>0</v>
      </c>
      <c r="I89" s="596">
        <f t="shared" si="6"/>
        <v>0</v>
      </c>
      <c r="J89" s="596">
        <f t="shared" si="6"/>
        <v>0</v>
      </c>
      <c r="K89" s="596">
        <f t="shared" si="6"/>
        <v>4.8183098271671856</v>
      </c>
      <c r="L89" s="596">
        <f t="shared" si="6"/>
        <v>2.9381443298969439</v>
      </c>
      <c r="M89" s="596">
        <f t="shared" si="6"/>
        <v>0</v>
      </c>
      <c r="N89" s="618">
        <f t="shared" si="6"/>
        <v>0.92766051742287592</v>
      </c>
    </row>
    <row r="90" spans="2:16" ht="16.5" thickBot="1" x14ac:dyDescent="0.3">
      <c r="B90" s="562" t="s">
        <v>19</v>
      </c>
      <c r="C90" s="9"/>
      <c r="D90" s="9"/>
      <c r="E90" s="596">
        <f t="shared" si="6"/>
        <v>0</v>
      </c>
      <c r="F90" s="596">
        <f t="shared" si="6"/>
        <v>0</v>
      </c>
      <c r="G90" s="596">
        <f t="shared" si="6"/>
        <v>0</v>
      </c>
      <c r="H90" s="596">
        <f t="shared" si="6"/>
        <v>0</v>
      </c>
      <c r="I90" s="596">
        <f t="shared" si="6"/>
        <v>0</v>
      </c>
      <c r="J90" s="596">
        <f t="shared" si="6"/>
        <v>0</v>
      </c>
      <c r="K90" s="596">
        <f t="shared" si="6"/>
        <v>0</v>
      </c>
      <c r="L90" s="596">
        <f t="shared" si="6"/>
        <v>0</v>
      </c>
      <c r="M90" s="596">
        <f t="shared" si="6"/>
        <v>0</v>
      </c>
      <c r="N90" s="618">
        <f t="shared" si="6"/>
        <v>0</v>
      </c>
    </row>
    <row r="91" spans="2:16" ht="16.5" thickBot="1" x14ac:dyDescent="0.3">
      <c r="B91" s="562" t="s">
        <v>20</v>
      </c>
      <c r="C91" s="9"/>
      <c r="D91" s="9"/>
      <c r="E91" s="596">
        <f t="shared" si="6"/>
        <v>0</v>
      </c>
      <c r="F91" s="596">
        <f t="shared" si="6"/>
        <v>0</v>
      </c>
      <c r="G91" s="596">
        <f t="shared" si="6"/>
        <v>0</v>
      </c>
      <c r="H91" s="596">
        <f t="shared" si="6"/>
        <v>0</v>
      </c>
      <c r="I91" s="596">
        <f t="shared" si="6"/>
        <v>0</v>
      </c>
      <c r="J91" s="596">
        <f t="shared" si="6"/>
        <v>0</v>
      </c>
      <c r="K91" s="596">
        <f t="shared" si="6"/>
        <v>0</v>
      </c>
      <c r="L91" s="596">
        <f t="shared" si="6"/>
        <v>0</v>
      </c>
      <c r="M91" s="596">
        <f t="shared" si="6"/>
        <v>0</v>
      </c>
      <c r="N91" s="618">
        <f t="shared" si="6"/>
        <v>0</v>
      </c>
    </row>
    <row r="92" spans="2:16" ht="16.5" thickBot="1" x14ac:dyDescent="0.3">
      <c r="B92" s="562" t="s">
        <v>21</v>
      </c>
      <c r="C92" s="9"/>
      <c r="D92" s="9"/>
      <c r="E92" s="596">
        <f t="shared" si="6"/>
        <v>0</v>
      </c>
      <c r="F92" s="596">
        <f t="shared" si="6"/>
        <v>0</v>
      </c>
      <c r="G92" s="596">
        <f t="shared" si="6"/>
        <v>0</v>
      </c>
      <c r="H92" s="596">
        <f t="shared" si="6"/>
        <v>0</v>
      </c>
      <c r="I92" s="596">
        <f t="shared" si="6"/>
        <v>0</v>
      </c>
      <c r="J92" s="596">
        <f t="shared" si="6"/>
        <v>0.66300466904699817</v>
      </c>
      <c r="K92" s="596">
        <f t="shared" si="6"/>
        <v>0</v>
      </c>
      <c r="L92" s="596">
        <f t="shared" si="6"/>
        <v>0</v>
      </c>
      <c r="M92" s="596">
        <f t="shared" si="6"/>
        <v>0</v>
      </c>
      <c r="N92" s="618">
        <f t="shared" si="6"/>
        <v>0</v>
      </c>
    </row>
    <row r="93" spans="2:16" ht="16.5" thickBot="1" x14ac:dyDescent="0.3">
      <c r="B93" s="562" t="s">
        <v>22</v>
      </c>
      <c r="C93" s="9"/>
      <c r="D93" s="9"/>
      <c r="E93" s="596">
        <f t="shared" si="6"/>
        <v>0</v>
      </c>
      <c r="F93" s="596">
        <f t="shared" si="6"/>
        <v>6.4807148036394731</v>
      </c>
      <c r="G93" s="596">
        <f t="shared" si="6"/>
        <v>0.17536454336147372</v>
      </c>
      <c r="H93" s="596">
        <f t="shared" si="6"/>
        <v>0</v>
      </c>
      <c r="I93" s="596">
        <f t="shared" si="6"/>
        <v>0.68516409566205771</v>
      </c>
      <c r="J93" s="596">
        <f t="shared" si="6"/>
        <v>0</v>
      </c>
      <c r="K93" s="596">
        <f t="shared" si="6"/>
        <v>0</v>
      </c>
      <c r="L93" s="596">
        <f t="shared" si="6"/>
        <v>0</v>
      </c>
      <c r="M93" s="596">
        <f t="shared" si="6"/>
        <v>1.7875530252288268</v>
      </c>
      <c r="N93" s="618">
        <f t="shared" si="6"/>
        <v>2.8419034956512292</v>
      </c>
    </row>
    <row r="94" spans="2:16" ht="16.5" thickBot="1" x14ac:dyDescent="0.3">
      <c r="B94" s="593" t="s">
        <v>23</v>
      </c>
      <c r="C94" s="424"/>
      <c r="D94" s="424"/>
      <c r="E94" s="616">
        <f t="shared" si="6"/>
        <v>10.358678657496723</v>
      </c>
      <c r="F94" s="616">
        <f t="shared" si="6"/>
        <v>0</v>
      </c>
      <c r="G94" s="616">
        <f t="shared" si="6"/>
        <v>0</v>
      </c>
      <c r="H94" s="616">
        <f t="shared" si="6"/>
        <v>0</v>
      </c>
      <c r="I94" s="616">
        <f t="shared" si="6"/>
        <v>0</v>
      </c>
      <c r="J94" s="616">
        <f t="shared" si="6"/>
        <v>0</v>
      </c>
      <c r="K94" s="616">
        <f t="shared" si="6"/>
        <v>0</v>
      </c>
      <c r="L94" s="616">
        <f t="shared" si="6"/>
        <v>0</v>
      </c>
      <c r="M94" s="616">
        <f t="shared" si="6"/>
        <v>0</v>
      </c>
      <c r="N94" s="617">
        <f t="shared" si="6"/>
        <v>0</v>
      </c>
    </row>
    <row r="95" spans="2:16" ht="19.5" thickBot="1" x14ac:dyDescent="0.35">
      <c r="B95" s="594" t="s">
        <v>24</v>
      </c>
      <c r="C95" s="421"/>
      <c r="D95" s="421"/>
      <c r="E95" s="616">
        <f t="shared" ref="E95:N95" si="7">IF(E76&lt;E$76,0,(E76-E$76)*C38)</f>
        <v>0</v>
      </c>
      <c r="F95" s="616">
        <f t="shared" si="7"/>
        <v>0</v>
      </c>
      <c r="G95" s="616">
        <f t="shared" si="7"/>
        <v>0</v>
      </c>
      <c r="H95" s="616">
        <f t="shared" si="7"/>
        <v>0</v>
      </c>
      <c r="I95" s="616">
        <f t="shared" si="7"/>
        <v>0</v>
      </c>
      <c r="J95" s="616">
        <f t="shared" si="7"/>
        <v>0</v>
      </c>
      <c r="K95" s="616">
        <f t="shared" si="7"/>
        <v>0</v>
      </c>
      <c r="L95" s="616">
        <f t="shared" si="7"/>
        <v>0</v>
      </c>
      <c r="M95" s="616">
        <f t="shared" si="7"/>
        <v>0</v>
      </c>
      <c r="N95" s="617">
        <f t="shared" si="7"/>
        <v>0</v>
      </c>
    </row>
    <row r="96" spans="2:16" ht="15.75" thickBot="1" x14ac:dyDescent="0.25">
      <c r="P96" s="1" t="s">
        <v>339</v>
      </c>
    </row>
    <row r="97" spans="2:28" ht="19.5" thickBot="1" x14ac:dyDescent="0.35">
      <c r="B97" s="603" t="s">
        <v>340</v>
      </c>
      <c r="C97" s="421"/>
      <c r="D97" s="421"/>
      <c r="E97" s="604">
        <v>2013</v>
      </c>
      <c r="F97" s="604">
        <v>2014</v>
      </c>
      <c r="G97" s="604">
        <v>2015</v>
      </c>
      <c r="H97" s="603">
        <v>2016</v>
      </c>
      <c r="I97" s="604">
        <v>2017</v>
      </c>
      <c r="J97" s="604">
        <v>2018</v>
      </c>
      <c r="K97" s="604">
        <v>2019</v>
      </c>
      <c r="L97" s="604">
        <v>2020</v>
      </c>
      <c r="M97" s="604">
        <v>2021</v>
      </c>
      <c r="N97" s="605">
        <v>2022</v>
      </c>
      <c r="P97" s="644" t="s">
        <v>334</v>
      </c>
      <c r="Q97" s="605">
        <v>2011</v>
      </c>
      <c r="R97" s="604">
        <v>2012</v>
      </c>
      <c r="S97" s="605">
        <v>2013</v>
      </c>
      <c r="T97" s="606">
        <v>2014</v>
      </c>
      <c r="U97" s="607">
        <v>2015</v>
      </c>
      <c r="V97" s="643">
        <v>2016</v>
      </c>
      <c r="W97" s="606">
        <v>2017</v>
      </c>
      <c r="X97" s="606">
        <v>2018</v>
      </c>
      <c r="Y97" s="606">
        <v>2019</v>
      </c>
      <c r="Z97" s="606">
        <v>2020</v>
      </c>
      <c r="AA97" s="606">
        <v>2021</v>
      </c>
      <c r="AB97" s="607">
        <v>2022</v>
      </c>
    </row>
    <row r="98" spans="2:28" ht="16.5" thickBot="1" x14ac:dyDescent="0.3">
      <c r="B98" s="592" t="s">
        <v>8</v>
      </c>
      <c r="C98" s="3"/>
      <c r="D98" s="3"/>
      <c r="E98" s="602">
        <f>IF(E79&gt;0,2*S98*E79,0)</f>
        <v>0</v>
      </c>
      <c r="F98" s="602">
        <f t="shared" ref="F98:N113" si="8">IF(F79&gt;0,2*T98*F79,0)</f>
        <v>0</v>
      </c>
      <c r="G98" s="602">
        <f t="shared" si="8"/>
        <v>0</v>
      </c>
      <c r="H98" s="602">
        <f t="shared" si="8"/>
        <v>0</v>
      </c>
      <c r="I98" s="602">
        <f t="shared" si="8"/>
        <v>0</v>
      </c>
      <c r="J98" s="602">
        <f t="shared" si="8"/>
        <v>0</v>
      </c>
      <c r="K98" s="602">
        <f t="shared" si="8"/>
        <v>0</v>
      </c>
      <c r="L98" s="602">
        <f t="shared" si="8"/>
        <v>0</v>
      </c>
      <c r="M98" s="602">
        <f t="shared" si="8"/>
        <v>0</v>
      </c>
      <c r="N98" s="602">
        <f t="shared" si="8"/>
        <v>0</v>
      </c>
      <c r="P98" s="592" t="s">
        <v>8</v>
      </c>
      <c r="Q98" s="597"/>
      <c r="R98" s="597"/>
      <c r="S98" s="597">
        <v>2062.7280021314746</v>
      </c>
      <c r="T98" s="629">
        <f>S98*1.02</f>
        <v>2103.9825621741043</v>
      </c>
      <c r="U98" s="629">
        <f t="shared" ref="U98:AB98" si="9">T98*1.02</f>
        <v>2146.0622134175865</v>
      </c>
      <c r="V98" s="629">
        <f t="shared" si="9"/>
        <v>2188.9834576859384</v>
      </c>
      <c r="W98" s="629">
        <f t="shared" si="9"/>
        <v>2232.7631268396572</v>
      </c>
      <c r="X98" s="629">
        <f t="shared" si="9"/>
        <v>2277.4183893764502</v>
      </c>
      <c r="Y98" s="629">
        <f t="shared" si="9"/>
        <v>2322.9667571639793</v>
      </c>
      <c r="Z98" s="629">
        <f t="shared" si="9"/>
        <v>2369.4260923072588</v>
      </c>
      <c r="AA98" s="629">
        <f t="shared" si="9"/>
        <v>2416.8146141534039</v>
      </c>
      <c r="AB98" s="630">
        <f t="shared" si="9"/>
        <v>2465.1509064364718</v>
      </c>
    </row>
    <row r="99" spans="2:28" ht="16.5" thickBot="1" x14ac:dyDescent="0.3">
      <c r="B99" s="562" t="s">
        <v>9</v>
      </c>
      <c r="C99" s="9"/>
      <c r="D99" s="9"/>
      <c r="E99" s="602">
        <f t="shared" ref="E99:E113" si="10">IF(E80&gt;0,2*S99*E80,0)</f>
        <v>0</v>
      </c>
      <c r="F99" s="602">
        <f t="shared" si="8"/>
        <v>0</v>
      </c>
      <c r="G99" s="602">
        <f t="shared" si="8"/>
        <v>0</v>
      </c>
      <c r="H99" s="602">
        <f t="shared" si="8"/>
        <v>0</v>
      </c>
      <c r="I99" s="602">
        <f t="shared" si="8"/>
        <v>0</v>
      </c>
      <c r="J99" s="602">
        <f t="shared" si="8"/>
        <v>0</v>
      </c>
      <c r="K99" s="602">
        <f t="shared" si="8"/>
        <v>0</v>
      </c>
      <c r="L99" s="602">
        <f t="shared" si="8"/>
        <v>0</v>
      </c>
      <c r="M99" s="602">
        <f t="shared" si="8"/>
        <v>0</v>
      </c>
      <c r="N99" s="602">
        <f t="shared" si="8"/>
        <v>4133.8856622109797</v>
      </c>
      <c r="P99" s="562" t="s">
        <v>9</v>
      </c>
      <c r="Q99" s="598"/>
      <c r="R99" s="598"/>
      <c r="S99" s="598">
        <v>1968.0308860359148</v>
      </c>
      <c r="T99" s="632">
        <f t="shared" ref="T99:AB113" si="11">S99*1.02</f>
        <v>2007.3915037566333</v>
      </c>
      <c r="U99" s="632">
        <f t="shared" si="11"/>
        <v>2047.539333831766</v>
      </c>
      <c r="V99" s="632">
        <f t="shared" si="11"/>
        <v>2088.4901205084016</v>
      </c>
      <c r="W99" s="632">
        <f t="shared" si="11"/>
        <v>2130.2599229185698</v>
      </c>
      <c r="X99" s="632">
        <f t="shared" si="11"/>
        <v>2172.8651213769413</v>
      </c>
      <c r="Y99" s="632">
        <f t="shared" si="11"/>
        <v>2216.32242380448</v>
      </c>
      <c r="Z99" s="632">
        <f t="shared" si="11"/>
        <v>2260.6488722805698</v>
      </c>
      <c r="AA99" s="632">
        <f t="shared" si="11"/>
        <v>2305.8618497261814</v>
      </c>
      <c r="AB99" s="633">
        <f t="shared" si="11"/>
        <v>2351.9790867207053</v>
      </c>
    </row>
    <row r="100" spans="2:28" ht="16.5" thickBot="1" x14ac:dyDescent="0.3">
      <c r="B100" s="562" t="s">
        <v>10</v>
      </c>
      <c r="C100" s="9"/>
      <c r="D100" s="9"/>
      <c r="E100" s="602">
        <f t="shared" si="10"/>
        <v>0</v>
      </c>
      <c r="F100" s="602">
        <f t="shared" si="8"/>
        <v>0</v>
      </c>
      <c r="G100" s="602">
        <f t="shared" si="8"/>
        <v>0</v>
      </c>
      <c r="H100" s="602">
        <f t="shared" si="8"/>
        <v>0</v>
      </c>
      <c r="I100" s="602">
        <f t="shared" si="8"/>
        <v>0</v>
      </c>
      <c r="J100" s="602">
        <f t="shared" si="8"/>
        <v>0</v>
      </c>
      <c r="K100" s="602">
        <f t="shared" si="8"/>
        <v>0</v>
      </c>
      <c r="L100" s="602">
        <f t="shared" si="8"/>
        <v>0</v>
      </c>
      <c r="M100" s="602">
        <f t="shared" si="8"/>
        <v>0</v>
      </c>
      <c r="N100" s="602">
        <f t="shared" si="8"/>
        <v>4568.2183039751189</v>
      </c>
      <c r="P100" s="562" t="s">
        <v>10</v>
      </c>
      <c r="Q100" s="598"/>
      <c r="R100" s="598"/>
      <c r="S100" s="598">
        <v>1508.5572753096285</v>
      </c>
      <c r="T100" s="632">
        <f t="shared" si="11"/>
        <v>1538.728420815821</v>
      </c>
      <c r="U100" s="632">
        <f t="shared" si="11"/>
        <v>1569.5029892321375</v>
      </c>
      <c r="V100" s="632">
        <f t="shared" si="11"/>
        <v>1600.8930490167802</v>
      </c>
      <c r="W100" s="632">
        <f t="shared" si="11"/>
        <v>1632.9109099971158</v>
      </c>
      <c r="X100" s="632">
        <f t="shared" si="11"/>
        <v>1665.5691281970583</v>
      </c>
      <c r="Y100" s="632">
        <f t="shared" si="11"/>
        <v>1698.8805107609994</v>
      </c>
      <c r="Z100" s="632">
        <f t="shared" si="11"/>
        <v>1732.8581209762194</v>
      </c>
      <c r="AA100" s="632">
        <f t="shared" si="11"/>
        <v>1767.5152833957438</v>
      </c>
      <c r="AB100" s="633">
        <f t="shared" si="11"/>
        <v>1802.8655890636587</v>
      </c>
    </row>
    <row r="101" spans="2:28" ht="16.5" thickBot="1" x14ac:dyDescent="0.3">
      <c r="B101" s="562" t="s">
        <v>11</v>
      </c>
      <c r="C101" s="9"/>
      <c r="D101" s="9"/>
      <c r="E101" s="602">
        <f t="shared" si="10"/>
        <v>0</v>
      </c>
      <c r="F101" s="602">
        <f t="shared" si="8"/>
        <v>0</v>
      </c>
      <c r="G101" s="602">
        <f t="shared" si="8"/>
        <v>0</v>
      </c>
      <c r="H101" s="602">
        <f t="shared" si="8"/>
        <v>0</v>
      </c>
      <c r="I101" s="602">
        <f t="shared" si="8"/>
        <v>22661.064439430156</v>
      </c>
      <c r="J101" s="602">
        <f t="shared" si="8"/>
        <v>7368.0405791179455</v>
      </c>
      <c r="K101" s="602">
        <f t="shared" si="8"/>
        <v>0</v>
      </c>
      <c r="L101" s="602">
        <f t="shared" si="8"/>
        <v>4999.4792028990287</v>
      </c>
      <c r="M101" s="602">
        <f t="shared" si="8"/>
        <v>0</v>
      </c>
      <c r="N101" s="602">
        <f t="shared" si="8"/>
        <v>0</v>
      </c>
      <c r="P101" s="562" t="s">
        <v>11</v>
      </c>
      <c r="Q101" s="598"/>
      <c r="R101" s="598"/>
      <c r="S101" s="598">
        <v>2127.6305522109728</v>
      </c>
      <c r="T101" s="632">
        <f t="shared" si="11"/>
        <v>2170.1831632551925</v>
      </c>
      <c r="U101" s="632">
        <f t="shared" si="11"/>
        <v>2213.5868265202967</v>
      </c>
      <c r="V101" s="632">
        <f t="shared" si="11"/>
        <v>2257.8585630507027</v>
      </c>
      <c r="W101" s="632">
        <f t="shared" si="11"/>
        <v>2303.0157343117166</v>
      </c>
      <c r="X101" s="632">
        <f t="shared" si="11"/>
        <v>2349.0760489979511</v>
      </c>
      <c r="Y101" s="632">
        <f t="shared" si="11"/>
        <v>2396.0575699779101</v>
      </c>
      <c r="Z101" s="632">
        <f t="shared" si="11"/>
        <v>2443.9787213774684</v>
      </c>
      <c r="AA101" s="632">
        <f t="shared" si="11"/>
        <v>2492.8582958050179</v>
      </c>
      <c r="AB101" s="633">
        <f t="shared" si="11"/>
        <v>2542.7154617211181</v>
      </c>
    </row>
    <row r="102" spans="2:28" ht="16.5" thickBot="1" x14ac:dyDescent="0.3">
      <c r="B102" s="562" t="s">
        <v>12</v>
      </c>
      <c r="C102" s="9"/>
      <c r="D102" s="9"/>
      <c r="E102" s="602">
        <f t="shared" si="10"/>
        <v>7027.6125044658975</v>
      </c>
      <c r="F102" s="602">
        <f t="shared" si="8"/>
        <v>0</v>
      </c>
      <c r="G102" s="602">
        <f t="shared" si="8"/>
        <v>0</v>
      </c>
      <c r="H102" s="602">
        <f t="shared" si="8"/>
        <v>10591.867762633021</v>
      </c>
      <c r="I102" s="602">
        <f t="shared" si="8"/>
        <v>19793.128169200008</v>
      </c>
      <c r="J102" s="602">
        <f t="shared" si="8"/>
        <v>23573.892957564254</v>
      </c>
      <c r="K102" s="602">
        <f t="shared" si="8"/>
        <v>0</v>
      </c>
      <c r="L102" s="602">
        <f t="shared" si="8"/>
        <v>30777.70995887191</v>
      </c>
      <c r="M102" s="602">
        <f t="shared" si="8"/>
        <v>12173.40526835719</v>
      </c>
      <c r="N102" s="602">
        <f t="shared" si="8"/>
        <v>6858.7623188636853</v>
      </c>
      <c r="P102" s="562" t="s">
        <v>12</v>
      </c>
      <c r="Q102" s="598"/>
      <c r="R102" s="598"/>
      <c r="S102" s="598">
        <v>3452.7594040152517</v>
      </c>
      <c r="T102" s="632">
        <f t="shared" si="11"/>
        <v>3521.8145920955567</v>
      </c>
      <c r="U102" s="632">
        <f t="shared" si="11"/>
        <v>3592.2508839374677</v>
      </c>
      <c r="V102" s="632">
        <f t="shared" si="11"/>
        <v>3664.0959016162174</v>
      </c>
      <c r="W102" s="632">
        <f t="shared" si="11"/>
        <v>3737.3778196485418</v>
      </c>
      <c r="X102" s="632">
        <f t="shared" si="11"/>
        <v>3812.1253760415129</v>
      </c>
      <c r="Y102" s="632">
        <f t="shared" si="11"/>
        <v>3888.3678835623432</v>
      </c>
      <c r="Z102" s="632">
        <f t="shared" si="11"/>
        <v>3966.13524123359</v>
      </c>
      <c r="AA102" s="632">
        <f t="shared" si="11"/>
        <v>4045.4579460582618</v>
      </c>
      <c r="AB102" s="633">
        <f t="shared" si="11"/>
        <v>4126.3671049794275</v>
      </c>
    </row>
    <row r="103" spans="2:28" ht="16.5" thickBot="1" x14ac:dyDescent="0.3">
      <c r="B103" s="562" t="s">
        <v>13</v>
      </c>
      <c r="C103" s="9"/>
      <c r="D103" s="9"/>
      <c r="E103" s="602">
        <f t="shared" si="10"/>
        <v>0</v>
      </c>
      <c r="F103" s="602">
        <f t="shared" si="8"/>
        <v>0</v>
      </c>
      <c r="G103" s="602">
        <f t="shared" si="8"/>
        <v>0</v>
      </c>
      <c r="H103" s="602">
        <f t="shared" si="8"/>
        <v>0</v>
      </c>
      <c r="I103" s="602">
        <f t="shared" si="8"/>
        <v>0</v>
      </c>
      <c r="J103" s="602">
        <f t="shared" si="8"/>
        <v>1311.5130267072632</v>
      </c>
      <c r="K103" s="602">
        <f t="shared" si="8"/>
        <v>24479.159328081034</v>
      </c>
      <c r="L103" s="602">
        <f t="shared" si="8"/>
        <v>20856.566300810522</v>
      </c>
      <c r="M103" s="602">
        <f t="shared" si="8"/>
        <v>48.783568393740914</v>
      </c>
      <c r="N103" s="602">
        <f t="shared" si="8"/>
        <v>0</v>
      </c>
      <c r="P103" s="562" t="s">
        <v>13</v>
      </c>
      <c r="Q103" s="598"/>
      <c r="R103" s="598"/>
      <c r="S103" s="598">
        <v>1690.7435549288216</v>
      </c>
      <c r="T103" s="632">
        <f t="shared" si="11"/>
        <v>1724.5584260273981</v>
      </c>
      <c r="U103" s="632">
        <f t="shared" si="11"/>
        <v>1759.0495945479461</v>
      </c>
      <c r="V103" s="632">
        <f t="shared" si="11"/>
        <v>1794.230586438905</v>
      </c>
      <c r="W103" s="632">
        <f t="shared" si="11"/>
        <v>1830.115198167683</v>
      </c>
      <c r="X103" s="632">
        <f t="shared" si="11"/>
        <v>1866.7175021310368</v>
      </c>
      <c r="Y103" s="632">
        <f t="shared" si="11"/>
        <v>1904.0518521736576</v>
      </c>
      <c r="Z103" s="632">
        <f t="shared" si="11"/>
        <v>1942.1328892171307</v>
      </c>
      <c r="AA103" s="632">
        <f t="shared" si="11"/>
        <v>1980.9755470014734</v>
      </c>
      <c r="AB103" s="633">
        <f t="shared" si="11"/>
        <v>2020.595057941503</v>
      </c>
    </row>
    <row r="104" spans="2:28" ht="16.5" thickBot="1" x14ac:dyDescent="0.3">
      <c r="B104" s="562" t="s">
        <v>14</v>
      </c>
      <c r="C104" s="9"/>
      <c r="D104" s="9"/>
      <c r="E104" s="602">
        <f t="shared" si="10"/>
        <v>127456.92053061633</v>
      </c>
      <c r="F104" s="602">
        <f t="shared" si="8"/>
        <v>113670.31680259033</v>
      </c>
      <c r="G104" s="602">
        <f t="shared" si="8"/>
        <v>156991.26625858987</v>
      </c>
      <c r="H104" s="602">
        <f t="shared" si="8"/>
        <v>116520.45087787398</v>
      </c>
      <c r="I104" s="602">
        <f t="shared" si="8"/>
        <v>121293.27909173566</v>
      </c>
      <c r="J104" s="602">
        <f t="shared" si="8"/>
        <v>97622.167561631359</v>
      </c>
      <c r="K104" s="602">
        <f t="shared" si="8"/>
        <v>103011.64803758435</v>
      </c>
      <c r="L104" s="602">
        <f t="shared" si="8"/>
        <v>99806.502084319465</v>
      </c>
      <c r="M104" s="602">
        <f t="shared" si="8"/>
        <v>104300.30162706671</v>
      </c>
      <c r="N104" s="602">
        <f t="shared" si="8"/>
        <v>76984.606256294544</v>
      </c>
      <c r="P104" s="562" t="s">
        <v>14</v>
      </c>
      <c r="Q104" s="598"/>
      <c r="R104" s="598"/>
      <c r="S104" s="598">
        <v>900.25238208271128</v>
      </c>
      <c r="T104" s="632">
        <f t="shared" si="11"/>
        <v>918.25742972436547</v>
      </c>
      <c r="U104" s="632">
        <f t="shared" si="11"/>
        <v>936.62257831885279</v>
      </c>
      <c r="V104" s="632">
        <f t="shared" si="11"/>
        <v>955.3550298852299</v>
      </c>
      <c r="W104" s="632">
        <f t="shared" si="11"/>
        <v>974.46213048293453</v>
      </c>
      <c r="X104" s="632">
        <f t="shared" si="11"/>
        <v>993.95137309259326</v>
      </c>
      <c r="Y104" s="632">
        <f t="shared" si="11"/>
        <v>1013.8304005544452</v>
      </c>
      <c r="Z104" s="632">
        <f t="shared" si="11"/>
        <v>1034.1070085655342</v>
      </c>
      <c r="AA104" s="632">
        <f t="shared" si="11"/>
        <v>1054.7891487368449</v>
      </c>
      <c r="AB104" s="633">
        <f t="shared" si="11"/>
        <v>1075.8849317115819</v>
      </c>
    </row>
    <row r="105" spans="2:28" ht="16.5" thickBot="1" x14ac:dyDescent="0.3">
      <c r="B105" s="562" t="s">
        <v>15</v>
      </c>
      <c r="C105" s="9"/>
      <c r="D105" s="9"/>
      <c r="E105" s="602">
        <f t="shared" si="10"/>
        <v>0</v>
      </c>
      <c r="F105" s="602">
        <f t="shared" si="8"/>
        <v>0</v>
      </c>
      <c r="G105" s="602">
        <f t="shared" si="8"/>
        <v>0</v>
      </c>
      <c r="H105" s="602">
        <f t="shared" si="8"/>
        <v>0</v>
      </c>
      <c r="I105" s="602">
        <f t="shared" si="8"/>
        <v>0</v>
      </c>
      <c r="J105" s="602">
        <f t="shared" si="8"/>
        <v>3897.9652592284688</v>
      </c>
      <c r="K105" s="602">
        <f t="shared" si="8"/>
        <v>0</v>
      </c>
      <c r="L105" s="602">
        <f t="shared" si="8"/>
        <v>0</v>
      </c>
      <c r="M105" s="602">
        <f t="shared" si="8"/>
        <v>0</v>
      </c>
      <c r="N105" s="602">
        <f t="shared" si="8"/>
        <v>0</v>
      </c>
      <c r="P105" s="562" t="s">
        <v>15</v>
      </c>
      <c r="Q105" s="598"/>
      <c r="R105" s="598"/>
      <c r="S105" s="598">
        <v>2082.1062270036737</v>
      </c>
      <c r="T105" s="632">
        <f t="shared" si="11"/>
        <v>2123.748351543747</v>
      </c>
      <c r="U105" s="632">
        <f t="shared" si="11"/>
        <v>2166.2233185746222</v>
      </c>
      <c r="V105" s="632">
        <f t="shared" si="11"/>
        <v>2209.5477849461149</v>
      </c>
      <c r="W105" s="632">
        <f t="shared" si="11"/>
        <v>2253.7387406450371</v>
      </c>
      <c r="X105" s="632">
        <f t="shared" si="11"/>
        <v>2298.8135154579377</v>
      </c>
      <c r="Y105" s="632">
        <f t="shared" si="11"/>
        <v>2344.7897857670964</v>
      </c>
      <c r="Z105" s="632">
        <f t="shared" si="11"/>
        <v>2391.6855814824385</v>
      </c>
      <c r="AA105" s="632">
        <f t="shared" si="11"/>
        <v>2439.5192931120873</v>
      </c>
      <c r="AB105" s="633">
        <f t="shared" si="11"/>
        <v>2488.309678974329</v>
      </c>
    </row>
    <row r="106" spans="2:28" ht="16.5" thickBot="1" x14ac:dyDescent="0.3">
      <c r="B106" s="562" t="s">
        <v>16</v>
      </c>
      <c r="C106" s="9"/>
      <c r="D106" s="9"/>
      <c r="E106" s="602">
        <f t="shared" si="10"/>
        <v>0</v>
      </c>
      <c r="F106" s="602">
        <f t="shared" si="8"/>
        <v>15537.386312947952</v>
      </c>
      <c r="G106" s="602">
        <f t="shared" si="8"/>
        <v>0</v>
      </c>
      <c r="H106" s="602">
        <f t="shared" si="8"/>
        <v>0</v>
      </c>
      <c r="I106" s="602">
        <f t="shared" si="8"/>
        <v>0</v>
      </c>
      <c r="J106" s="602">
        <f t="shared" si="8"/>
        <v>0</v>
      </c>
      <c r="K106" s="602">
        <f t="shared" si="8"/>
        <v>5744.6436988240603</v>
      </c>
      <c r="L106" s="602">
        <f t="shared" si="8"/>
        <v>0</v>
      </c>
      <c r="M106" s="602">
        <f t="shared" si="8"/>
        <v>0</v>
      </c>
      <c r="N106" s="602">
        <f t="shared" si="8"/>
        <v>0</v>
      </c>
      <c r="P106" s="562" t="s">
        <v>16</v>
      </c>
      <c r="Q106" s="598"/>
      <c r="R106" s="598"/>
      <c r="S106" s="598">
        <v>2529.9123506814367</v>
      </c>
      <c r="T106" s="632">
        <f t="shared" si="11"/>
        <v>2580.5105976950654</v>
      </c>
      <c r="U106" s="632">
        <f t="shared" si="11"/>
        <v>2632.1208096489668</v>
      </c>
      <c r="V106" s="632">
        <f t="shared" si="11"/>
        <v>2684.7632258419462</v>
      </c>
      <c r="W106" s="632">
        <f t="shared" si="11"/>
        <v>2738.4584903587852</v>
      </c>
      <c r="X106" s="632">
        <f t="shared" si="11"/>
        <v>2793.227660165961</v>
      </c>
      <c r="Y106" s="632">
        <f t="shared" si="11"/>
        <v>2849.0922133692802</v>
      </c>
      <c r="Z106" s="632">
        <f t="shared" si="11"/>
        <v>2906.0740576366657</v>
      </c>
      <c r="AA106" s="632">
        <f t="shared" si="11"/>
        <v>2964.1955387893991</v>
      </c>
      <c r="AB106" s="633">
        <f t="shared" si="11"/>
        <v>3023.4794495651872</v>
      </c>
    </row>
    <row r="107" spans="2:28" ht="16.5" thickBot="1" x14ac:dyDescent="0.3">
      <c r="B107" s="562" t="s">
        <v>17</v>
      </c>
      <c r="C107" s="9"/>
      <c r="D107" s="9"/>
      <c r="E107" s="602">
        <f t="shared" si="10"/>
        <v>47128.533005559832</v>
      </c>
      <c r="F107" s="602">
        <f t="shared" si="8"/>
        <v>52847.095471110486</v>
      </c>
      <c r="G107" s="602">
        <f t="shared" si="8"/>
        <v>1919.2903939665639</v>
      </c>
      <c r="H107" s="602">
        <f t="shared" si="8"/>
        <v>5646.2014727081814</v>
      </c>
      <c r="I107" s="602">
        <f t="shared" si="8"/>
        <v>0</v>
      </c>
      <c r="J107" s="602">
        <f t="shared" si="8"/>
        <v>0</v>
      </c>
      <c r="K107" s="602">
        <f t="shared" si="8"/>
        <v>8609.5121078121556</v>
      </c>
      <c r="L107" s="602">
        <f t="shared" si="8"/>
        <v>7347.2545703938695</v>
      </c>
      <c r="M107" s="602">
        <f t="shared" si="8"/>
        <v>0</v>
      </c>
      <c r="N107" s="602">
        <f t="shared" si="8"/>
        <v>12498.279417755142</v>
      </c>
      <c r="P107" s="562" t="s">
        <v>17</v>
      </c>
      <c r="Q107" s="598"/>
      <c r="R107" s="598"/>
      <c r="S107" s="598">
        <v>1199.0646312672754</v>
      </c>
      <c r="T107" s="632">
        <f t="shared" si="11"/>
        <v>1223.045923892621</v>
      </c>
      <c r="U107" s="632">
        <f t="shared" si="11"/>
        <v>1247.5068423704734</v>
      </c>
      <c r="V107" s="632">
        <f t="shared" si="11"/>
        <v>1272.4569792178829</v>
      </c>
      <c r="W107" s="632">
        <f t="shared" si="11"/>
        <v>1297.9061188022406</v>
      </c>
      <c r="X107" s="632">
        <f t="shared" si="11"/>
        <v>1323.8642411782855</v>
      </c>
      <c r="Y107" s="632">
        <f t="shared" si="11"/>
        <v>1350.3415260018512</v>
      </c>
      <c r="Z107" s="632">
        <f t="shared" si="11"/>
        <v>1377.3483565218883</v>
      </c>
      <c r="AA107" s="632">
        <f t="shared" si="11"/>
        <v>1404.8953236523259</v>
      </c>
      <c r="AB107" s="633">
        <f t="shared" si="11"/>
        <v>1432.9932301253725</v>
      </c>
    </row>
    <row r="108" spans="2:28" ht="16.5" thickBot="1" x14ac:dyDescent="0.3">
      <c r="B108" s="562" t="s">
        <v>18</v>
      </c>
      <c r="C108" s="9"/>
      <c r="D108" s="9"/>
      <c r="E108" s="602">
        <f t="shared" si="10"/>
        <v>573.05348244059553</v>
      </c>
      <c r="F108" s="602">
        <f t="shared" si="8"/>
        <v>41111.595928994342</v>
      </c>
      <c r="G108" s="602">
        <f t="shared" si="8"/>
        <v>985.24178075975442</v>
      </c>
      <c r="H108" s="602">
        <f t="shared" si="8"/>
        <v>0</v>
      </c>
      <c r="I108" s="602">
        <f t="shared" si="8"/>
        <v>0</v>
      </c>
      <c r="J108" s="602">
        <f t="shared" si="8"/>
        <v>0</v>
      </c>
      <c r="K108" s="602">
        <f t="shared" si="8"/>
        <v>16801.742330019828</v>
      </c>
      <c r="L108" s="602">
        <f t="shared" si="8"/>
        <v>10450.399547703641</v>
      </c>
      <c r="M108" s="602">
        <f t="shared" si="8"/>
        <v>0</v>
      </c>
      <c r="N108" s="602">
        <f t="shared" si="8"/>
        <v>3432.8054072622572</v>
      </c>
      <c r="P108" s="562" t="s">
        <v>18</v>
      </c>
      <c r="Q108" s="598"/>
      <c r="R108" s="598"/>
      <c r="S108" s="598">
        <v>1548.2053764790289</v>
      </c>
      <c r="T108" s="632">
        <f t="shared" si="11"/>
        <v>1579.1694840086095</v>
      </c>
      <c r="U108" s="632">
        <f t="shared" si="11"/>
        <v>1610.7528736887818</v>
      </c>
      <c r="V108" s="632">
        <f t="shared" si="11"/>
        <v>1642.9679311625575</v>
      </c>
      <c r="W108" s="632">
        <f t="shared" si="11"/>
        <v>1675.8272897858087</v>
      </c>
      <c r="X108" s="632">
        <f t="shared" si="11"/>
        <v>1709.3438355815249</v>
      </c>
      <c r="Y108" s="632">
        <f t="shared" si="11"/>
        <v>1743.5307122931554</v>
      </c>
      <c r="Z108" s="632">
        <f t="shared" si="11"/>
        <v>1778.4013265390186</v>
      </c>
      <c r="AA108" s="632">
        <f t="shared" si="11"/>
        <v>1813.9693530697989</v>
      </c>
      <c r="AB108" s="633">
        <f t="shared" si="11"/>
        <v>1850.2487401311948</v>
      </c>
    </row>
    <row r="109" spans="2:28" ht="16.5" thickBot="1" x14ac:dyDescent="0.3">
      <c r="B109" s="562" t="s">
        <v>19</v>
      </c>
      <c r="C109" s="9"/>
      <c r="D109" s="9"/>
      <c r="E109" s="602">
        <f t="shared" si="10"/>
        <v>0</v>
      </c>
      <c r="F109" s="602">
        <f t="shared" si="8"/>
        <v>0</v>
      </c>
      <c r="G109" s="602">
        <f t="shared" si="8"/>
        <v>0</v>
      </c>
      <c r="H109" s="602">
        <f t="shared" si="8"/>
        <v>0</v>
      </c>
      <c r="I109" s="602">
        <f t="shared" si="8"/>
        <v>0</v>
      </c>
      <c r="J109" s="602">
        <f t="shared" si="8"/>
        <v>0</v>
      </c>
      <c r="K109" s="602">
        <f t="shared" si="8"/>
        <v>0</v>
      </c>
      <c r="L109" s="602">
        <f t="shared" si="8"/>
        <v>0</v>
      </c>
      <c r="M109" s="602">
        <f t="shared" si="8"/>
        <v>0</v>
      </c>
      <c r="N109" s="602">
        <f t="shared" si="8"/>
        <v>0</v>
      </c>
      <c r="P109" s="562" t="s">
        <v>19</v>
      </c>
      <c r="Q109" s="598"/>
      <c r="R109" s="598"/>
      <c r="S109" s="598">
        <v>1308.9233963726217</v>
      </c>
      <c r="T109" s="632">
        <f t="shared" si="11"/>
        <v>1335.1018643000741</v>
      </c>
      <c r="U109" s="632">
        <f t="shared" si="11"/>
        <v>1361.8039015860757</v>
      </c>
      <c r="V109" s="632">
        <f t="shared" si="11"/>
        <v>1389.0399796177971</v>
      </c>
      <c r="W109" s="632">
        <f t="shared" si="11"/>
        <v>1416.8207792101532</v>
      </c>
      <c r="X109" s="632">
        <f t="shared" si="11"/>
        <v>1445.1571947943562</v>
      </c>
      <c r="Y109" s="632">
        <f t="shared" si="11"/>
        <v>1474.0603386902433</v>
      </c>
      <c r="Z109" s="632">
        <f t="shared" si="11"/>
        <v>1503.5415454640481</v>
      </c>
      <c r="AA109" s="632">
        <f t="shared" si="11"/>
        <v>1533.6123763733292</v>
      </c>
      <c r="AB109" s="633">
        <f t="shared" si="11"/>
        <v>1564.2846239007959</v>
      </c>
    </row>
    <row r="110" spans="2:28" ht="16.5" thickBot="1" x14ac:dyDescent="0.3">
      <c r="B110" s="562" t="s">
        <v>20</v>
      </c>
      <c r="C110" s="9"/>
      <c r="D110" s="9"/>
      <c r="E110" s="602">
        <f t="shared" si="10"/>
        <v>0</v>
      </c>
      <c r="F110" s="602">
        <f t="shared" si="8"/>
        <v>0</v>
      </c>
      <c r="G110" s="602">
        <f t="shared" si="8"/>
        <v>0</v>
      </c>
      <c r="H110" s="602">
        <f t="shared" si="8"/>
        <v>0</v>
      </c>
      <c r="I110" s="602">
        <f t="shared" si="8"/>
        <v>0</v>
      </c>
      <c r="J110" s="602">
        <f t="shared" si="8"/>
        <v>0</v>
      </c>
      <c r="K110" s="602">
        <f t="shared" si="8"/>
        <v>0</v>
      </c>
      <c r="L110" s="602">
        <f t="shared" si="8"/>
        <v>0</v>
      </c>
      <c r="M110" s="602">
        <f t="shared" si="8"/>
        <v>0</v>
      </c>
      <c r="N110" s="602">
        <f t="shared" si="8"/>
        <v>0</v>
      </c>
      <c r="P110" s="562" t="s">
        <v>20</v>
      </c>
      <c r="Q110" s="598"/>
      <c r="R110" s="598"/>
      <c r="S110" s="598">
        <v>2119.8573900659921</v>
      </c>
      <c r="T110" s="632">
        <f t="shared" si="11"/>
        <v>2162.2545378673121</v>
      </c>
      <c r="U110" s="632">
        <f t="shared" si="11"/>
        <v>2205.4996286246583</v>
      </c>
      <c r="V110" s="632">
        <f t="shared" si="11"/>
        <v>2249.6096211971517</v>
      </c>
      <c r="W110" s="632">
        <f t="shared" si="11"/>
        <v>2294.6018136210946</v>
      </c>
      <c r="X110" s="632">
        <f t="shared" si="11"/>
        <v>2340.4938498935167</v>
      </c>
      <c r="Y110" s="632">
        <f t="shared" si="11"/>
        <v>2387.3037268913872</v>
      </c>
      <c r="Z110" s="632">
        <f t="shared" si="11"/>
        <v>2435.0498014292152</v>
      </c>
      <c r="AA110" s="632">
        <f t="shared" si="11"/>
        <v>2483.7507974577998</v>
      </c>
      <c r="AB110" s="633">
        <f t="shared" si="11"/>
        <v>2533.425813406956</v>
      </c>
    </row>
    <row r="111" spans="2:28" ht="16.5" thickBot="1" x14ac:dyDescent="0.3">
      <c r="B111" s="562" t="s">
        <v>21</v>
      </c>
      <c r="C111" s="9"/>
      <c r="D111" s="9"/>
      <c r="E111" s="602">
        <f t="shared" si="10"/>
        <v>0</v>
      </c>
      <c r="F111" s="602">
        <f t="shared" si="8"/>
        <v>0</v>
      </c>
      <c r="G111" s="602">
        <f t="shared" si="8"/>
        <v>0</v>
      </c>
      <c r="H111" s="602">
        <f t="shared" si="8"/>
        <v>0</v>
      </c>
      <c r="I111" s="602">
        <f t="shared" si="8"/>
        <v>0</v>
      </c>
      <c r="J111" s="602">
        <f t="shared" si="8"/>
        <v>3186.6965007013528</v>
      </c>
      <c r="K111" s="602">
        <f t="shared" si="8"/>
        <v>0</v>
      </c>
      <c r="L111" s="602">
        <f t="shared" si="8"/>
        <v>0</v>
      </c>
      <c r="M111" s="602">
        <f t="shared" si="8"/>
        <v>0</v>
      </c>
      <c r="N111" s="602">
        <f t="shared" si="8"/>
        <v>0</v>
      </c>
      <c r="P111" s="562" t="s">
        <v>21</v>
      </c>
      <c r="Q111" s="598"/>
      <c r="R111" s="598"/>
      <c r="S111" s="598">
        <v>2176.6733606952898</v>
      </c>
      <c r="T111" s="632">
        <f t="shared" si="11"/>
        <v>2220.2068279091955</v>
      </c>
      <c r="U111" s="632">
        <f t="shared" si="11"/>
        <v>2264.6109644673793</v>
      </c>
      <c r="V111" s="632">
        <f t="shared" si="11"/>
        <v>2309.9031837567268</v>
      </c>
      <c r="W111" s="632">
        <f t="shared" si="11"/>
        <v>2356.1012474318613</v>
      </c>
      <c r="X111" s="632">
        <f t="shared" si="11"/>
        <v>2403.2232723804987</v>
      </c>
      <c r="Y111" s="632">
        <f t="shared" si="11"/>
        <v>2451.2877378281087</v>
      </c>
      <c r="Z111" s="632">
        <f t="shared" si="11"/>
        <v>2500.3134925846707</v>
      </c>
      <c r="AA111" s="632">
        <f t="shared" si="11"/>
        <v>2550.3197624363643</v>
      </c>
      <c r="AB111" s="633">
        <f t="shared" si="11"/>
        <v>2601.3261576850914</v>
      </c>
    </row>
    <row r="112" spans="2:28" ht="16.5" thickBot="1" x14ac:dyDescent="0.3">
      <c r="B112" s="562" t="s">
        <v>22</v>
      </c>
      <c r="C112" s="9"/>
      <c r="D112" s="9"/>
      <c r="E112" s="602">
        <f t="shared" si="10"/>
        <v>0</v>
      </c>
      <c r="F112" s="602">
        <f t="shared" si="8"/>
        <v>35070.585396765331</v>
      </c>
      <c r="G112" s="602">
        <f t="shared" si="8"/>
        <v>967.97037479120127</v>
      </c>
      <c r="H112" s="602">
        <f t="shared" si="8"/>
        <v>0</v>
      </c>
      <c r="I112" s="602">
        <f t="shared" si="8"/>
        <v>3934.732543548565</v>
      </c>
      <c r="J112" s="602">
        <f t="shared" si="8"/>
        <v>0</v>
      </c>
      <c r="K112" s="602">
        <f t="shared" si="8"/>
        <v>0</v>
      </c>
      <c r="L112" s="602">
        <f t="shared" si="8"/>
        <v>0</v>
      </c>
      <c r="M112" s="602">
        <f t="shared" si="8"/>
        <v>11111.693179657652</v>
      </c>
      <c r="N112" s="602">
        <f t="shared" si="8"/>
        <v>18019.00499122102</v>
      </c>
      <c r="P112" s="562" t="s">
        <v>22</v>
      </c>
      <c r="Q112" s="598"/>
      <c r="R112" s="598"/>
      <c r="S112" s="599">
        <v>2652.7109972703097</v>
      </c>
      <c r="T112" s="632">
        <f t="shared" si="11"/>
        <v>2705.7652172157159</v>
      </c>
      <c r="U112" s="632">
        <f t="shared" si="11"/>
        <v>2759.88052156003</v>
      </c>
      <c r="V112" s="632">
        <f t="shared" si="11"/>
        <v>2815.0781319912307</v>
      </c>
      <c r="W112" s="632">
        <f t="shared" si="11"/>
        <v>2871.3796946310554</v>
      </c>
      <c r="X112" s="632">
        <f t="shared" si="11"/>
        <v>2928.8072885236766</v>
      </c>
      <c r="Y112" s="632">
        <f t="shared" si="11"/>
        <v>2987.38343429415</v>
      </c>
      <c r="Z112" s="632">
        <f t="shared" si="11"/>
        <v>3047.1311029800331</v>
      </c>
      <c r="AA112" s="632">
        <f t="shared" si="11"/>
        <v>3108.0737250396337</v>
      </c>
      <c r="AB112" s="633">
        <f t="shared" si="11"/>
        <v>3170.2351995404265</v>
      </c>
    </row>
    <row r="113" spans="2:28" ht="16.5" thickBot="1" x14ac:dyDescent="0.3">
      <c r="B113" s="593" t="s">
        <v>23</v>
      </c>
      <c r="C113" s="424"/>
      <c r="D113" s="424"/>
      <c r="E113" s="602">
        <f t="shared" si="10"/>
        <v>13775.051401763694</v>
      </c>
      <c r="F113" s="602">
        <f t="shared" si="8"/>
        <v>0</v>
      </c>
      <c r="G113" s="602">
        <f t="shared" si="8"/>
        <v>0</v>
      </c>
      <c r="H113" s="602">
        <f t="shared" si="8"/>
        <v>0</v>
      </c>
      <c r="I113" s="602">
        <f t="shared" si="8"/>
        <v>0</v>
      </c>
      <c r="J113" s="602">
        <f t="shared" si="8"/>
        <v>0</v>
      </c>
      <c r="K113" s="602">
        <f t="shared" si="8"/>
        <v>0</v>
      </c>
      <c r="L113" s="602">
        <f t="shared" si="8"/>
        <v>0</v>
      </c>
      <c r="M113" s="602">
        <f t="shared" si="8"/>
        <v>0</v>
      </c>
      <c r="N113" s="602">
        <f t="shared" si="8"/>
        <v>0</v>
      </c>
      <c r="P113" s="593" t="s">
        <v>23</v>
      </c>
      <c r="Q113" s="599"/>
      <c r="R113" s="599"/>
      <c r="S113" s="637">
        <v>664.9038867420843</v>
      </c>
      <c r="T113" s="635">
        <f t="shared" si="11"/>
        <v>678.20196447692604</v>
      </c>
      <c r="U113" s="635">
        <f t="shared" si="11"/>
        <v>691.76600376646456</v>
      </c>
      <c r="V113" s="635">
        <f t="shared" si="11"/>
        <v>705.60132384179383</v>
      </c>
      <c r="W113" s="635">
        <f t="shared" si="11"/>
        <v>719.71335031862975</v>
      </c>
      <c r="X113" s="635">
        <f t="shared" si="11"/>
        <v>734.10761732500237</v>
      </c>
      <c r="Y113" s="635">
        <f t="shared" si="11"/>
        <v>748.78976967150243</v>
      </c>
      <c r="Z113" s="635">
        <f t="shared" si="11"/>
        <v>763.7655650649325</v>
      </c>
      <c r="AA113" s="635">
        <f t="shared" si="11"/>
        <v>779.04087636623115</v>
      </c>
      <c r="AB113" s="636">
        <f t="shared" si="11"/>
        <v>794.62169389355574</v>
      </c>
    </row>
    <row r="114" spans="2:28" ht="19.5" thickBot="1" x14ac:dyDescent="0.35">
      <c r="B114" s="594" t="s">
        <v>24</v>
      </c>
      <c r="C114" s="421"/>
      <c r="D114" s="421"/>
      <c r="E114" s="619">
        <f>SUM(E98:E113)</f>
        <v>195961.17092484632</v>
      </c>
      <c r="F114" s="619">
        <f t="shared" ref="F114:N114" si="12">SUM(F98:F113)</f>
        <v>258236.97991240845</v>
      </c>
      <c r="G114" s="619">
        <f t="shared" si="12"/>
        <v>160863.76880810742</v>
      </c>
      <c r="H114" s="619">
        <f t="shared" si="12"/>
        <v>132758.52011321517</v>
      </c>
      <c r="I114" s="619">
        <f t="shared" si="12"/>
        <v>167682.2042439144</v>
      </c>
      <c r="J114" s="619">
        <f t="shared" si="12"/>
        <v>136960.27588495065</v>
      </c>
      <c r="K114" s="619">
        <f t="shared" si="12"/>
        <v>158646.70550232142</v>
      </c>
      <c r="L114" s="619">
        <f t="shared" si="12"/>
        <v>174237.91166499848</v>
      </c>
      <c r="M114" s="619">
        <f t="shared" si="12"/>
        <v>127634.18364347529</v>
      </c>
      <c r="N114" s="619">
        <f t="shared" si="12"/>
        <v>126495.56235758275</v>
      </c>
      <c r="P114" s="594" t="s">
        <v>24</v>
      </c>
      <c r="Q114" s="637"/>
      <c r="R114" s="637"/>
      <c r="S114" s="637"/>
      <c r="T114" s="638"/>
      <c r="U114" s="642"/>
      <c r="V114" s="638"/>
      <c r="W114" s="638"/>
      <c r="X114" s="638"/>
      <c r="Y114" s="638"/>
      <c r="Z114" s="638"/>
      <c r="AA114" s="638"/>
      <c r="AB114" s="639"/>
    </row>
    <row r="116" spans="2:28" x14ac:dyDescent="0.2">
      <c r="G116" s="1">
        <v>2014</v>
      </c>
    </row>
    <row r="117" spans="2:28" ht="21" thickBot="1" x14ac:dyDescent="0.35">
      <c r="B117" s="785" t="s">
        <v>448</v>
      </c>
      <c r="C117" s="786"/>
      <c r="D117" s="786"/>
      <c r="E117" s="786"/>
      <c r="F117" s="787" t="s">
        <v>404</v>
      </c>
      <c r="G117" s="1028">
        <f>Kontrollpanel!N58</f>
        <v>152.85</v>
      </c>
      <c r="H117" s="821"/>
      <c r="I117" s="821"/>
      <c r="J117" s="786"/>
    </row>
    <row r="118" spans="2:28" ht="20.25" x14ac:dyDescent="0.3">
      <c r="B118" s="786" t="s">
        <v>506</v>
      </c>
      <c r="C118" s="786">
        <f>Kontrollpanel!$G$58</f>
        <v>0.1</v>
      </c>
      <c r="D118" s="786"/>
      <c r="E118" s="786"/>
      <c r="F118" s="787" t="s">
        <v>409</v>
      </c>
      <c r="G118" s="1028">
        <f>Kontrollpanel!N59</f>
        <v>34.645999999999994</v>
      </c>
      <c r="H118" s="821"/>
      <c r="I118" s="821"/>
      <c r="J118" s="786" t="s">
        <v>507</v>
      </c>
      <c r="M118" s="1">
        <f>Kontrollpanel!G61</f>
        <v>0.1</v>
      </c>
    </row>
    <row r="119" spans="2:28" ht="20.25" x14ac:dyDescent="0.3">
      <c r="B119" s="788"/>
      <c r="C119" s="789"/>
      <c r="D119" s="789"/>
      <c r="E119" s="789"/>
      <c r="F119" s="789"/>
      <c r="G119" s="789"/>
      <c r="H119" s="789"/>
      <c r="I119" s="789"/>
      <c r="J119" s="789"/>
      <c r="K119" s="746"/>
      <c r="L119" s="746"/>
      <c r="M119" s="746"/>
      <c r="N119" s="747"/>
    </row>
    <row r="120" spans="2:28" ht="20.25" x14ac:dyDescent="0.3">
      <c r="B120" s="790" t="s">
        <v>405</v>
      </c>
      <c r="C120" s="791"/>
      <c r="D120" s="792"/>
      <c r="E120" s="793">
        <v>2014</v>
      </c>
      <c r="F120" s="791" t="s">
        <v>406</v>
      </c>
      <c r="G120" s="791"/>
      <c r="H120" s="791"/>
      <c r="I120" s="791"/>
      <c r="J120" s="791"/>
      <c r="K120" s="743"/>
      <c r="L120" s="743"/>
      <c r="M120" s="743"/>
      <c r="N120" s="744"/>
    </row>
    <row r="121" spans="2:28" ht="20.25" x14ac:dyDescent="0.3">
      <c r="B121" s="794" t="s">
        <v>8</v>
      </c>
      <c r="C121" s="795"/>
      <c r="D121" s="796"/>
      <c r="E121" s="797">
        <f>$G$117*Kontrollpanel!$G$58</f>
        <v>15.285</v>
      </c>
      <c r="F121" s="798">
        <f>E121*D22</f>
        <v>7275.66</v>
      </c>
      <c r="G121" s="795"/>
      <c r="H121" s="795"/>
      <c r="I121" s="795"/>
      <c r="J121" s="795"/>
      <c r="K121" s="9"/>
      <c r="L121" s="9"/>
      <c r="M121" s="9"/>
      <c r="N121" s="11"/>
    </row>
    <row r="122" spans="2:28" ht="20.25" x14ac:dyDescent="0.3">
      <c r="B122" s="794" t="s">
        <v>9</v>
      </c>
      <c r="C122" s="795"/>
      <c r="D122" s="796"/>
      <c r="E122" s="797">
        <f>$G$117*Kontrollpanel!$G$58</f>
        <v>15.285</v>
      </c>
      <c r="F122" s="798">
        <f t="shared" ref="F122:F136" si="13">E122*D23</f>
        <v>14673.6</v>
      </c>
      <c r="G122" s="795"/>
      <c r="H122" s="795"/>
      <c r="I122" s="795"/>
      <c r="J122" s="795"/>
      <c r="K122" s="9"/>
      <c r="L122" s="9"/>
      <c r="M122" s="9"/>
      <c r="N122" s="11"/>
    </row>
    <row r="123" spans="2:28" ht="20.25" x14ac:dyDescent="0.3">
      <c r="B123" s="794" t="s">
        <v>10</v>
      </c>
      <c r="C123" s="795"/>
      <c r="D123" s="796"/>
      <c r="E123" s="797">
        <f>$G$117*Kontrollpanel!$G$58</f>
        <v>15.285</v>
      </c>
      <c r="F123" s="798">
        <f t="shared" si="13"/>
        <v>38686.334999999999</v>
      </c>
      <c r="G123" s="795"/>
      <c r="H123" s="795"/>
      <c r="I123" s="795"/>
      <c r="J123" s="795"/>
      <c r="K123" s="9"/>
      <c r="L123" s="9"/>
      <c r="M123" s="9"/>
      <c r="N123" s="11"/>
    </row>
    <row r="124" spans="2:28" ht="20.25" x14ac:dyDescent="0.3">
      <c r="B124" s="794" t="s">
        <v>11</v>
      </c>
      <c r="C124" s="795"/>
      <c r="D124" s="796"/>
      <c r="E124" s="797">
        <f>$G$117*Kontrollpanel!$G$58</f>
        <v>15.285</v>
      </c>
      <c r="F124" s="798">
        <f t="shared" si="13"/>
        <v>8834.73</v>
      </c>
      <c r="G124" s="795"/>
      <c r="H124" s="795"/>
      <c r="I124" s="795"/>
      <c r="J124" s="795"/>
      <c r="K124" s="9"/>
      <c r="L124" s="9"/>
      <c r="M124" s="9"/>
      <c r="N124" s="11"/>
    </row>
    <row r="125" spans="2:28" ht="20.25" x14ac:dyDescent="0.3">
      <c r="B125" s="794" t="s">
        <v>12</v>
      </c>
      <c r="C125" s="795"/>
      <c r="D125" s="796"/>
      <c r="E125" s="797">
        <f>$G$117*Kontrollpanel!$G$58</f>
        <v>15.285</v>
      </c>
      <c r="F125" s="798">
        <f t="shared" si="13"/>
        <v>7566.0749999999998</v>
      </c>
      <c r="G125" s="795"/>
      <c r="H125" s="795"/>
      <c r="I125" s="795"/>
      <c r="J125" s="795"/>
      <c r="K125" s="9"/>
      <c r="L125" s="9"/>
      <c r="M125" s="9"/>
      <c r="N125" s="11"/>
    </row>
    <row r="126" spans="2:28" ht="20.25" x14ac:dyDescent="0.3">
      <c r="B126" s="794" t="s">
        <v>13</v>
      </c>
      <c r="C126" s="795"/>
      <c r="D126" s="796"/>
      <c r="E126" s="797">
        <f>$G$117*Kontrollpanel!$G$58</f>
        <v>15.285</v>
      </c>
      <c r="F126" s="798">
        <f t="shared" si="13"/>
        <v>23263.77</v>
      </c>
      <c r="G126" s="795"/>
      <c r="H126" s="795"/>
      <c r="I126" s="795"/>
      <c r="J126" s="795"/>
      <c r="K126" s="9"/>
      <c r="L126" s="9"/>
      <c r="M126" s="9"/>
      <c r="N126" s="11"/>
    </row>
    <row r="127" spans="2:28" ht="20.25" x14ac:dyDescent="0.3">
      <c r="B127" s="794" t="s">
        <v>14</v>
      </c>
      <c r="C127" s="795"/>
      <c r="D127" s="796"/>
      <c r="E127" s="797">
        <f>$G$117*Kontrollpanel!$G$58</f>
        <v>15.285</v>
      </c>
      <c r="F127" s="798">
        <f t="shared" si="13"/>
        <v>66566.175000000003</v>
      </c>
      <c r="G127" s="795"/>
      <c r="H127" s="795"/>
      <c r="I127" s="795"/>
      <c r="J127" s="795"/>
      <c r="K127" s="9"/>
      <c r="L127" s="9"/>
      <c r="M127" s="9"/>
      <c r="N127" s="11"/>
    </row>
    <row r="128" spans="2:28" ht="20.25" x14ac:dyDescent="0.3">
      <c r="B128" s="794" t="s">
        <v>15</v>
      </c>
      <c r="C128" s="795"/>
      <c r="D128" s="796"/>
      <c r="E128" s="797">
        <f>$G$117*Kontrollpanel!$G$58</f>
        <v>15.285</v>
      </c>
      <c r="F128" s="798">
        <f t="shared" si="13"/>
        <v>5166.33</v>
      </c>
      <c r="G128" s="795"/>
      <c r="H128" s="795"/>
      <c r="I128" s="795"/>
      <c r="J128" s="795"/>
      <c r="K128" s="9"/>
      <c r="L128" s="9"/>
      <c r="M128" s="9"/>
      <c r="N128" s="11"/>
    </row>
    <row r="129" spans="1:14" ht="20.25" x14ac:dyDescent="0.3">
      <c r="B129" s="794" t="s">
        <v>16</v>
      </c>
      <c r="C129" s="795"/>
      <c r="D129" s="796"/>
      <c r="E129" s="797">
        <f>$G$117*Kontrollpanel!$G$58</f>
        <v>15.285</v>
      </c>
      <c r="F129" s="798">
        <f t="shared" si="13"/>
        <v>3744.8249999999998</v>
      </c>
      <c r="G129" s="795"/>
      <c r="H129" s="795"/>
      <c r="I129" s="795"/>
      <c r="J129" s="795"/>
      <c r="K129" s="9"/>
      <c r="L129" s="9"/>
      <c r="M129" s="9"/>
      <c r="N129" s="11"/>
    </row>
    <row r="130" spans="1:14" ht="20.25" x14ac:dyDescent="0.3">
      <c r="B130" s="794" t="s">
        <v>17</v>
      </c>
      <c r="C130" s="795"/>
      <c r="D130" s="796"/>
      <c r="E130" s="797">
        <f>$G$117*Kontrollpanel!$G$58</f>
        <v>15.285</v>
      </c>
      <c r="F130" s="798">
        <f t="shared" si="13"/>
        <v>28781.654999999999</v>
      </c>
      <c r="G130" s="795"/>
      <c r="H130" s="795"/>
      <c r="I130" s="795"/>
      <c r="J130" s="795"/>
      <c r="K130" s="9"/>
      <c r="L130" s="9"/>
      <c r="M130" s="9"/>
      <c r="N130" s="11"/>
    </row>
    <row r="131" spans="1:14" ht="20.25" x14ac:dyDescent="0.3">
      <c r="B131" s="794" t="s">
        <v>18</v>
      </c>
      <c r="C131" s="795"/>
      <c r="D131" s="796"/>
      <c r="E131" s="797">
        <f>$G$117*Kontrollpanel!$G$58</f>
        <v>15.285</v>
      </c>
      <c r="F131" s="798">
        <f t="shared" si="13"/>
        <v>5991.72</v>
      </c>
      <c r="G131" s="795"/>
      <c r="H131" s="795"/>
      <c r="I131" s="795"/>
      <c r="J131" s="795"/>
      <c r="K131" s="9"/>
      <c r="L131" s="9"/>
      <c r="M131" s="9"/>
      <c r="N131" s="11"/>
    </row>
    <row r="132" spans="1:14" ht="20.25" x14ac:dyDescent="0.3">
      <c r="B132" s="794" t="s">
        <v>19</v>
      </c>
      <c r="C132" s="795"/>
      <c r="D132" s="796"/>
      <c r="E132" s="797">
        <f>$G$117*Kontrollpanel!$G$58</f>
        <v>15.285</v>
      </c>
      <c r="F132" s="798">
        <f t="shared" si="13"/>
        <v>27864.555</v>
      </c>
      <c r="G132" s="795"/>
      <c r="H132" s="795"/>
      <c r="I132" s="795"/>
      <c r="J132" s="795"/>
      <c r="K132" s="9"/>
      <c r="L132" s="9"/>
      <c r="M132" s="9"/>
      <c r="N132" s="11"/>
    </row>
    <row r="133" spans="1:14" ht="20.25" x14ac:dyDescent="0.3">
      <c r="B133" s="794" t="s">
        <v>20</v>
      </c>
      <c r="C133" s="795"/>
      <c r="D133" s="796"/>
      <c r="E133" s="797">
        <f>$G$117*Kontrollpanel!$G$58</f>
        <v>15.285</v>
      </c>
      <c r="F133" s="798">
        <f t="shared" si="13"/>
        <v>1543.7850000000001</v>
      </c>
      <c r="G133" s="795"/>
      <c r="H133" s="795"/>
      <c r="I133" s="795"/>
      <c r="J133" s="795"/>
      <c r="K133" s="9"/>
      <c r="L133" s="9"/>
      <c r="M133" s="9"/>
      <c r="N133" s="11"/>
    </row>
    <row r="134" spans="1:14" ht="20.25" x14ac:dyDescent="0.3">
      <c r="B134" s="794" t="s">
        <v>21</v>
      </c>
      <c r="C134" s="795"/>
      <c r="D134" s="796"/>
      <c r="E134" s="797">
        <f>$G$117*Kontrollpanel!$G$58</f>
        <v>15.285</v>
      </c>
      <c r="F134" s="798">
        <f t="shared" si="13"/>
        <v>15819.975</v>
      </c>
      <c r="G134" s="795"/>
      <c r="H134" s="795"/>
      <c r="I134" s="795"/>
      <c r="J134" s="795"/>
      <c r="K134" s="9"/>
      <c r="L134" s="9"/>
      <c r="M134" s="9"/>
      <c r="N134" s="11"/>
    </row>
    <row r="135" spans="1:14" ht="20.25" x14ac:dyDescent="0.3">
      <c r="B135" s="794" t="s">
        <v>22</v>
      </c>
      <c r="C135" s="795"/>
      <c r="D135" s="796"/>
      <c r="E135" s="797">
        <f>$G$117*Kontrollpanel!$G$58</f>
        <v>15.285</v>
      </c>
      <c r="F135" s="798">
        <f t="shared" si="13"/>
        <v>6450.27</v>
      </c>
      <c r="G135" s="795"/>
      <c r="H135" s="795"/>
      <c r="I135" s="795"/>
      <c r="J135" s="795"/>
      <c r="K135" s="9"/>
      <c r="L135" s="9"/>
      <c r="M135" s="9"/>
      <c r="N135" s="11"/>
    </row>
    <row r="136" spans="1:14" ht="20.25" x14ac:dyDescent="0.3">
      <c r="B136" s="794" t="s">
        <v>23</v>
      </c>
      <c r="C136" s="795"/>
      <c r="D136" s="796"/>
      <c r="E136" s="797">
        <f>$G$117*Kontrollpanel!$G$58</f>
        <v>15.285</v>
      </c>
      <c r="F136" s="798">
        <f t="shared" si="13"/>
        <v>173423.61000000002</v>
      </c>
      <c r="G136" s="798">
        <f>G118*Kontrollpanel!G61*D38</f>
        <v>98748.02919999999</v>
      </c>
      <c r="H136" s="795"/>
      <c r="I136" s="795"/>
      <c r="J136" s="795"/>
      <c r="K136" s="9"/>
      <c r="L136" s="9"/>
      <c r="M136" s="9"/>
      <c r="N136" s="11"/>
    </row>
    <row r="137" spans="1:14" ht="20.25" x14ac:dyDescent="0.3">
      <c r="B137" s="799" t="s">
        <v>24</v>
      </c>
      <c r="C137" s="800"/>
      <c r="D137" s="801"/>
      <c r="E137" s="802"/>
      <c r="F137" s="803">
        <f>SUM(F121:F136)</f>
        <v>435653.07000000007</v>
      </c>
      <c r="G137" s="804">
        <f>SUM(F137+G136)</f>
        <v>534401.09920000006</v>
      </c>
      <c r="H137" s="805"/>
      <c r="I137" s="805"/>
      <c r="J137" s="805"/>
      <c r="K137" s="292"/>
      <c r="L137" s="292"/>
      <c r="M137" s="292"/>
      <c r="N137" s="745"/>
    </row>
    <row r="140" spans="1:14" x14ac:dyDescent="0.2">
      <c r="A140" s="9"/>
      <c r="B140" s="9"/>
      <c r="C140" s="9"/>
      <c r="D140" s="9"/>
      <c r="E140" s="9"/>
      <c r="F140" s="9"/>
      <c r="G140" s="9"/>
      <c r="H140" s="9"/>
      <c r="I140" s="9"/>
    </row>
    <row r="141" spans="1:14" ht="20.25" x14ac:dyDescent="0.3">
      <c r="A141" s="9"/>
      <c r="B141" s="795"/>
      <c r="C141" s="795"/>
      <c r="D141" s="795"/>
      <c r="E141" s="795"/>
      <c r="F141" s="795"/>
      <c r="G141" s="9"/>
      <c r="H141" s="9"/>
      <c r="I141" s="9"/>
    </row>
    <row r="142" spans="1:14" ht="20.25" x14ac:dyDescent="0.3">
      <c r="A142" s="9"/>
      <c r="B142" s="790" t="s">
        <v>405</v>
      </c>
      <c r="C142" s="1282"/>
      <c r="D142" s="795"/>
      <c r="E142" s="795"/>
      <c r="F142" s="795"/>
      <c r="G142" s="9"/>
      <c r="H142" s="9"/>
      <c r="I142" s="9"/>
    </row>
    <row r="143" spans="1:14" ht="20.25" x14ac:dyDescent="0.3">
      <c r="A143" s="9"/>
      <c r="B143" s="794" t="s">
        <v>8</v>
      </c>
      <c r="C143" s="1282">
        <v>46020.858796296299</v>
      </c>
      <c r="D143" s="795"/>
      <c r="E143" s="795"/>
      <c r="F143" s="795"/>
      <c r="G143" s="9"/>
      <c r="H143" s="9"/>
      <c r="I143" s="9"/>
    </row>
    <row r="144" spans="1:14" ht="20.25" x14ac:dyDescent="0.3">
      <c r="A144" s="9"/>
      <c r="B144" s="794" t="s">
        <v>9</v>
      </c>
      <c r="C144" s="1282">
        <v>73726.809730708483</v>
      </c>
      <c r="D144" s="795"/>
      <c r="E144" s="795"/>
      <c r="F144" s="795"/>
      <c r="G144" s="9"/>
      <c r="H144" s="9"/>
      <c r="I144" s="9"/>
    </row>
    <row r="145" spans="1:9" ht="20.25" x14ac:dyDescent="0.3">
      <c r="A145" s="9"/>
      <c r="B145" s="794" t="s">
        <v>10</v>
      </c>
      <c r="C145" s="1282">
        <v>69042.326166328567</v>
      </c>
      <c r="D145" s="795"/>
      <c r="E145" s="795"/>
      <c r="F145" s="795"/>
      <c r="G145" s="9"/>
      <c r="H145" s="9"/>
      <c r="I145" s="9"/>
    </row>
    <row r="146" spans="1:9" ht="20.25" x14ac:dyDescent="0.3">
      <c r="A146" s="9"/>
      <c r="B146" s="794" t="s">
        <v>11</v>
      </c>
      <c r="C146" s="1282">
        <v>55800.706698323193</v>
      </c>
      <c r="D146" s="795"/>
      <c r="E146" s="795"/>
      <c r="F146" s="795"/>
      <c r="G146" s="9"/>
      <c r="H146" s="9"/>
      <c r="I146" s="9"/>
    </row>
    <row r="147" spans="1:9" ht="20.25" x14ac:dyDescent="0.3">
      <c r="A147" s="9"/>
      <c r="B147" s="794" t="s">
        <v>12</v>
      </c>
      <c r="C147" s="1282">
        <v>45130.046241403848</v>
      </c>
      <c r="D147" s="795"/>
      <c r="E147" s="795"/>
      <c r="F147" s="795"/>
      <c r="G147" s="9"/>
      <c r="H147" s="9"/>
      <c r="I147" s="9"/>
    </row>
    <row r="148" spans="1:9" ht="20.25" x14ac:dyDescent="0.3">
      <c r="A148" s="9"/>
      <c r="B148" s="794" t="s">
        <v>13</v>
      </c>
      <c r="C148" s="1282">
        <v>104210.50932908728</v>
      </c>
      <c r="D148" s="795"/>
      <c r="E148" s="795"/>
      <c r="F148" s="795"/>
      <c r="G148" s="9"/>
      <c r="H148" s="9"/>
      <c r="I148" s="9"/>
    </row>
    <row r="149" spans="1:9" ht="20.25" x14ac:dyDescent="0.3">
      <c r="A149" s="9"/>
      <c r="B149" s="794" t="s">
        <v>14</v>
      </c>
      <c r="C149" s="1282">
        <v>51703.747067985671</v>
      </c>
      <c r="D149" s="795"/>
      <c r="E149" s="795"/>
      <c r="F149" s="795"/>
      <c r="G149" s="9"/>
      <c r="H149" s="9"/>
      <c r="I149" s="9"/>
    </row>
    <row r="150" spans="1:9" ht="20.25" x14ac:dyDescent="0.3">
      <c r="A150" s="9"/>
      <c r="B150" s="794" t="s">
        <v>15</v>
      </c>
      <c r="C150" s="1282">
        <v>33506.376123312511</v>
      </c>
      <c r="D150" s="795"/>
      <c r="E150" s="795"/>
      <c r="F150" s="795"/>
      <c r="G150" s="9"/>
      <c r="H150" s="9"/>
      <c r="I150" s="9"/>
    </row>
    <row r="151" spans="1:9" ht="20.25" x14ac:dyDescent="0.3">
      <c r="A151" s="9"/>
      <c r="B151" s="794" t="s">
        <v>16</v>
      </c>
      <c r="C151" s="1282">
        <v>24805.836294256507</v>
      </c>
      <c r="D151" s="795"/>
      <c r="E151" s="795"/>
      <c r="F151" s="795"/>
      <c r="G151" s="9"/>
      <c r="H151" s="9"/>
      <c r="I151" s="9"/>
    </row>
    <row r="152" spans="1:9" ht="20.25" x14ac:dyDescent="0.3">
      <c r="A152" s="9"/>
      <c r="B152" s="794" t="s">
        <v>17</v>
      </c>
      <c r="C152" s="1282">
        <v>81239.872253272071</v>
      </c>
      <c r="D152" s="795"/>
      <c r="E152" s="795"/>
      <c r="F152" s="795"/>
      <c r="G152" s="9"/>
      <c r="H152" s="9"/>
      <c r="I152" s="9"/>
    </row>
    <row r="153" spans="1:9" ht="20.25" x14ac:dyDescent="0.3">
      <c r="A153" s="9"/>
      <c r="B153" s="794" t="s">
        <v>18</v>
      </c>
      <c r="C153" s="1282">
        <v>27510.53594594594</v>
      </c>
      <c r="D153" s="795"/>
      <c r="E153" s="795"/>
      <c r="F153" s="795"/>
      <c r="G153" s="9"/>
      <c r="H153" s="9"/>
      <c r="I153" s="9"/>
    </row>
    <row r="154" spans="1:9" ht="20.25" x14ac:dyDescent="0.3">
      <c r="A154" s="9"/>
      <c r="B154" s="794" t="s">
        <v>19</v>
      </c>
      <c r="C154" s="1282">
        <v>116496.41536861502</v>
      </c>
      <c r="D154" s="795"/>
      <c r="E154" s="795"/>
      <c r="F154" s="795"/>
      <c r="G154" s="9"/>
      <c r="H154" s="9"/>
      <c r="I154" s="9"/>
    </row>
    <row r="155" spans="1:9" ht="20.25" x14ac:dyDescent="0.3">
      <c r="A155" s="9"/>
      <c r="B155" s="794" t="s">
        <v>20</v>
      </c>
      <c r="C155" s="1282">
        <v>10048.777460770329</v>
      </c>
      <c r="D155" s="795"/>
      <c r="E155" s="795"/>
      <c r="F155" s="795"/>
      <c r="G155" s="9"/>
      <c r="H155" s="9"/>
      <c r="I155" s="9"/>
    </row>
    <row r="156" spans="1:9" ht="20.25" x14ac:dyDescent="0.3">
      <c r="A156" s="9"/>
      <c r="B156" s="794" t="s">
        <v>21</v>
      </c>
      <c r="C156" s="1282">
        <v>76887.405349611538</v>
      </c>
      <c r="D156" s="795"/>
      <c r="E156" s="795"/>
      <c r="F156" s="795"/>
      <c r="G156" s="9"/>
      <c r="H156" s="9"/>
      <c r="I156" s="9"/>
    </row>
    <row r="157" spans="1:9" ht="20.25" x14ac:dyDescent="0.3">
      <c r="A157" s="9"/>
      <c r="B157" s="794" t="s">
        <v>22</v>
      </c>
      <c r="C157" s="1282">
        <v>42206.476593168612</v>
      </c>
      <c r="D157" s="795"/>
      <c r="E157" s="795"/>
      <c r="F157" s="795"/>
      <c r="G157" s="9"/>
      <c r="H157" s="9"/>
      <c r="I157" s="9"/>
    </row>
    <row r="158" spans="1:9" ht="20.25" x14ac:dyDescent="0.3">
      <c r="A158" s="9"/>
      <c r="B158" s="794" t="s">
        <v>23</v>
      </c>
      <c r="C158" s="1282">
        <v>0</v>
      </c>
      <c r="D158" s="795"/>
      <c r="E158" s="795"/>
      <c r="F158" s="795"/>
      <c r="G158" s="9"/>
      <c r="H158" s="9"/>
      <c r="I158" s="9"/>
    </row>
    <row r="159" spans="1:9" ht="20.25" x14ac:dyDescent="0.3">
      <c r="A159" s="9"/>
      <c r="B159" s="799" t="s">
        <v>24</v>
      </c>
      <c r="C159" s="798"/>
      <c r="D159" s="795"/>
      <c r="E159" s="795"/>
      <c r="F159" s="795"/>
      <c r="G159" s="9"/>
      <c r="H159" s="9"/>
      <c r="I159" s="9"/>
    </row>
    <row r="160" spans="1:9" ht="20.25" x14ac:dyDescent="0.3">
      <c r="A160" s="9"/>
      <c r="B160" s="795"/>
      <c r="C160" s="798"/>
      <c r="D160" s="798"/>
      <c r="E160" s="795"/>
      <c r="F160" s="795"/>
      <c r="G160" s="9"/>
      <c r="H160" s="9"/>
      <c r="I160" s="9"/>
    </row>
    <row r="161" spans="1:9" ht="20.25" x14ac:dyDescent="0.3">
      <c r="A161" s="9"/>
      <c r="B161" s="807"/>
      <c r="C161" s="808"/>
      <c r="D161" s="808"/>
      <c r="E161" s="795"/>
      <c r="F161" s="795"/>
      <c r="G161" s="9"/>
      <c r="H161" s="9"/>
      <c r="I161" s="9"/>
    </row>
    <row r="162" spans="1:9" x14ac:dyDescent="0.2">
      <c r="A162" s="9"/>
      <c r="B162" s="9"/>
      <c r="C162" s="9"/>
      <c r="D162" s="9"/>
      <c r="E162" s="9"/>
      <c r="F162" s="9"/>
      <c r="G162" s="9"/>
      <c r="H162" s="9"/>
      <c r="I162" s="9"/>
    </row>
    <row r="163" spans="1:9" x14ac:dyDescent="0.2">
      <c r="A163" s="9"/>
      <c r="B163" s="9"/>
      <c r="C163" s="9"/>
      <c r="D163" s="9"/>
      <c r="E163" s="9"/>
      <c r="F163" s="9"/>
      <c r="G163" s="9"/>
      <c r="H163" s="9"/>
      <c r="I163" s="9"/>
    </row>
    <row r="164" spans="1:9" x14ac:dyDescent="0.2">
      <c r="A164" s="9"/>
      <c r="B164" s="9"/>
      <c r="C164" s="9"/>
      <c r="D164" s="9"/>
      <c r="E164" s="9"/>
      <c r="F164" s="9"/>
      <c r="G164" s="9"/>
      <c r="H164" s="9"/>
      <c r="I164" s="9"/>
    </row>
    <row r="165" spans="1:9" x14ac:dyDescent="0.2">
      <c r="A165" s="9"/>
      <c r="B165" s="9"/>
      <c r="C165" s="9"/>
      <c r="D165" s="9"/>
      <c r="E165" s="9"/>
      <c r="F165" s="9"/>
      <c r="G165" s="9"/>
      <c r="H165" s="9"/>
      <c r="I165" s="9"/>
    </row>
    <row r="166" spans="1:9" x14ac:dyDescent="0.2">
      <c r="A166" s="9"/>
      <c r="B166" s="9"/>
      <c r="C166" s="9"/>
      <c r="D166" s="9"/>
      <c r="E166" s="9"/>
      <c r="F166" s="9"/>
      <c r="G166" s="9"/>
      <c r="H166" s="9"/>
      <c r="I166" s="9"/>
    </row>
    <row r="167" spans="1:9" x14ac:dyDescent="0.2">
      <c r="A167" s="9"/>
      <c r="B167" s="9"/>
      <c r="C167" s="9"/>
      <c r="D167" s="9"/>
      <c r="E167" s="9"/>
      <c r="F167" s="9"/>
      <c r="G167" s="9"/>
      <c r="H167" s="9"/>
      <c r="I167" s="9"/>
    </row>
    <row r="168" spans="1:9" x14ac:dyDescent="0.2">
      <c r="A168" s="9"/>
      <c r="B168" s="9"/>
      <c r="C168" s="9"/>
      <c r="D168" s="9"/>
      <c r="E168" s="9"/>
      <c r="F168" s="9"/>
      <c r="G168" s="9"/>
      <c r="H168" s="9"/>
      <c r="I168" s="9"/>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F168"/>
  <sheetViews>
    <sheetView topLeftCell="A130" zoomScale="85" zoomScaleNormal="85" workbookViewId="0">
      <selection activeCell="J147" sqref="J147"/>
    </sheetView>
  </sheetViews>
  <sheetFormatPr defaultColWidth="8.88671875" defaultRowHeight="15" x14ac:dyDescent="0.2"/>
  <cols>
    <col min="1" max="1" width="4.44140625" style="1" customWidth="1"/>
    <col min="2" max="2" width="15.88671875" style="1" customWidth="1"/>
    <col min="3" max="3" width="15.21875" style="1" customWidth="1"/>
    <col min="4" max="4" width="11.5546875" style="1" customWidth="1"/>
    <col min="5" max="5" width="7.6640625" style="1" customWidth="1"/>
    <col min="6" max="6" width="10.44140625" style="1" bestFit="1" customWidth="1"/>
    <col min="7" max="7" width="12.33203125" style="1" bestFit="1" customWidth="1"/>
    <col min="8" max="16384" width="8.88671875" style="1"/>
  </cols>
  <sheetData>
    <row r="3" spans="2:2" ht="20.25" thickBot="1" x14ac:dyDescent="0.35">
      <c r="B3" s="120" t="s">
        <v>223</v>
      </c>
    </row>
    <row r="4" spans="2:2" ht="15.75" thickTop="1" x14ac:dyDescent="0.2"/>
    <row r="6" spans="2:2" ht="17.25" thickBot="1" x14ac:dyDescent="0.3">
      <c r="B6" s="223" t="s">
        <v>333</v>
      </c>
    </row>
    <row r="7" spans="2:2" ht="15.75" thickTop="1" x14ac:dyDescent="0.2"/>
    <row r="20" spans="2:20" ht="15.75" thickBot="1" x14ac:dyDescent="0.25">
      <c r="C20" s="1" t="s">
        <v>338</v>
      </c>
      <c r="G20" s="1" t="s">
        <v>337</v>
      </c>
    </row>
    <row r="21" spans="2:20" ht="19.5" thickBot="1" x14ac:dyDescent="0.35">
      <c r="B21" s="603" t="s">
        <v>336</v>
      </c>
      <c r="C21" s="604">
        <v>2011</v>
      </c>
      <c r="D21" s="604">
        <v>2012</v>
      </c>
      <c r="E21" s="604">
        <v>2013</v>
      </c>
      <c r="F21" s="604">
        <v>2014</v>
      </c>
      <c r="G21" s="606">
        <v>2015</v>
      </c>
      <c r="H21" s="606">
        <v>2016</v>
      </c>
      <c r="I21" s="606">
        <v>2017</v>
      </c>
      <c r="J21" s="606">
        <v>2018</v>
      </c>
      <c r="K21" s="606">
        <v>2019</v>
      </c>
      <c r="L21" s="606">
        <v>2020</v>
      </c>
      <c r="M21" s="606">
        <v>2021</v>
      </c>
      <c r="N21" s="607">
        <v>2022</v>
      </c>
    </row>
    <row r="22" spans="2:20" ht="15.75" x14ac:dyDescent="0.25">
      <c r="B22" s="592" t="s">
        <v>8</v>
      </c>
      <c r="C22" s="620">
        <v>480</v>
      </c>
      <c r="D22" s="620">
        <v>476</v>
      </c>
      <c r="E22" s="620">
        <v>475</v>
      </c>
      <c r="F22" s="625">
        <v>474</v>
      </c>
      <c r="G22" s="608">
        <v>467</v>
      </c>
      <c r="H22" s="608">
        <v>466</v>
      </c>
      <c r="I22" s="608">
        <v>466</v>
      </c>
      <c r="J22" s="608">
        <v>472</v>
      </c>
      <c r="K22" s="608">
        <v>468</v>
      </c>
      <c r="L22" s="608">
        <v>473</v>
      </c>
      <c r="M22" s="608">
        <v>469</v>
      </c>
      <c r="N22" s="609">
        <v>466</v>
      </c>
      <c r="P22" s="5"/>
      <c r="T22" s="219"/>
    </row>
    <row r="23" spans="2:20" ht="15.75" x14ac:dyDescent="0.25">
      <c r="B23" s="562" t="s">
        <v>9</v>
      </c>
      <c r="C23" s="621">
        <v>978</v>
      </c>
      <c r="D23" s="621">
        <v>960</v>
      </c>
      <c r="E23" s="621">
        <v>947</v>
      </c>
      <c r="F23" s="626">
        <v>932</v>
      </c>
      <c r="G23" s="610">
        <v>928</v>
      </c>
      <c r="H23" s="610">
        <v>933</v>
      </c>
      <c r="I23" s="610">
        <v>936</v>
      </c>
      <c r="J23" s="610">
        <v>941</v>
      </c>
      <c r="K23" s="610">
        <v>945</v>
      </c>
      <c r="L23" s="610">
        <v>947</v>
      </c>
      <c r="M23" s="610">
        <v>959</v>
      </c>
      <c r="N23" s="611">
        <v>962</v>
      </c>
      <c r="T23" s="219"/>
    </row>
    <row r="24" spans="2:20" ht="15.75" x14ac:dyDescent="0.25">
      <c r="B24" s="562" t="s">
        <v>10</v>
      </c>
      <c r="C24" s="621">
        <v>2527</v>
      </c>
      <c r="D24" s="621">
        <v>2531</v>
      </c>
      <c r="E24" s="621">
        <v>2520</v>
      </c>
      <c r="F24" s="626">
        <v>2534</v>
      </c>
      <c r="G24" s="610">
        <v>2540</v>
      </c>
      <c r="H24" s="610">
        <v>2543</v>
      </c>
      <c r="I24" s="610">
        <v>2561</v>
      </c>
      <c r="J24" s="610">
        <v>2571</v>
      </c>
      <c r="K24" s="610">
        <v>2595</v>
      </c>
      <c r="L24" s="610">
        <v>2612</v>
      </c>
      <c r="M24" s="610">
        <v>2636</v>
      </c>
      <c r="N24" s="611">
        <v>2659</v>
      </c>
      <c r="P24" s="22"/>
      <c r="T24" s="219"/>
    </row>
    <row r="25" spans="2:20" ht="15.75" x14ac:dyDescent="0.25">
      <c r="B25" s="562" t="s">
        <v>11</v>
      </c>
      <c r="C25" s="621">
        <v>577</v>
      </c>
      <c r="D25" s="621">
        <v>578</v>
      </c>
      <c r="E25" s="621">
        <v>572</v>
      </c>
      <c r="F25" s="626">
        <v>568</v>
      </c>
      <c r="G25" s="610">
        <v>562</v>
      </c>
      <c r="H25" s="610">
        <v>567</v>
      </c>
      <c r="I25" s="610">
        <v>582</v>
      </c>
      <c r="J25" s="610">
        <v>570</v>
      </c>
      <c r="K25" s="610">
        <v>577</v>
      </c>
      <c r="L25" s="610">
        <v>581</v>
      </c>
      <c r="M25" s="610">
        <v>582</v>
      </c>
      <c r="N25" s="611">
        <v>593</v>
      </c>
      <c r="T25" s="219"/>
    </row>
    <row r="26" spans="2:20" ht="15.75" x14ac:dyDescent="0.25">
      <c r="B26" s="562" t="s">
        <v>12</v>
      </c>
      <c r="C26" s="621">
        <v>492</v>
      </c>
      <c r="D26" s="621">
        <v>495</v>
      </c>
      <c r="E26" s="621">
        <v>500</v>
      </c>
      <c r="F26" s="626">
        <v>494</v>
      </c>
      <c r="G26" s="610">
        <v>497</v>
      </c>
      <c r="H26" s="610">
        <v>500</v>
      </c>
      <c r="I26" s="610">
        <v>511</v>
      </c>
      <c r="J26" s="610">
        <v>510</v>
      </c>
      <c r="K26" s="610">
        <v>520</v>
      </c>
      <c r="L26" s="610">
        <v>525</v>
      </c>
      <c r="M26" s="610">
        <v>532</v>
      </c>
      <c r="N26" s="611">
        <v>534</v>
      </c>
      <c r="T26" s="219"/>
    </row>
    <row r="27" spans="2:20" ht="15.75" x14ac:dyDescent="0.25">
      <c r="B27" s="562" t="s">
        <v>13</v>
      </c>
      <c r="C27" s="621">
        <v>1526</v>
      </c>
      <c r="D27" s="621">
        <v>1522</v>
      </c>
      <c r="E27" s="621">
        <v>1540</v>
      </c>
      <c r="F27" s="626">
        <v>1532</v>
      </c>
      <c r="G27" s="610">
        <v>1533</v>
      </c>
      <c r="H27" s="610">
        <v>1533</v>
      </c>
      <c r="I27" s="610">
        <v>1542</v>
      </c>
      <c r="J27" s="610">
        <v>1561</v>
      </c>
      <c r="K27" s="610">
        <v>1581</v>
      </c>
      <c r="L27" s="610">
        <v>1598</v>
      </c>
      <c r="M27" s="610">
        <v>1602</v>
      </c>
      <c r="N27" s="611">
        <v>1627</v>
      </c>
      <c r="P27" s="22"/>
      <c r="T27" s="219"/>
    </row>
    <row r="28" spans="2:20" ht="15.75" x14ac:dyDescent="0.25">
      <c r="B28" s="562" t="s">
        <v>14</v>
      </c>
      <c r="C28" s="621">
        <v>4249</v>
      </c>
      <c r="D28" s="621">
        <v>4355</v>
      </c>
      <c r="E28" s="621">
        <v>4424</v>
      </c>
      <c r="F28" s="626">
        <v>4560</v>
      </c>
      <c r="G28" s="610">
        <v>4626</v>
      </c>
      <c r="H28" s="610">
        <v>4720</v>
      </c>
      <c r="I28" s="610">
        <v>4803</v>
      </c>
      <c r="J28" s="610">
        <v>4895</v>
      </c>
      <c r="K28" s="610">
        <v>4984</v>
      </c>
      <c r="L28" s="610">
        <v>5079</v>
      </c>
      <c r="M28" s="610">
        <v>5157</v>
      </c>
      <c r="N28" s="611">
        <v>5239</v>
      </c>
      <c r="P28" s="22"/>
      <c r="T28" s="219"/>
    </row>
    <row r="29" spans="2:20" ht="15.75" x14ac:dyDescent="0.25">
      <c r="B29" s="562" t="s">
        <v>15</v>
      </c>
      <c r="C29" s="621">
        <v>361</v>
      </c>
      <c r="D29" s="621">
        <v>338</v>
      </c>
      <c r="E29" s="621">
        <v>330</v>
      </c>
      <c r="F29" s="626">
        <v>328</v>
      </c>
      <c r="G29" s="610">
        <v>320</v>
      </c>
      <c r="H29" s="610">
        <v>318</v>
      </c>
      <c r="I29" s="610">
        <v>321</v>
      </c>
      <c r="J29" s="610">
        <v>325</v>
      </c>
      <c r="K29" s="610">
        <v>325</v>
      </c>
      <c r="L29" s="610">
        <v>321</v>
      </c>
      <c r="M29" s="610">
        <v>321</v>
      </c>
      <c r="N29" s="611">
        <v>317</v>
      </c>
      <c r="T29" s="219"/>
    </row>
    <row r="30" spans="2:20" ht="15.75" x14ac:dyDescent="0.25">
      <c r="B30" s="562" t="s">
        <v>16</v>
      </c>
      <c r="C30" s="621">
        <v>249</v>
      </c>
      <c r="D30" s="621">
        <v>245</v>
      </c>
      <c r="E30" s="621">
        <v>251</v>
      </c>
      <c r="F30" s="626">
        <v>253</v>
      </c>
      <c r="G30" s="610">
        <v>246</v>
      </c>
      <c r="H30" s="610">
        <v>242</v>
      </c>
      <c r="I30" s="610">
        <v>238</v>
      </c>
      <c r="J30" s="610">
        <v>242</v>
      </c>
      <c r="K30" s="610">
        <v>243</v>
      </c>
      <c r="L30" s="610">
        <v>244</v>
      </c>
      <c r="M30" s="610">
        <v>241</v>
      </c>
      <c r="N30" s="611">
        <v>246</v>
      </c>
      <c r="T30" s="219"/>
    </row>
    <row r="31" spans="2:20" ht="15.75" x14ac:dyDescent="0.25">
      <c r="B31" s="562" t="s">
        <v>17</v>
      </c>
      <c r="C31" s="621">
        <v>1860</v>
      </c>
      <c r="D31" s="621">
        <v>1883</v>
      </c>
      <c r="E31" s="621">
        <v>1926</v>
      </c>
      <c r="F31" s="626">
        <v>1943</v>
      </c>
      <c r="G31" s="610">
        <v>1949</v>
      </c>
      <c r="H31" s="610">
        <v>1962</v>
      </c>
      <c r="I31" s="610">
        <v>1969</v>
      </c>
      <c r="J31" s="610">
        <v>1985</v>
      </c>
      <c r="K31" s="610">
        <v>2012</v>
      </c>
      <c r="L31" s="610">
        <v>2018</v>
      </c>
      <c r="M31" s="610">
        <v>2044</v>
      </c>
      <c r="N31" s="611">
        <v>2057</v>
      </c>
      <c r="P31" s="22"/>
      <c r="T31" s="219"/>
    </row>
    <row r="32" spans="2:20" ht="15.75" x14ac:dyDescent="0.25">
      <c r="B32" s="562" t="s">
        <v>18</v>
      </c>
      <c r="C32" s="621">
        <v>399</v>
      </c>
      <c r="D32" s="621">
        <v>392</v>
      </c>
      <c r="E32" s="621">
        <v>413</v>
      </c>
      <c r="F32" s="626">
        <v>418</v>
      </c>
      <c r="G32" s="610">
        <v>417</v>
      </c>
      <c r="H32" s="610">
        <v>420</v>
      </c>
      <c r="I32" s="610">
        <v>420</v>
      </c>
      <c r="J32" s="610">
        <v>427</v>
      </c>
      <c r="K32" s="610">
        <v>438</v>
      </c>
      <c r="L32" s="610">
        <v>436</v>
      </c>
      <c r="M32" s="610">
        <v>441</v>
      </c>
      <c r="N32" s="611">
        <v>445</v>
      </c>
      <c r="T32" s="219"/>
    </row>
    <row r="33" spans="2:32" ht="15.75" x14ac:dyDescent="0.25">
      <c r="B33" s="562" t="s">
        <v>19</v>
      </c>
      <c r="C33" s="621">
        <v>1810</v>
      </c>
      <c r="D33" s="621">
        <v>1823</v>
      </c>
      <c r="E33" s="621">
        <v>1813</v>
      </c>
      <c r="F33" s="626">
        <v>1825</v>
      </c>
      <c r="G33" s="610">
        <v>1829</v>
      </c>
      <c r="H33" s="610">
        <v>1829</v>
      </c>
      <c r="I33" s="610">
        <v>1838</v>
      </c>
      <c r="J33" s="610">
        <v>1852</v>
      </c>
      <c r="K33" s="610">
        <v>1869</v>
      </c>
      <c r="L33" s="610">
        <v>1876</v>
      </c>
      <c r="M33" s="610">
        <v>1900</v>
      </c>
      <c r="N33" s="611">
        <v>1899</v>
      </c>
      <c r="P33" s="22"/>
      <c r="T33" s="219"/>
    </row>
    <row r="34" spans="2:32" ht="15.75" x14ac:dyDescent="0.25">
      <c r="B34" s="562" t="s">
        <v>20</v>
      </c>
      <c r="C34" s="621">
        <v>103</v>
      </c>
      <c r="D34" s="621">
        <v>101</v>
      </c>
      <c r="E34" s="621">
        <v>100</v>
      </c>
      <c r="F34" s="626">
        <v>101</v>
      </c>
      <c r="G34" s="610">
        <v>93</v>
      </c>
      <c r="H34" s="610">
        <v>83</v>
      </c>
      <c r="I34" s="610">
        <v>79</v>
      </c>
      <c r="J34" s="610">
        <v>70</v>
      </c>
      <c r="K34" s="610">
        <v>65</v>
      </c>
      <c r="L34" s="610">
        <v>62</v>
      </c>
      <c r="M34" s="610">
        <v>62</v>
      </c>
      <c r="N34" s="611">
        <v>62</v>
      </c>
      <c r="T34" s="219"/>
    </row>
    <row r="35" spans="2:32" ht="15.75" x14ac:dyDescent="0.25">
      <c r="B35" s="562" t="s">
        <v>21</v>
      </c>
      <c r="C35" s="621">
        <v>1032</v>
      </c>
      <c r="D35" s="621">
        <v>1035</v>
      </c>
      <c r="E35" s="621">
        <v>1029</v>
      </c>
      <c r="F35" s="626">
        <v>1035</v>
      </c>
      <c r="G35" s="610">
        <v>1028</v>
      </c>
      <c r="H35" s="610">
        <v>1024</v>
      </c>
      <c r="I35" s="610">
        <v>1033</v>
      </c>
      <c r="J35" s="610">
        <v>1041</v>
      </c>
      <c r="K35" s="610">
        <v>1039</v>
      </c>
      <c r="L35" s="610">
        <v>1044</v>
      </c>
      <c r="M35" s="610">
        <v>1051</v>
      </c>
      <c r="N35" s="611">
        <v>1056</v>
      </c>
      <c r="P35" s="22"/>
      <c r="T35" s="219"/>
    </row>
    <row r="36" spans="2:32" ht="15.75" x14ac:dyDescent="0.25">
      <c r="B36" s="562" t="s">
        <v>22</v>
      </c>
      <c r="C36" s="621">
        <v>449</v>
      </c>
      <c r="D36" s="621">
        <v>422</v>
      </c>
      <c r="E36" s="621">
        <v>433</v>
      </c>
      <c r="F36" s="626">
        <v>439</v>
      </c>
      <c r="G36" s="610">
        <v>436</v>
      </c>
      <c r="H36" s="610">
        <v>442</v>
      </c>
      <c r="I36" s="610">
        <v>440</v>
      </c>
      <c r="J36" s="610">
        <v>443</v>
      </c>
      <c r="K36" s="610">
        <v>443</v>
      </c>
      <c r="L36" s="610">
        <v>446</v>
      </c>
      <c r="M36" s="610">
        <v>456</v>
      </c>
      <c r="N36" s="611">
        <v>456</v>
      </c>
      <c r="T36" s="219"/>
    </row>
    <row r="37" spans="2:32" ht="16.5" thickBot="1" x14ac:dyDescent="0.3">
      <c r="B37" s="593" t="s">
        <v>23</v>
      </c>
      <c r="C37" s="622">
        <v>11263</v>
      </c>
      <c r="D37" s="622">
        <v>11346</v>
      </c>
      <c r="E37" s="622">
        <v>11393</v>
      </c>
      <c r="F37" s="627">
        <v>11480</v>
      </c>
      <c r="G37" s="612">
        <v>11506</v>
      </c>
      <c r="H37" s="612">
        <v>11546</v>
      </c>
      <c r="I37" s="612">
        <v>11615</v>
      </c>
      <c r="J37" s="612">
        <v>11680</v>
      </c>
      <c r="K37" s="612">
        <v>11756</v>
      </c>
      <c r="L37" s="612">
        <v>11823</v>
      </c>
      <c r="M37" s="612">
        <v>11899</v>
      </c>
      <c r="N37" s="613">
        <v>11974</v>
      </c>
      <c r="P37" s="22"/>
      <c r="T37" s="219"/>
    </row>
    <row r="38" spans="2:32" ht="19.5" thickBot="1" x14ac:dyDescent="0.35">
      <c r="B38" s="594" t="s">
        <v>24</v>
      </c>
      <c r="C38" s="623">
        <v>28355</v>
      </c>
      <c r="D38" s="623">
        <v>28502</v>
      </c>
      <c r="E38" s="623">
        <v>28666</v>
      </c>
      <c r="F38" s="624">
        <v>28916</v>
      </c>
      <c r="G38" s="614">
        <v>28977</v>
      </c>
      <c r="H38" s="614">
        <v>29128</v>
      </c>
      <c r="I38" s="614">
        <v>29354</v>
      </c>
      <c r="J38" s="614">
        <v>29585</v>
      </c>
      <c r="K38" s="614">
        <v>29860</v>
      </c>
      <c r="L38" s="614">
        <v>30085</v>
      </c>
      <c r="M38" s="614">
        <v>30352</v>
      </c>
      <c r="N38" s="615">
        <v>30592</v>
      </c>
      <c r="P38" s="22"/>
    </row>
    <row r="39" spans="2:32" ht="19.5" thickBot="1" x14ac:dyDescent="0.35">
      <c r="B39" s="595"/>
      <c r="F39" s="595"/>
      <c r="G39" s="595"/>
      <c r="H39" s="595"/>
      <c r="I39" s="595"/>
      <c r="J39" s="595"/>
      <c r="K39" s="595"/>
      <c r="L39" s="595"/>
      <c r="M39" s="595"/>
      <c r="N39" s="595"/>
      <c r="P39" s="5"/>
    </row>
    <row r="40" spans="2:32" ht="19.5" thickBot="1" x14ac:dyDescent="0.35">
      <c r="B40" s="603" t="s">
        <v>335</v>
      </c>
      <c r="C40" s="605">
        <v>2011</v>
      </c>
      <c r="D40" s="604">
        <v>2012</v>
      </c>
      <c r="E40" s="605">
        <v>2013</v>
      </c>
      <c r="F40" s="604">
        <v>2014</v>
      </c>
      <c r="G40" s="605">
        <v>2015</v>
      </c>
      <c r="H40" s="603">
        <v>2016</v>
      </c>
      <c r="I40" s="604">
        <v>2017</v>
      </c>
      <c r="J40" s="604">
        <v>2018</v>
      </c>
      <c r="K40" s="604">
        <v>2019</v>
      </c>
      <c r="L40" s="604">
        <v>2020</v>
      </c>
      <c r="M40" s="604">
        <v>2021</v>
      </c>
      <c r="N40" s="605">
        <v>2022</v>
      </c>
      <c r="P40" s="5"/>
    </row>
    <row r="41" spans="2:32" ht="15.75" x14ac:dyDescent="0.25">
      <c r="B41" s="592" t="s">
        <v>8</v>
      </c>
      <c r="C41" s="597"/>
      <c r="D41" s="597"/>
      <c r="E41" s="597">
        <f>AVERAGE(C22:E22)-C22</f>
        <v>-3</v>
      </c>
      <c r="F41" s="597">
        <f t="shared" ref="E41:G56" si="0">AVERAGE(D22:F22)-D22</f>
        <v>-1</v>
      </c>
      <c r="G41" s="628">
        <f t="shared" si="0"/>
        <v>-3</v>
      </c>
      <c r="H41" s="629">
        <f>AVERAGE(F22:H22)-F22</f>
        <v>-5</v>
      </c>
      <c r="I41" s="629">
        <f t="shared" ref="I41:N41" si="1">AVERAGE(G22:I22)-G22</f>
        <v>-0.66666666666668561</v>
      </c>
      <c r="J41" s="629">
        <f t="shared" si="1"/>
        <v>2</v>
      </c>
      <c r="K41" s="629">
        <f t="shared" si="1"/>
        <v>2.6666666666666856</v>
      </c>
      <c r="L41" s="629">
        <f t="shared" si="1"/>
        <v>-1</v>
      </c>
      <c r="M41" s="629">
        <f t="shared" si="1"/>
        <v>2</v>
      </c>
      <c r="N41" s="630">
        <f t="shared" si="1"/>
        <v>-3.6666666666666856</v>
      </c>
      <c r="P41" s="5"/>
    </row>
    <row r="42" spans="2:32" ht="15.75" x14ac:dyDescent="0.25">
      <c r="B42" s="562" t="s">
        <v>9</v>
      </c>
      <c r="C42" s="598"/>
      <c r="D42" s="598"/>
      <c r="E42" s="598">
        <f t="shared" si="0"/>
        <v>-16.333333333333371</v>
      </c>
      <c r="F42" s="598">
        <f t="shared" si="0"/>
        <v>-13.666666666666629</v>
      </c>
      <c r="G42" s="631">
        <f t="shared" si="0"/>
        <v>-11.333333333333371</v>
      </c>
      <c r="H42" s="632">
        <f t="shared" ref="H42:H57" si="2">AVERAGE(F23:H23)-F23</f>
        <v>-1</v>
      </c>
      <c r="I42" s="632">
        <f t="shared" ref="I42:I57" si="3">AVERAGE(G23:I23)-G23</f>
        <v>4.3333333333333712</v>
      </c>
      <c r="J42" s="632">
        <f t="shared" ref="J42:J57" si="4">AVERAGE(H23:J23)-H23</f>
        <v>3.6666666666666288</v>
      </c>
      <c r="K42" s="632">
        <f t="shared" ref="K42:K57" si="5">AVERAGE(I23:K23)-I23</f>
        <v>4.6666666666666288</v>
      </c>
      <c r="L42" s="632">
        <f t="shared" ref="L42:L57" si="6">AVERAGE(J23:L23)-J23</f>
        <v>3.3333333333333712</v>
      </c>
      <c r="M42" s="632">
        <f t="shared" ref="M42:M57" si="7">AVERAGE(K23:M23)-K23</f>
        <v>5.3333333333333712</v>
      </c>
      <c r="N42" s="633">
        <f t="shared" ref="N42:N57" si="8">AVERAGE(L23:N23)-L23</f>
        <v>9</v>
      </c>
      <c r="P42" s="5"/>
    </row>
    <row r="43" spans="2:32" ht="15.75" x14ac:dyDescent="0.25">
      <c r="B43" s="562" t="s">
        <v>10</v>
      </c>
      <c r="C43" s="598"/>
      <c r="D43" s="598"/>
      <c r="E43" s="598">
        <f t="shared" si="0"/>
        <v>-1</v>
      </c>
      <c r="F43" s="598">
        <f t="shared" si="0"/>
        <v>-2.6666666666665151</v>
      </c>
      <c r="G43" s="631">
        <f t="shared" si="0"/>
        <v>11.333333333333485</v>
      </c>
      <c r="H43" s="632">
        <f t="shared" si="2"/>
        <v>5</v>
      </c>
      <c r="I43" s="632">
        <f t="shared" si="3"/>
        <v>8</v>
      </c>
      <c r="J43" s="632">
        <f t="shared" si="4"/>
        <v>15.333333333333485</v>
      </c>
      <c r="K43" s="632">
        <f t="shared" si="5"/>
        <v>14.666666666666515</v>
      </c>
      <c r="L43" s="632">
        <f t="shared" si="6"/>
        <v>21.666666666666515</v>
      </c>
      <c r="M43" s="632">
        <f t="shared" si="7"/>
        <v>19.333333333333485</v>
      </c>
      <c r="N43" s="633">
        <f t="shared" si="8"/>
        <v>23.666666666666515</v>
      </c>
      <c r="P43" s="5"/>
      <c r="R43" s="22"/>
      <c r="U43" s="22"/>
      <c r="V43" s="22"/>
      <c r="Y43" s="22"/>
      <c r="AA43" s="22"/>
      <c r="AC43" s="22"/>
      <c r="AE43" s="22"/>
      <c r="AF43" s="22"/>
    </row>
    <row r="44" spans="2:32" ht="15.75" x14ac:dyDescent="0.25">
      <c r="B44" s="562" t="s">
        <v>11</v>
      </c>
      <c r="C44" s="598"/>
      <c r="D44" s="598"/>
      <c r="E44" s="598">
        <f t="shared" si="0"/>
        <v>-1.3333333333333712</v>
      </c>
      <c r="F44" s="598">
        <f t="shared" si="0"/>
        <v>-5.3333333333333712</v>
      </c>
      <c r="G44" s="631">
        <f t="shared" si="0"/>
        <v>-4.6666666666666288</v>
      </c>
      <c r="H44" s="632">
        <f t="shared" si="2"/>
        <v>-2.3333333333333712</v>
      </c>
      <c r="I44" s="632">
        <f t="shared" si="3"/>
        <v>8.3333333333333712</v>
      </c>
      <c r="J44" s="632">
        <f t="shared" si="4"/>
        <v>6</v>
      </c>
      <c r="K44" s="632">
        <f t="shared" si="5"/>
        <v>-5.6666666666666288</v>
      </c>
      <c r="L44" s="632">
        <f t="shared" si="6"/>
        <v>6</v>
      </c>
      <c r="M44" s="632">
        <f t="shared" si="7"/>
        <v>3</v>
      </c>
      <c r="N44" s="633">
        <f t="shared" si="8"/>
        <v>4.3333333333333712</v>
      </c>
      <c r="P44" s="5"/>
    </row>
    <row r="45" spans="2:32" ht="15.75" x14ac:dyDescent="0.25">
      <c r="B45" s="562" t="s">
        <v>12</v>
      </c>
      <c r="C45" s="598"/>
      <c r="D45" s="598"/>
      <c r="E45" s="598">
        <f t="shared" si="0"/>
        <v>3.6666666666666856</v>
      </c>
      <c r="F45" s="598">
        <f t="shared" si="0"/>
        <v>1.3333333333333144</v>
      </c>
      <c r="G45" s="631">
        <f t="shared" si="0"/>
        <v>-3</v>
      </c>
      <c r="H45" s="632">
        <f t="shared" si="2"/>
        <v>3</v>
      </c>
      <c r="I45" s="632">
        <f t="shared" si="3"/>
        <v>5.6666666666666856</v>
      </c>
      <c r="J45" s="632">
        <f t="shared" si="4"/>
        <v>7</v>
      </c>
      <c r="K45" s="632">
        <f t="shared" si="5"/>
        <v>2.6666666666666288</v>
      </c>
      <c r="L45" s="632">
        <f t="shared" si="6"/>
        <v>8.3333333333333712</v>
      </c>
      <c r="M45" s="632">
        <f t="shared" si="7"/>
        <v>5.6666666666666288</v>
      </c>
      <c r="N45" s="633">
        <f t="shared" si="8"/>
        <v>5.3333333333333712</v>
      </c>
      <c r="P45" s="5"/>
    </row>
    <row r="46" spans="2:32" ht="15.75" x14ac:dyDescent="0.25">
      <c r="B46" s="562" t="s">
        <v>13</v>
      </c>
      <c r="C46" s="598"/>
      <c r="D46" s="598"/>
      <c r="E46" s="598">
        <f t="shared" si="0"/>
        <v>3.3333333333332575</v>
      </c>
      <c r="F46" s="598">
        <f t="shared" si="0"/>
        <v>9.3333333333332575</v>
      </c>
      <c r="G46" s="631">
        <f t="shared" si="0"/>
        <v>-5</v>
      </c>
      <c r="H46" s="632">
        <f t="shared" si="2"/>
        <v>0.66666666666674246</v>
      </c>
      <c r="I46" s="632">
        <f t="shared" si="3"/>
        <v>3</v>
      </c>
      <c r="J46" s="632">
        <f t="shared" si="4"/>
        <v>12.333333333333258</v>
      </c>
      <c r="K46" s="632">
        <f t="shared" si="5"/>
        <v>19.333333333333258</v>
      </c>
      <c r="L46" s="632">
        <f t="shared" si="6"/>
        <v>19</v>
      </c>
      <c r="M46" s="632">
        <f t="shared" si="7"/>
        <v>12.666666666666742</v>
      </c>
      <c r="N46" s="633">
        <f t="shared" si="8"/>
        <v>11</v>
      </c>
      <c r="P46" s="5"/>
    </row>
    <row r="47" spans="2:32" ht="15.75" x14ac:dyDescent="0.25">
      <c r="B47" s="562" t="s">
        <v>14</v>
      </c>
      <c r="C47" s="598"/>
      <c r="D47" s="598"/>
      <c r="E47" s="598">
        <f t="shared" si="0"/>
        <v>93.66666666666697</v>
      </c>
      <c r="F47" s="598">
        <f t="shared" si="0"/>
        <v>91.33333333333303</v>
      </c>
      <c r="G47" s="631">
        <f t="shared" si="0"/>
        <v>112.66666666666697</v>
      </c>
      <c r="H47" s="632">
        <f t="shared" si="2"/>
        <v>75.33333333333303</v>
      </c>
      <c r="I47" s="632">
        <f t="shared" si="3"/>
        <v>90.33333333333303</v>
      </c>
      <c r="J47" s="632">
        <f t="shared" si="4"/>
        <v>86</v>
      </c>
      <c r="K47" s="632">
        <f t="shared" si="5"/>
        <v>91</v>
      </c>
      <c r="L47" s="632">
        <f t="shared" si="6"/>
        <v>91</v>
      </c>
      <c r="M47" s="632">
        <f t="shared" si="7"/>
        <v>89.33333333333303</v>
      </c>
      <c r="N47" s="633">
        <f t="shared" si="8"/>
        <v>79.33333333333303</v>
      </c>
    </row>
    <row r="48" spans="2:32" ht="15.75" x14ac:dyDescent="0.25">
      <c r="B48" s="562" t="s">
        <v>15</v>
      </c>
      <c r="C48" s="598"/>
      <c r="D48" s="598"/>
      <c r="E48" s="598">
        <f t="shared" si="0"/>
        <v>-18</v>
      </c>
      <c r="F48" s="598">
        <f t="shared" si="0"/>
        <v>-6</v>
      </c>
      <c r="G48" s="631">
        <f t="shared" si="0"/>
        <v>-4</v>
      </c>
      <c r="H48" s="632">
        <f t="shared" si="2"/>
        <v>-6</v>
      </c>
      <c r="I48" s="632">
        <f t="shared" si="3"/>
        <v>-0.33333333333331439</v>
      </c>
      <c r="J48" s="632">
        <f t="shared" si="4"/>
        <v>3.3333333333333144</v>
      </c>
      <c r="K48" s="632">
        <f t="shared" si="5"/>
        <v>2.6666666666666856</v>
      </c>
      <c r="L48" s="632">
        <f t="shared" si="6"/>
        <v>-1.3333333333333144</v>
      </c>
      <c r="M48" s="632">
        <f t="shared" si="7"/>
        <v>-2.6666666666666856</v>
      </c>
      <c r="N48" s="633">
        <f t="shared" si="8"/>
        <v>-1.3333333333333144</v>
      </c>
    </row>
    <row r="49" spans="2:14" ht="15.75" x14ac:dyDescent="0.25">
      <c r="B49" s="562" t="s">
        <v>16</v>
      </c>
      <c r="C49" s="598"/>
      <c r="D49" s="598"/>
      <c r="E49" s="598">
        <f t="shared" si="0"/>
        <v>-0.66666666666665719</v>
      </c>
      <c r="F49" s="598">
        <f t="shared" si="0"/>
        <v>4.6666666666666572</v>
      </c>
      <c r="G49" s="631">
        <f t="shared" si="0"/>
        <v>-1</v>
      </c>
      <c r="H49" s="632">
        <f t="shared" si="2"/>
        <v>-6</v>
      </c>
      <c r="I49" s="632">
        <f t="shared" si="3"/>
        <v>-4</v>
      </c>
      <c r="J49" s="632">
        <f t="shared" si="4"/>
        <v>-1.3333333333333428</v>
      </c>
      <c r="K49" s="632">
        <f t="shared" si="5"/>
        <v>3</v>
      </c>
      <c r="L49" s="632">
        <f t="shared" si="6"/>
        <v>1</v>
      </c>
      <c r="M49" s="632">
        <f t="shared" si="7"/>
        <v>-0.33333333333334281</v>
      </c>
      <c r="N49" s="633">
        <f t="shared" si="8"/>
        <v>-0.33333333333334281</v>
      </c>
    </row>
    <row r="50" spans="2:14" ht="15.75" x14ac:dyDescent="0.25">
      <c r="B50" s="562" t="s">
        <v>17</v>
      </c>
      <c r="C50" s="598"/>
      <c r="D50" s="598"/>
      <c r="E50" s="598">
        <f t="shared" si="0"/>
        <v>29.666666666666742</v>
      </c>
      <c r="F50" s="598">
        <f t="shared" si="0"/>
        <v>34.333333333333258</v>
      </c>
      <c r="G50" s="631">
        <f t="shared" si="0"/>
        <v>13.333333333333258</v>
      </c>
      <c r="H50" s="632">
        <f t="shared" si="2"/>
        <v>8.3333333333332575</v>
      </c>
      <c r="I50" s="632">
        <f t="shared" si="3"/>
        <v>11</v>
      </c>
      <c r="J50" s="632">
        <f t="shared" si="4"/>
        <v>10</v>
      </c>
      <c r="K50" s="632">
        <f t="shared" si="5"/>
        <v>19.666666666666742</v>
      </c>
      <c r="L50" s="632">
        <f t="shared" si="6"/>
        <v>20</v>
      </c>
      <c r="M50" s="632">
        <f t="shared" si="7"/>
        <v>12.666666666666742</v>
      </c>
      <c r="N50" s="633">
        <f t="shared" si="8"/>
        <v>21.666666666666742</v>
      </c>
    </row>
    <row r="51" spans="2:14" ht="15.75" x14ac:dyDescent="0.25">
      <c r="B51" s="562" t="s">
        <v>18</v>
      </c>
      <c r="C51" s="598"/>
      <c r="D51" s="598"/>
      <c r="E51" s="598">
        <f t="shared" si="0"/>
        <v>2.3333333333333144</v>
      </c>
      <c r="F51" s="598">
        <f t="shared" si="0"/>
        <v>15.666666666666686</v>
      </c>
      <c r="G51" s="631">
        <f t="shared" si="0"/>
        <v>3</v>
      </c>
      <c r="H51" s="632">
        <f t="shared" si="2"/>
        <v>0.33333333333331439</v>
      </c>
      <c r="I51" s="632">
        <f t="shared" si="3"/>
        <v>2</v>
      </c>
      <c r="J51" s="632">
        <f t="shared" si="4"/>
        <v>2.3333333333333144</v>
      </c>
      <c r="K51" s="632">
        <f t="shared" si="5"/>
        <v>8.3333333333333144</v>
      </c>
      <c r="L51" s="632">
        <f t="shared" si="6"/>
        <v>6.6666666666666856</v>
      </c>
      <c r="M51" s="632">
        <f t="shared" si="7"/>
        <v>0.33333333333331439</v>
      </c>
      <c r="N51" s="633">
        <f t="shared" si="8"/>
        <v>4.6666666666666856</v>
      </c>
    </row>
    <row r="52" spans="2:14" ht="15.75" x14ac:dyDescent="0.25">
      <c r="B52" s="562" t="s">
        <v>19</v>
      </c>
      <c r="C52" s="598"/>
      <c r="D52" s="598"/>
      <c r="E52" s="598">
        <f t="shared" si="0"/>
        <v>5.3333333333332575</v>
      </c>
      <c r="F52" s="598">
        <f t="shared" si="0"/>
        <v>-2.6666666666667425</v>
      </c>
      <c r="G52" s="631">
        <f t="shared" si="0"/>
        <v>9.3333333333332575</v>
      </c>
      <c r="H52" s="632">
        <f t="shared" si="2"/>
        <v>2.6666666666667425</v>
      </c>
      <c r="I52" s="632">
        <f t="shared" si="3"/>
        <v>3</v>
      </c>
      <c r="J52" s="632">
        <f t="shared" si="4"/>
        <v>10.666666666666742</v>
      </c>
      <c r="K52" s="632">
        <f t="shared" si="5"/>
        <v>15</v>
      </c>
      <c r="L52" s="632">
        <f t="shared" si="6"/>
        <v>13.666666666666742</v>
      </c>
      <c r="M52" s="632">
        <f t="shared" si="7"/>
        <v>12.666666666666742</v>
      </c>
      <c r="N52" s="633">
        <f t="shared" si="8"/>
        <v>15.666666666666742</v>
      </c>
    </row>
    <row r="53" spans="2:14" ht="15.75" x14ac:dyDescent="0.25">
      <c r="B53" s="562" t="s">
        <v>20</v>
      </c>
      <c r="C53" s="598"/>
      <c r="D53" s="598"/>
      <c r="E53" s="598">
        <f t="shared" si="0"/>
        <v>-1.6666666666666714</v>
      </c>
      <c r="F53" s="598">
        <f t="shared" si="0"/>
        <v>-0.3333333333333286</v>
      </c>
      <c r="G53" s="631">
        <f t="shared" si="0"/>
        <v>-2</v>
      </c>
      <c r="H53" s="632">
        <f t="shared" si="2"/>
        <v>-8.6666666666666714</v>
      </c>
      <c r="I53" s="632">
        <f t="shared" si="3"/>
        <v>-8</v>
      </c>
      <c r="J53" s="632">
        <f t="shared" si="4"/>
        <v>-5.6666666666666714</v>
      </c>
      <c r="K53" s="632">
        <f t="shared" si="5"/>
        <v>-7.6666666666666714</v>
      </c>
      <c r="L53" s="632">
        <f t="shared" si="6"/>
        <v>-4.3333333333333286</v>
      </c>
      <c r="M53" s="632">
        <f t="shared" si="7"/>
        <v>-2</v>
      </c>
      <c r="N53" s="633">
        <f t="shared" si="8"/>
        <v>0</v>
      </c>
    </row>
    <row r="54" spans="2:14" ht="15.75" x14ac:dyDescent="0.25">
      <c r="B54" s="562" t="s">
        <v>21</v>
      </c>
      <c r="C54" s="598"/>
      <c r="D54" s="598"/>
      <c r="E54" s="598">
        <f t="shared" si="0"/>
        <v>0</v>
      </c>
      <c r="F54" s="598">
        <f t="shared" si="0"/>
        <v>-2</v>
      </c>
      <c r="G54" s="631">
        <f t="shared" si="0"/>
        <v>1.6666666666667425</v>
      </c>
      <c r="H54" s="632">
        <f t="shared" si="2"/>
        <v>-6</v>
      </c>
      <c r="I54" s="632">
        <f t="shared" si="3"/>
        <v>0.33333333333325754</v>
      </c>
      <c r="J54" s="632">
        <f t="shared" si="4"/>
        <v>8.6666666666667425</v>
      </c>
      <c r="K54" s="632">
        <f t="shared" si="5"/>
        <v>4.6666666666667425</v>
      </c>
      <c r="L54" s="632">
        <f t="shared" si="6"/>
        <v>0.33333333333325754</v>
      </c>
      <c r="M54" s="632">
        <f t="shared" si="7"/>
        <v>5.6666666666667425</v>
      </c>
      <c r="N54" s="633">
        <f t="shared" si="8"/>
        <v>6.3333333333332575</v>
      </c>
    </row>
    <row r="55" spans="2:14" ht="15.75" x14ac:dyDescent="0.25">
      <c r="B55" s="562" t="s">
        <v>22</v>
      </c>
      <c r="C55" s="598"/>
      <c r="D55" s="598"/>
      <c r="E55" s="598">
        <f t="shared" si="0"/>
        <v>-14.333333333333314</v>
      </c>
      <c r="F55" s="598">
        <f t="shared" si="0"/>
        <v>9.3333333333333144</v>
      </c>
      <c r="G55" s="631">
        <f t="shared" si="0"/>
        <v>3</v>
      </c>
      <c r="H55" s="632">
        <f t="shared" si="2"/>
        <v>0</v>
      </c>
      <c r="I55" s="632">
        <f t="shared" si="3"/>
        <v>3.3333333333333144</v>
      </c>
      <c r="J55" s="632">
        <f t="shared" si="4"/>
        <v>-0.33333333333331439</v>
      </c>
      <c r="K55" s="632">
        <f t="shared" si="5"/>
        <v>2</v>
      </c>
      <c r="L55" s="632">
        <f t="shared" si="6"/>
        <v>1</v>
      </c>
      <c r="M55" s="632">
        <f t="shared" si="7"/>
        <v>5.3333333333333144</v>
      </c>
      <c r="N55" s="633">
        <f t="shared" si="8"/>
        <v>6.6666666666666856</v>
      </c>
    </row>
    <row r="56" spans="2:14" ht="16.5" thickBot="1" x14ac:dyDescent="0.3">
      <c r="B56" s="593" t="s">
        <v>23</v>
      </c>
      <c r="C56" s="599"/>
      <c r="D56" s="599"/>
      <c r="E56" s="599">
        <f t="shared" si="0"/>
        <v>71</v>
      </c>
      <c r="F56" s="599">
        <f t="shared" si="0"/>
        <v>60.33333333333394</v>
      </c>
      <c r="G56" s="634">
        <f t="shared" si="0"/>
        <v>66.66666666666606</v>
      </c>
      <c r="H56" s="635">
        <f t="shared" si="2"/>
        <v>30.66666666666606</v>
      </c>
      <c r="I56" s="635">
        <f t="shared" si="3"/>
        <v>49.66666666666606</v>
      </c>
      <c r="J56" s="635">
        <f t="shared" si="4"/>
        <v>67.66666666666606</v>
      </c>
      <c r="K56" s="635">
        <f t="shared" si="5"/>
        <v>68.66666666666606</v>
      </c>
      <c r="L56" s="635">
        <f t="shared" si="6"/>
        <v>73</v>
      </c>
      <c r="M56" s="635">
        <f t="shared" si="7"/>
        <v>70</v>
      </c>
      <c r="N56" s="636">
        <f t="shared" si="8"/>
        <v>75.66666666666606</v>
      </c>
    </row>
    <row r="57" spans="2:14" ht="19.5" thickBot="1" x14ac:dyDescent="0.35">
      <c r="B57" s="594" t="s">
        <v>24</v>
      </c>
      <c r="C57" s="637"/>
      <c r="D57" s="637"/>
      <c r="E57" s="637">
        <f>AVERAGE(C38:E38)-C38</f>
        <v>152.66666666666788</v>
      </c>
      <c r="F57" s="637">
        <f>AVERAGE(D38:F38)-D38</f>
        <v>192.66666666666788</v>
      </c>
      <c r="G57" s="642">
        <f>AVERAGE(E38:G38)-E38</f>
        <v>187</v>
      </c>
      <c r="H57" s="638">
        <f t="shared" si="2"/>
        <v>91</v>
      </c>
      <c r="I57" s="638">
        <f t="shared" si="3"/>
        <v>176</v>
      </c>
      <c r="J57" s="638">
        <f t="shared" si="4"/>
        <v>227.66666666666788</v>
      </c>
      <c r="K57" s="638">
        <f t="shared" si="5"/>
        <v>245.66666666666788</v>
      </c>
      <c r="L57" s="638">
        <f t="shared" si="6"/>
        <v>258.33333333333212</v>
      </c>
      <c r="M57" s="638">
        <f t="shared" si="7"/>
        <v>239</v>
      </c>
      <c r="N57" s="639">
        <f t="shared" si="8"/>
        <v>258</v>
      </c>
    </row>
    <row r="58" spans="2:14" ht="15.75" thickBot="1" x14ac:dyDescent="0.25"/>
    <row r="59" spans="2:14" ht="19.5" thickBot="1" x14ac:dyDescent="0.35">
      <c r="B59" s="603" t="s">
        <v>335</v>
      </c>
      <c r="C59" s="421"/>
      <c r="D59" s="421"/>
      <c r="E59" s="604">
        <v>2013</v>
      </c>
      <c r="F59" s="604">
        <v>2014</v>
      </c>
      <c r="G59" s="604">
        <v>2015</v>
      </c>
      <c r="H59" s="604">
        <v>2016</v>
      </c>
      <c r="I59" s="604">
        <v>2017</v>
      </c>
      <c r="J59" s="604">
        <v>2018</v>
      </c>
      <c r="K59" s="604">
        <v>2019</v>
      </c>
      <c r="L59" s="604">
        <v>2020</v>
      </c>
      <c r="M59" s="604">
        <v>2021</v>
      </c>
      <c r="N59" s="605">
        <v>2022</v>
      </c>
    </row>
    <row r="60" spans="2:14" ht="15.75" x14ac:dyDescent="0.25">
      <c r="B60" s="562" t="s">
        <v>8</v>
      </c>
      <c r="E60" s="600">
        <f t="shared" ref="E60:G75" si="9">E41/C22</f>
        <v>-6.2500000000000003E-3</v>
      </c>
      <c r="F60" s="600">
        <f t="shared" si="9"/>
        <v>-2.1008403361344537E-3</v>
      </c>
      <c r="G60" s="600">
        <f t="shared" si="9"/>
        <v>-6.3157894736842104E-3</v>
      </c>
      <c r="H60" s="600">
        <f>H41/F22</f>
        <v>-1.0548523206751054E-2</v>
      </c>
      <c r="I60" s="600">
        <f t="shared" ref="I60:N60" si="10">I41/G22</f>
        <v>-1.4275517487509328E-3</v>
      </c>
      <c r="J60" s="600">
        <f t="shared" si="10"/>
        <v>4.2918454935622317E-3</v>
      </c>
      <c r="K60" s="600">
        <f t="shared" si="10"/>
        <v>5.7224606580830164E-3</v>
      </c>
      <c r="L60" s="600">
        <f t="shared" si="10"/>
        <v>-2.1186440677966102E-3</v>
      </c>
      <c r="M60" s="600">
        <f t="shared" si="10"/>
        <v>4.2735042735042739E-3</v>
      </c>
      <c r="N60" s="601">
        <f t="shared" si="10"/>
        <v>-7.7519379844961638E-3</v>
      </c>
    </row>
    <row r="61" spans="2:14" ht="15.75" x14ac:dyDescent="0.25">
      <c r="B61" s="562" t="s">
        <v>9</v>
      </c>
      <c r="E61" s="600">
        <f t="shared" si="9"/>
        <v>-1.6700749829584225E-2</v>
      </c>
      <c r="F61" s="600">
        <f t="shared" si="9"/>
        <v>-1.4236111111111071E-2</v>
      </c>
      <c r="G61" s="600">
        <f t="shared" si="9"/>
        <v>-1.1967617036254879E-2</v>
      </c>
      <c r="H61" s="600">
        <f t="shared" ref="H61:H76" si="11">H42/F23</f>
        <v>-1.0729613733905579E-3</v>
      </c>
      <c r="I61" s="600">
        <f t="shared" ref="I61:I76" si="12">I42/G23</f>
        <v>4.6695402298850986E-3</v>
      </c>
      <c r="J61" s="600">
        <f t="shared" ref="J61:J76" si="13">J42/H23</f>
        <v>3.9299749910681981E-3</v>
      </c>
      <c r="K61" s="600">
        <f t="shared" ref="K61:K76" si="14">K42/I23</f>
        <v>4.9857549857549449E-3</v>
      </c>
      <c r="L61" s="600">
        <f t="shared" ref="L61:L76" si="15">L42/J23</f>
        <v>3.5423308537017762E-3</v>
      </c>
      <c r="M61" s="600">
        <f t="shared" ref="M61:M76" si="16">M42/K23</f>
        <v>5.6437389770723507E-3</v>
      </c>
      <c r="N61" s="601">
        <f t="shared" ref="N61:N76" si="17">N42/L23</f>
        <v>9.5036958817317843E-3</v>
      </c>
    </row>
    <row r="62" spans="2:14" ht="15.75" x14ac:dyDescent="0.25">
      <c r="B62" s="562" t="s">
        <v>10</v>
      </c>
      <c r="E62" s="600">
        <f t="shared" si="9"/>
        <v>-3.9572615749901069E-4</v>
      </c>
      <c r="F62" s="600">
        <f t="shared" si="9"/>
        <v>-1.0536020018437435E-3</v>
      </c>
      <c r="G62" s="600">
        <f t="shared" si="9"/>
        <v>4.4973544973545571E-3</v>
      </c>
      <c r="H62" s="600">
        <f t="shared" si="11"/>
        <v>1.9731649565903711E-3</v>
      </c>
      <c r="I62" s="600">
        <f t="shared" si="12"/>
        <v>3.1496062992125984E-3</v>
      </c>
      <c r="J62" s="600">
        <f t="shared" si="13"/>
        <v>6.0296238039062068E-3</v>
      </c>
      <c r="K62" s="600">
        <f t="shared" si="14"/>
        <v>5.7269295847975459E-3</v>
      </c>
      <c r="L62" s="600">
        <f t="shared" si="15"/>
        <v>8.4273304810060339E-3</v>
      </c>
      <c r="M62" s="600">
        <f t="shared" si="16"/>
        <v>7.450224791265312E-3</v>
      </c>
      <c r="N62" s="601">
        <f t="shared" si="17"/>
        <v>9.0607452782031066E-3</v>
      </c>
    </row>
    <row r="63" spans="2:14" ht="15.75" x14ac:dyDescent="0.25">
      <c r="B63" s="562" t="s">
        <v>11</v>
      </c>
      <c r="E63" s="600">
        <f t="shared" si="9"/>
        <v>-2.310803004043971E-3</v>
      </c>
      <c r="F63" s="600">
        <f t="shared" si="9"/>
        <v>-9.2272202998847259E-3</v>
      </c>
      <c r="G63" s="600">
        <f t="shared" si="9"/>
        <v>-8.1585081585080921E-3</v>
      </c>
      <c r="H63" s="600">
        <f t="shared" si="11"/>
        <v>-4.1079812206573441E-3</v>
      </c>
      <c r="I63" s="600">
        <f t="shared" si="12"/>
        <v>1.4827995255041585E-2</v>
      </c>
      <c r="J63" s="600">
        <f t="shared" si="13"/>
        <v>1.0582010582010581E-2</v>
      </c>
      <c r="K63" s="600">
        <f t="shared" si="14"/>
        <v>-9.7365406643756501E-3</v>
      </c>
      <c r="L63" s="600">
        <f t="shared" si="15"/>
        <v>1.0526315789473684E-2</v>
      </c>
      <c r="M63" s="600">
        <f t="shared" si="16"/>
        <v>5.1993067590987872E-3</v>
      </c>
      <c r="N63" s="601">
        <f t="shared" si="17"/>
        <v>7.4584050487665598E-3</v>
      </c>
    </row>
    <row r="64" spans="2:14" ht="15.75" x14ac:dyDescent="0.25">
      <c r="B64" s="562" t="s">
        <v>12</v>
      </c>
      <c r="E64" s="600">
        <f t="shared" si="9"/>
        <v>7.4525745257452963E-3</v>
      </c>
      <c r="F64" s="600">
        <f t="shared" si="9"/>
        <v>2.6936026936026551E-3</v>
      </c>
      <c r="G64" s="600">
        <f t="shared" si="9"/>
        <v>-6.0000000000000001E-3</v>
      </c>
      <c r="H64" s="600">
        <f t="shared" si="11"/>
        <v>6.0728744939271256E-3</v>
      </c>
      <c r="I64" s="600">
        <f t="shared" si="12"/>
        <v>1.1401743796110031E-2</v>
      </c>
      <c r="J64" s="600">
        <f t="shared" si="13"/>
        <v>1.4E-2</v>
      </c>
      <c r="K64" s="600">
        <f t="shared" si="14"/>
        <v>5.2185257664708979E-3</v>
      </c>
      <c r="L64" s="600">
        <f t="shared" si="15"/>
        <v>1.6339869281045825E-2</v>
      </c>
      <c r="M64" s="600">
        <f t="shared" si="16"/>
        <v>1.0897435897435824E-2</v>
      </c>
      <c r="N64" s="601">
        <f t="shared" si="17"/>
        <v>1.0158730158730232E-2</v>
      </c>
    </row>
    <row r="65" spans="2:14" ht="15.75" x14ac:dyDescent="0.25">
      <c r="B65" s="562" t="s">
        <v>13</v>
      </c>
      <c r="E65" s="600">
        <f t="shared" si="9"/>
        <v>2.1843599825250703E-3</v>
      </c>
      <c r="F65" s="600">
        <f t="shared" si="9"/>
        <v>6.132282084975859E-3</v>
      </c>
      <c r="G65" s="600">
        <f t="shared" si="9"/>
        <v>-3.246753246753247E-3</v>
      </c>
      <c r="H65" s="600">
        <f t="shared" si="11"/>
        <v>4.3516100957359169E-4</v>
      </c>
      <c r="I65" s="600">
        <f t="shared" si="12"/>
        <v>1.9569471624266144E-3</v>
      </c>
      <c r="J65" s="600">
        <f t="shared" si="13"/>
        <v>8.0452272233093661E-3</v>
      </c>
      <c r="K65" s="600">
        <f t="shared" si="14"/>
        <v>1.2537829658452177E-2</v>
      </c>
      <c r="L65" s="600">
        <f t="shared" si="15"/>
        <v>1.2171684817424727E-2</v>
      </c>
      <c r="M65" s="600">
        <f t="shared" si="16"/>
        <v>8.0118068732869963E-3</v>
      </c>
      <c r="N65" s="601">
        <f t="shared" si="17"/>
        <v>6.8836045056320403E-3</v>
      </c>
    </row>
    <row r="66" spans="2:14" ht="15.75" x14ac:dyDescent="0.25">
      <c r="B66" s="562" t="s">
        <v>14</v>
      </c>
      <c r="E66" s="600">
        <f t="shared" si="9"/>
        <v>2.2044402604534472E-2</v>
      </c>
      <c r="F66" s="600">
        <f t="shared" si="9"/>
        <v>2.0972062763107469E-2</v>
      </c>
      <c r="G66" s="600">
        <f t="shared" si="9"/>
        <v>2.5467148884870474E-2</v>
      </c>
      <c r="H66" s="600">
        <f t="shared" si="11"/>
        <v>1.6520467836257244E-2</v>
      </c>
      <c r="I66" s="600">
        <f t="shared" si="12"/>
        <v>1.9527309410577828E-2</v>
      </c>
      <c r="J66" s="600">
        <f t="shared" si="13"/>
        <v>1.8220338983050848E-2</v>
      </c>
      <c r="K66" s="600">
        <f t="shared" si="14"/>
        <v>1.8946491775973351E-2</v>
      </c>
      <c r="L66" s="600">
        <f t="shared" si="15"/>
        <v>1.8590398365679266E-2</v>
      </c>
      <c r="M66" s="600">
        <f t="shared" si="16"/>
        <v>1.7924023542001011E-2</v>
      </c>
      <c r="N66" s="601">
        <f t="shared" si="17"/>
        <v>1.5619872678348697E-2</v>
      </c>
    </row>
    <row r="67" spans="2:14" ht="15.75" x14ac:dyDescent="0.25">
      <c r="B67" s="562" t="s">
        <v>15</v>
      </c>
      <c r="E67" s="600">
        <f t="shared" si="9"/>
        <v>-4.9861495844875349E-2</v>
      </c>
      <c r="F67" s="600">
        <f t="shared" si="9"/>
        <v>-1.7751479289940829E-2</v>
      </c>
      <c r="G67" s="600">
        <f t="shared" si="9"/>
        <v>-1.2121212121212121E-2</v>
      </c>
      <c r="H67" s="600">
        <f t="shared" si="11"/>
        <v>-1.8292682926829267E-2</v>
      </c>
      <c r="I67" s="600">
        <f t="shared" si="12"/>
        <v>-1.0416666666666075E-3</v>
      </c>
      <c r="J67" s="600">
        <f t="shared" si="13"/>
        <v>1.0482180293500988E-2</v>
      </c>
      <c r="K67" s="600">
        <f t="shared" si="14"/>
        <v>8.3073727933541605E-3</v>
      </c>
      <c r="L67" s="600">
        <f t="shared" si="15"/>
        <v>-4.1025641025640444E-3</v>
      </c>
      <c r="M67" s="600">
        <f t="shared" si="16"/>
        <v>-8.2051282051282641E-3</v>
      </c>
      <c r="N67" s="601">
        <f t="shared" si="17"/>
        <v>-4.1536863966769918E-3</v>
      </c>
    </row>
    <row r="68" spans="2:14" ht="15.75" x14ac:dyDescent="0.25">
      <c r="B68" s="562" t="s">
        <v>16</v>
      </c>
      <c r="E68" s="600">
        <f t="shared" si="9"/>
        <v>-2.6773761713520371E-3</v>
      </c>
      <c r="F68" s="600">
        <f t="shared" si="9"/>
        <v>1.9047619047619008E-2</v>
      </c>
      <c r="G68" s="600">
        <f t="shared" si="9"/>
        <v>-3.9840637450199202E-3</v>
      </c>
      <c r="H68" s="600">
        <f t="shared" si="11"/>
        <v>-2.3715415019762844E-2</v>
      </c>
      <c r="I68" s="600">
        <f t="shared" si="12"/>
        <v>-1.6260162601626018E-2</v>
      </c>
      <c r="J68" s="600">
        <f t="shared" si="13"/>
        <v>-5.5096418732782761E-3</v>
      </c>
      <c r="K68" s="600">
        <f t="shared" si="14"/>
        <v>1.2605042016806723E-2</v>
      </c>
      <c r="L68" s="600">
        <f t="shared" si="15"/>
        <v>4.1322314049586778E-3</v>
      </c>
      <c r="M68" s="600">
        <f t="shared" si="16"/>
        <v>-1.3717421124828922E-3</v>
      </c>
      <c r="N68" s="601">
        <f t="shared" si="17"/>
        <v>-1.3661202185792738E-3</v>
      </c>
    </row>
    <row r="69" spans="2:14" ht="15.75" x14ac:dyDescent="0.25">
      <c r="B69" s="562" t="s">
        <v>17</v>
      </c>
      <c r="E69" s="600">
        <f t="shared" si="9"/>
        <v>1.5949820788530508E-2</v>
      </c>
      <c r="F69" s="600">
        <f t="shared" si="9"/>
        <v>1.8233315631085108E-2</v>
      </c>
      <c r="G69" s="600">
        <f t="shared" si="9"/>
        <v>6.9228106611283792E-3</v>
      </c>
      <c r="H69" s="600">
        <f t="shared" si="11"/>
        <v>4.288900325956386E-3</v>
      </c>
      <c r="I69" s="600">
        <f t="shared" si="12"/>
        <v>5.643919958953309E-3</v>
      </c>
      <c r="J69" s="600">
        <f t="shared" si="13"/>
        <v>5.0968399592252805E-3</v>
      </c>
      <c r="K69" s="600">
        <f t="shared" si="14"/>
        <v>9.9881496529541612E-3</v>
      </c>
      <c r="L69" s="600">
        <f t="shared" si="15"/>
        <v>1.0075566750629723E-2</v>
      </c>
      <c r="M69" s="600">
        <f t="shared" si="16"/>
        <v>6.2955599734924169E-3</v>
      </c>
      <c r="N69" s="601">
        <f t="shared" si="17"/>
        <v>1.0736703006276879E-2</v>
      </c>
    </row>
    <row r="70" spans="2:14" ht="15.75" x14ac:dyDescent="0.25">
      <c r="B70" s="562" t="s">
        <v>18</v>
      </c>
      <c r="E70" s="600">
        <f t="shared" si="9"/>
        <v>5.8479532163742218E-3</v>
      </c>
      <c r="F70" s="600">
        <f t="shared" si="9"/>
        <v>3.9965986394557874E-2</v>
      </c>
      <c r="G70" s="600">
        <f t="shared" si="9"/>
        <v>7.2639225181598066E-3</v>
      </c>
      <c r="H70" s="600">
        <f t="shared" si="11"/>
        <v>7.9744816586917319E-4</v>
      </c>
      <c r="I70" s="600">
        <f t="shared" si="12"/>
        <v>4.7961630695443642E-3</v>
      </c>
      <c r="J70" s="600">
        <f t="shared" si="13"/>
        <v>5.5555555555555107E-3</v>
      </c>
      <c r="K70" s="600">
        <f t="shared" si="14"/>
        <v>1.9841269841269795E-2</v>
      </c>
      <c r="L70" s="600">
        <f t="shared" si="15"/>
        <v>1.5612802498048445E-2</v>
      </c>
      <c r="M70" s="600">
        <f t="shared" si="16"/>
        <v>7.6103500761030677E-4</v>
      </c>
      <c r="N70" s="601">
        <f t="shared" si="17"/>
        <v>1.0703363914373131E-2</v>
      </c>
    </row>
    <row r="71" spans="2:14" ht="15.75" x14ac:dyDescent="0.25">
      <c r="B71" s="562" t="s">
        <v>19</v>
      </c>
      <c r="E71" s="600">
        <f t="shared" si="9"/>
        <v>2.9465930018415789E-3</v>
      </c>
      <c r="F71" s="600">
        <f t="shared" si="9"/>
        <v>-1.4627902724447298E-3</v>
      </c>
      <c r="G71" s="600">
        <f t="shared" si="9"/>
        <v>5.1480051480051062E-3</v>
      </c>
      <c r="H71" s="600">
        <f t="shared" si="11"/>
        <v>1.4611872146119136E-3</v>
      </c>
      <c r="I71" s="600">
        <f t="shared" si="12"/>
        <v>1.6402405686167304E-3</v>
      </c>
      <c r="J71" s="600">
        <f t="shared" si="13"/>
        <v>5.8319664661928604E-3</v>
      </c>
      <c r="K71" s="600">
        <f t="shared" si="14"/>
        <v>8.1610446137105556E-3</v>
      </c>
      <c r="L71" s="600">
        <f t="shared" si="15"/>
        <v>7.3794096472282623E-3</v>
      </c>
      <c r="M71" s="600">
        <f t="shared" si="16"/>
        <v>6.7772427322989525E-3</v>
      </c>
      <c r="N71" s="601">
        <f t="shared" si="17"/>
        <v>8.3511016346837653E-3</v>
      </c>
    </row>
    <row r="72" spans="2:14" ht="15.75" x14ac:dyDescent="0.25">
      <c r="B72" s="562" t="s">
        <v>20</v>
      </c>
      <c r="E72" s="600">
        <f t="shared" si="9"/>
        <v>-1.618122977346283E-2</v>
      </c>
      <c r="F72" s="600">
        <f t="shared" si="9"/>
        <v>-3.3003300330032535E-3</v>
      </c>
      <c r="G72" s="600">
        <f t="shared" si="9"/>
        <v>-0.02</v>
      </c>
      <c r="H72" s="600">
        <f t="shared" si="11"/>
        <v>-8.5808580858085862E-2</v>
      </c>
      <c r="I72" s="600">
        <f t="shared" si="12"/>
        <v>-8.6021505376344093E-2</v>
      </c>
      <c r="J72" s="600">
        <f t="shared" si="13"/>
        <v>-6.827309236947797E-2</v>
      </c>
      <c r="K72" s="600">
        <f t="shared" si="14"/>
        <v>-9.7046413502109768E-2</v>
      </c>
      <c r="L72" s="600">
        <f t="shared" si="15"/>
        <v>-6.1904761904761837E-2</v>
      </c>
      <c r="M72" s="600">
        <f t="shared" si="16"/>
        <v>-3.0769230769230771E-2</v>
      </c>
      <c r="N72" s="601">
        <f t="shared" si="17"/>
        <v>0</v>
      </c>
    </row>
    <row r="73" spans="2:14" ht="15.75" x14ac:dyDescent="0.25">
      <c r="B73" s="562" t="s">
        <v>21</v>
      </c>
      <c r="E73" s="600">
        <f t="shared" si="9"/>
        <v>0</v>
      </c>
      <c r="F73" s="600">
        <f t="shared" si="9"/>
        <v>-1.9323671497584541E-3</v>
      </c>
      <c r="G73" s="600">
        <f t="shared" si="9"/>
        <v>1.6196954972465913E-3</v>
      </c>
      <c r="H73" s="600">
        <f t="shared" si="11"/>
        <v>-5.7971014492753624E-3</v>
      </c>
      <c r="I73" s="600">
        <f t="shared" si="12"/>
        <v>3.2425421530472522E-4</v>
      </c>
      <c r="J73" s="600">
        <f t="shared" si="13"/>
        <v>8.4635416666667407E-3</v>
      </c>
      <c r="K73" s="600">
        <f t="shared" si="14"/>
        <v>4.517586318167224E-3</v>
      </c>
      <c r="L73" s="600">
        <f t="shared" si="15"/>
        <v>3.2020493115586697E-4</v>
      </c>
      <c r="M73" s="600">
        <f t="shared" si="16"/>
        <v>5.453962143086374E-3</v>
      </c>
      <c r="N73" s="601">
        <f t="shared" si="17"/>
        <v>6.0664112388249597E-3</v>
      </c>
    </row>
    <row r="74" spans="2:14" ht="15.75" x14ac:dyDescent="0.25">
      <c r="B74" s="562" t="s">
        <v>22</v>
      </c>
      <c r="E74" s="600">
        <f t="shared" si="9"/>
        <v>-3.1922791388270186E-2</v>
      </c>
      <c r="F74" s="600">
        <f t="shared" si="9"/>
        <v>2.2116903633491267E-2</v>
      </c>
      <c r="G74" s="600">
        <f t="shared" si="9"/>
        <v>6.9284064665127024E-3</v>
      </c>
      <c r="H74" s="600">
        <f t="shared" si="11"/>
        <v>0</v>
      </c>
      <c r="I74" s="600">
        <f t="shared" si="12"/>
        <v>7.645259938837877E-3</v>
      </c>
      <c r="J74" s="600">
        <f t="shared" si="13"/>
        <v>-7.5414781297129948E-4</v>
      </c>
      <c r="K74" s="600">
        <f t="shared" si="14"/>
        <v>4.5454545454545452E-3</v>
      </c>
      <c r="L74" s="600">
        <f t="shared" si="15"/>
        <v>2.257336343115124E-3</v>
      </c>
      <c r="M74" s="600">
        <f t="shared" si="16"/>
        <v>1.203912716328062E-2</v>
      </c>
      <c r="N74" s="601">
        <f t="shared" si="17"/>
        <v>1.4947683109118129E-2</v>
      </c>
    </row>
    <row r="75" spans="2:14" ht="16.5" thickBot="1" x14ac:dyDescent="0.3">
      <c r="B75" s="562" t="s">
        <v>23</v>
      </c>
      <c r="E75" s="600">
        <f t="shared" si="9"/>
        <v>6.3038266891591935E-3</v>
      </c>
      <c r="F75" s="600">
        <f t="shared" si="9"/>
        <v>5.3175862271579357E-3</v>
      </c>
      <c r="G75" s="600">
        <f t="shared" si="9"/>
        <v>5.8515462711020852E-3</v>
      </c>
      <c r="H75" s="600">
        <f t="shared" si="11"/>
        <v>2.6713124274099355E-3</v>
      </c>
      <c r="I75" s="600">
        <f t="shared" si="12"/>
        <v>4.3165884466075145E-3</v>
      </c>
      <c r="J75" s="600">
        <f t="shared" si="13"/>
        <v>5.8606155089785256E-3</v>
      </c>
      <c r="K75" s="600">
        <f t="shared" si="14"/>
        <v>5.911895537379773E-3</v>
      </c>
      <c r="L75" s="600">
        <f t="shared" si="15"/>
        <v>6.2500000000000003E-3</v>
      </c>
      <c r="M75" s="600">
        <f t="shared" si="16"/>
        <v>5.9544062606328683E-3</v>
      </c>
      <c r="N75" s="601">
        <f t="shared" si="17"/>
        <v>6.3999548901857448E-3</v>
      </c>
    </row>
    <row r="76" spans="2:14" ht="19.5" thickBot="1" x14ac:dyDescent="0.35">
      <c r="B76" s="594" t="s">
        <v>24</v>
      </c>
      <c r="C76" s="421"/>
      <c r="D76" s="421"/>
      <c r="E76" s="640">
        <f>E57/C38</f>
        <v>5.3841180273908615E-3</v>
      </c>
      <c r="F76" s="640">
        <f>F57/D38</f>
        <v>6.7597595490375374E-3</v>
      </c>
      <c r="G76" s="640">
        <f>G57/E38</f>
        <v>6.5234075211051418E-3</v>
      </c>
      <c r="H76" s="640">
        <f t="shared" si="11"/>
        <v>3.147046617789459E-3</v>
      </c>
      <c r="I76" s="640">
        <f t="shared" si="12"/>
        <v>6.0737826552093041E-3</v>
      </c>
      <c r="J76" s="640">
        <f t="shared" si="13"/>
        <v>7.8160761695505315E-3</v>
      </c>
      <c r="K76" s="640">
        <f t="shared" si="14"/>
        <v>8.3691035861098283E-3</v>
      </c>
      <c r="L76" s="640">
        <f t="shared" si="15"/>
        <v>8.7319024280321823E-3</v>
      </c>
      <c r="M76" s="640">
        <f t="shared" si="16"/>
        <v>8.004018754186203E-3</v>
      </c>
      <c r="N76" s="641">
        <f t="shared" si="17"/>
        <v>8.5757021771647006E-3</v>
      </c>
    </row>
    <row r="77" spans="2:14" ht="15.75" thickBot="1" x14ac:dyDescent="0.25"/>
    <row r="78" spans="2:14" ht="19.5" thickBot="1" x14ac:dyDescent="0.35">
      <c r="B78" s="603" t="s">
        <v>346</v>
      </c>
      <c r="C78" s="421"/>
      <c r="D78" s="421"/>
      <c r="E78" s="604">
        <v>2013</v>
      </c>
      <c r="F78" s="604">
        <v>2014</v>
      </c>
      <c r="G78" s="604">
        <v>2015</v>
      </c>
      <c r="H78" s="603">
        <v>2016</v>
      </c>
      <c r="I78" s="604">
        <v>2017</v>
      </c>
      <c r="J78" s="604">
        <v>2018</v>
      </c>
      <c r="K78" s="604">
        <v>2019</v>
      </c>
      <c r="L78" s="604">
        <v>2020</v>
      </c>
      <c r="M78" s="604">
        <v>2021</v>
      </c>
      <c r="N78" s="605">
        <v>2022</v>
      </c>
    </row>
    <row r="79" spans="2:14" ht="16.5" thickBot="1" x14ac:dyDescent="0.3">
      <c r="B79" s="592" t="s">
        <v>8</v>
      </c>
      <c r="C79" s="3"/>
      <c r="D79" s="3"/>
      <c r="E79" s="596">
        <f t="shared" ref="E79:E95" si="18">IF(E60&lt;E$76,0,(E60-E$76)*C22)</f>
        <v>0</v>
      </c>
      <c r="F79" s="596">
        <f t="shared" ref="F79:F95" si="19">IF(F60&lt;F$76,0,(F60-F$76)*D22)</f>
        <v>0</v>
      </c>
      <c r="G79" s="596">
        <f t="shared" ref="G79:G95" si="20">IF(G60&lt;G$76,0,(G60-G$76)*E22)</f>
        <v>0</v>
      </c>
      <c r="H79" s="596">
        <f t="shared" ref="H79:H95" si="21">IF(H60&lt;H$76,0,(H60-H$76)*F22)</f>
        <v>0</v>
      </c>
      <c r="I79" s="596">
        <f t="shared" ref="I79:I95" si="22">IF(I60&lt;I$76,0,(I60-I$76)*G22)</f>
        <v>0</v>
      </c>
      <c r="J79" s="596">
        <f t="shared" ref="J79:J95" si="23">IF(J60&lt;J$76,0,(J60-J$76)*H22)</f>
        <v>0</v>
      </c>
      <c r="K79" s="596">
        <f t="shared" ref="K79:K95" si="24">IF(K60&lt;K$76,0,(K60-K$76)*I22)</f>
        <v>0</v>
      </c>
      <c r="L79" s="596">
        <f t="shared" ref="L79:L95" si="25">IF(L60&lt;L$76,0,(L60-L$76)*J22)</f>
        <v>0</v>
      </c>
      <c r="M79" s="596">
        <f t="shared" ref="M79:M95" si="26">IF(M60&lt;M$76,0,(M60-M$76)*K22)</f>
        <v>0</v>
      </c>
      <c r="N79" s="618">
        <f t="shared" ref="N79:N95" si="27">IF(N60&lt;N$76,0,(N60-N$76)*L22)</f>
        <v>0</v>
      </c>
    </row>
    <row r="80" spans="2:14" ht="16.5" thickBot="1" x14ac:dyDescent="0.3">
      <c r="B80" s="562" t="s">
        <v>9</v>
      </c>
      <c r="C80" s="9"/>
      <c r="D80" s="9"/>
      <c r="E80" s="596">
        <f t="shared" si="18"/>
        <v>0</v>
      </c>
      <c r="F80" s="596">
        <f t="shared" si="19"/>
        <v>0</v>
      </c>
      <c r="G80" s="596">
        <f t="shared" si="20"/>
        <v>0</v>
      </c>
      <c r="H80" s="596">
        <f t="shared" si="21"/>
        <v>0</v>
      </c>
      <c r="I80" s="596">
        <f t="shared" si="22"/>
        <v>0</v>
      </c>
      <c r="J80" s="596">
        <f t="shared" si="23"/>
        <v>0</v>
      </c>
      <c r="K80" s="596">
        <f t="shared" si="24"/>
        <v>0</v>
      </c>
      <c r="L80" s="596">
        <f t="shared" si="25"/>
        <v>0</v>
      </c>
      <c r="M80" s="596">
        <f t="shared" si="26"/>
        <v>0</v>
      </c>
      <c r="N80" s="618">
        <f t="shared" si="27"/>
        <v>0.87881003822502823</v>
      </c>
    </row>
    <row r="81" spans="2:16" ht="16.5" thickBot="1" x14ac:dyDescent="0.3">
      <c r="B81" s="562" t="s">
        <v>10</v>
      </c>
      <c r="C81" s="9"/>
      <c r="D81" s="9"/>
      <c r="E81" s="596">
        <f t="shared" si="18"/>
        <v>0</v>
      </c>
      <c r="F81" s="596">
        <f t="shared" si="19"/>
        <v>0</v>
      </c>
      <c r="G81" s="596">
        <f t="shared" si="20"/>
        <v>0</v>
      </c>
      <c r="H81" s="596">
        <f t="shared" si="21"/>
        <v>0</v>
      </c>
      <c r="I81" s="596">
        <f t="shared" si="22"/>
        <v>0</v>
      </c>
      <c r="J81" s="596">
        <f t="shared" si="23"/>
        <v>0</v>
      </c>
      <c r="K81" s="596">
        <f t="shared" si="24"/>
        <v>0</v>
      </c>
      <c r="L81" s="596">
        <f t="shared" si="25"/>
        <v>0</v>
      </c>
      <c r="M81" s="596">
        <f t="shared" si="26"/>
        <v>0</v>
      </c>
      <c r="N81" s="618">
        <f t="shared" si="27"/>
        <v>1.2669325799123166</v>
      </c>
    </row>
    <row r="82" spans="2:16" ht="16.5" thickBot="1" x14ac:dyDescent="0.3">
      <c r="B82" s="562" t="s">
        <v>11</v>
      </c>
      <c r="C82" s="9"/>
      <c r="D82" s="9"/>
      <c r="E82" s="596">
        <f t="shared" si="18"/>
        <v>0</v>
      </c>
      <c r="F82" s="596">
        <f t="shared" si="19"/>
        <v>0</v>
      </c>
      <c r="G82" s="596">
        <f t="shared" si="20"/>
        <v>0</v>
      </c>
      <c r="H82" s="596">
        <f t="shared" si="21"/>
        <v>0</v>
      </c>
      <c r="I82" s="596">
        <f t="shared" si="22"/>
        <v>4.9198674811057428</v>
      </c>
      <c r="J82" s="596">
        <f t="shared" si="23"/>
        <v>1.5682848118648482</v>
      </c>
      <c r="K82" s="596">
        <f t="shared" si="24"/>
        <v>0</v>
      </c>
      <c r="L82" s="596">
        <f t="shared" si="25"/>
        <v>1.0228156160216559</v>
      </c>
      <c r="M82" s="596">
        <f t="shared" si="26"/>
        <v>0</v>
      </c>
      <c r="N82" s="618">
        <f t="shared" si="27"/>
        <v>0</v>
      </c>
    </row>
    <row r="83" spans="2:16" ht="16.5" thickBot="1" x14ac:dyDescent="0.3">
      <c r="B83" s="562" t="s">
        <v>12</v>
      </c>
      <c r="C83" s="9"/>
      <c r="D83" s="9"/>
      <c r="E83" s="596">
        <f t="shared" si="18"/>
        <v>1.017680597190382</v>
      </c>
      <c r="F83" s="596">
        <f t="shared" si="19"/>
        <v>0</v>
      </c>
      <c r="G83" s="596">
        <f t="shared" si="20"/>
        <v>0</v>
      </c>
      <c r="H83" s="596">
        <f t="shared" si="21"/>
        <v>1.4453589708120074</v>
      </c>
      <c r="I83" s="596">
        <f t="shared" si="22"/>
        <v>2.6479966870276614</v>
      </c>
      <c r="J83" s="596">
        <f t="shared" si="23"/>
        <v>3.0919619152247342</v>
      </c>
      <c r="K83" s="596">
        <f t="shared" si="24"/>
        <v>0</v>
      </c>
      <c r="L83" s="596">
        <f t="shared" si="25"/>
        <v>3.8800630950369581</v>
      </c>
      <c r="M83" s="596">
        <f t="shared" si="26"/>
        <v>1.5045769144898029</v>
      </c>
      <c r="N83" s="618">
        <f t="shared" si="27"/>
        <v>0.83108969032190372</v>
      </c>
    </row>
    <row r="84" spans="2:16" ht="16.5" thickBot="1" x14ac:dyDescent="0.3">
      <c r="B84" s="562" t="s">
        <v>13</v>
      </c>
      <c r="C84" s="9"/>
      <c r="D84" s="9"/>
      <c r="E84" s="596">
        <f t="shared" si="18"/>
        <v>0</v>
      </c>
      <c r="F84" s="596">
        <f t="shared" si="19"/>
        <v>0</v>
      </c>
      <c r="G84" s="596">
        <f t="shared" si="20"/>
        <v>0</v>
      </c>
      <c r="H84" s="596">
        <f t="shared" si="21"/>
        <v>0</v>
      </c>
      <c r="I84" s="596">
        <f t="shared" si="22"/>
        <v>0</v>
      </c>
      <c r="J84" s="596">
        <f t="shared" si="23"/>
        <v>0.35128856541229336</v>
      </c>
      <c r="K84" s="596">
        <f t="shared" si="24"/>
        <v>6.4281756035519013</v>
      </c>
      <c r="L84" s="596">
        <f t="shared" si="25"/>
        <v>5.3695003098417624</v>
      </c>
      <c r="M84" s="596">
        <f t="shared" si="26"/>
        <v>1.2313016298354296E-2</v>
      </c>
      <c r="N84" s="618">
        <f t="shared" si="27"/>
        <v>0</v>
      </c>
    </row>
    <row r="85" spans="2:16" ht="16.5" thickBot="1" x14ac:dyDescent="0.3">
      <c r="B85" s="562" t="s">
        <v>14</v>
      </c>
      <c r="C85" s="9"/>
      <c r="D85" s="9"/>
      <c r="E85" s="596">
        <f t="shared" si="18"/>
        <v>70.789549168283202</v>
      </c>
      <c r="F85" s="596">
        <f t="shared" si="19"/>
        <v>61.894580497274546</v>
      </c>
      <c r="G85" s="596">
        <f t="shared" si="20"/>
        <v>83.807111793297821</v>
      </c>
      <c r="H85" s="596">
        <f t="shared" si="21"/>
        <v>60.982800756213102</v>
      </c>
      <c r="I85" s="596">
        <f t="shared" si="22"/>
        <v>62.236014770334798</v>
      </c>
      <c r="J85" s="596">
        <f t="shared" si="23"/>
        <v>49.108120479721492</v>
      </c>
      <c r="K85" s="596">
        <f t="shared" si="24"/>
        <v>50.803195475914499</v>
      </c>
      <c r="L85" s="596">
        <f t="shared" si="25"/>
        <v>48.257337614782472</v>
      </c>
      <c r="M85" s="596">
        <f t="shared" si="26"/>
        <v>49.441303862468999</v>
      </c>
      <c r="N85" s="618">
        <f t="shared" si="27"/>
        <v>35.777341975513515</v>
      </c>
    </row>
    <row r="86" spans="2:16" ht="16.5" thickBot="1" x14ac:dyDescent="0.3">
      <c r="B86" s="562" t="s">
        <v>15</v>
      </c>
      <c r="C86" s="9"/>
      <c r="D86" s="9"/>
      <c r="E86" s="596">
        <f t="shared" si="18"/>
        <v>0</v>
      </c>
      <c r="F86" s="596">
        <f t="shared" si="19"/>
        <v>0</v>
      </c>
      <c r="G86" s="596">
        <f t="shared" si="20"/>
        <v>0</v>
      </c>
      <c r="H86" s="596">
        <f t="shared" si="21"/>
        <v>0</v>
      </c>
      <c r="I86" s="596">
        <f t="shared" si="22"/>
        <v>0</v>
      </c>
      <c r="J86" s="596">
        <f t="shared" si="23"/>
        <v>0.84782111141624517</v>
      </c>
      <c r="K86" s="596">
        <f t="shared" si="24"/>
        <v>0</v>
      </c>
      <c r="L86" s="596">
        <f t="shared" si="25"/>
        <v>0</v>
      </c>
      <c r="M86" s="596">
        <f t="shared" si="26"/>
        <v>0</v>
      </c>
      <c r="N86" s="618">
        <f t="shared" si="27"/>
        <v>0</v>
      </c>
    </row>
    <row r="87" spans="2:16" ht="16.5" thickBot="1" x14ac:dyDescent="0.3">
      <c r="B87" s="562" t="s">
        <v>16</v>
      </c>
      <c r="C87" s="9"/>
      <c r="D87" s="9"/>
      <c r="E87" s="596">
        <f t="shared" si="18"/>
        <v>0</v>
      </c>
      <c r="F87" s="596">
        <f t="shared" si="19"/>
        <v>3.0105255771524599</v>
      </c>
      <c r="G87" s="596">
        <f t="shared" si="20"/>
        <v>0</v>
      </c>
      <c r="H87" s="596">
        <f t="shared" si="21"/>
        <v>0</v>
      </c>
      <c r="I87" s="596">
        <f t="shared" si="22"/>
        <v>0</v>
      </c>
      <c r="J87" s="596">
        <f t="shared" si="23"/>
        <v>0</v>
      </c>
      <c r="K87" s="596">
        <f t="shared" si="24"/>
        <v>1.008153346505861</v>
      </c>
      <c r="L87" s="596">
        <f t="shared" si="25"/>
        <v>0</v>
      </c>
      <c r="M87" s="596">
        <f t="shared" si="26"/>
        <v>0</v>
      </c>
      <c r="N87" s="618">
        <f t="shared" si="27"/>
        <v>0</v>
      </c>
    </row>
    <row r="88" spans="2:16" ht="16.5" thickBot="1" x14ac:dyDescent="0.3">
      <c r="B88" s="562" t="s">
        <v>17</v>
      </c>
      <c r="C88" s="9"/>
      <c r="D88" s="9"/>
      <c r="E88" s="596">
        <f t="shared" si="18"/>
        <v>19.652207135719745</v>
      </c>
      <c r="F88" s="596">
        <f t="shared" si="19"/>
        <v>21.604706102495573</v>
      </c>
      <c r="G88" s="596">
        <f t="shared" si="20"/>
        <v>0.76925044768475515</v>
      </c>
      <c r="H88" s="596">
        <f t="shared" si="21"/>
        <v>2.2186217549683391</v>
      </c>
      <c r="I88" s="596">
        <f t="shared" si="22"/>
        <v>0</v>
      </c>
      <c r="J88" s="596">
        <f t="shared" si="23"/>
        <v>0</v>
      </c>
      <c r="K88" s="596">
        <f t="shared" si="24"/>
        <v>3.1879017056164916</v>
      </c>
      <c r="L88" s="596">
        <f t="shared" si="25"/>
        <v>2.6671736803561177</v>
      </c>
      <c r="M88" s="596">
        <f t="shared" si="26"/>
        <v>0</v>
      </c>
      <c r="N88" s="618">
        <f t="shared" si="27"/>
        <v>4.3608996731483751</v>
      </c>
    </row>
    <row r="89" spans="2:16" ht="16.5" thickBot="1" x14ac:dyDescent="0.3">
      <c r="B89" s="562" t="s">
        <v>18</v>
      </c>
      <c r="C89" s="9"/>
      <c r="D89" s="9"/>
      <c r="E89" s="596">
        <f t="shared" si="18"/>
        <v>0.18507024040436076</v>
      </c>
      <c r="F89" s="596">
        <f t="shared" si="19"/>
        <v>13.016840923443974</v>
      </c>
      <c r="G89" s="596">
        <f t="shared" si="20"/>
        <v>0.30583269378357658</v>
      </c>
      <c r="H89" s="596">
        <f t="shared" si="21"/>
        <v>0</v>
      </c>
      <c r="I89" s="596">
        <f t="shared" si="22"/>
        <v>0</v>
      </c>
      <c r="J89" s="596">
        <f t="shared" si="23"/>
        <v>0</v>
      </c>
      <c r="K89" s="596">
        <f t="shared" si="24"/>
        <v>4.8183098271671856</v>
      </c>
      <c r="L89" s="596">
        <f t="shared" si="25"/>
        <v>2.9381443298969439</v>
      </c>
      <c r="M89" s="596">
        <f t="shared" si="26"/>
        <v>0</v>
      </c>
      <c r="N89" s="618">
        <f t="shared" si="27"/>
        <v>0.92766051742287592</v>
      </c>
    </row>
    <row r="90" spans="2:16" ht="16.5" thickBot="1" x14ac:dyDescent="0.3">
      <c r="B90" s="562" t="s">
        <v>19</v>
      </c>
      <c r="C90" s="9"/>
      <c r="D90" s="9"/>
      <c r="E90" s="596">
        <f t="shared" si="18"/>
        <v>0</v>
      </c>
      <c r="F90" s="596">
        <f t="shared" si="19"/>
        <v>0</v>
      </c>
      <c r="G90" s="596">
        <f t="shared" si="20"/>
        <v>0</v>
      </c>
      <c r="H90" s="596">
        <f t="shared" si="21"/>
        <v>0</v>
      </c>
      <c r="I90" s="596">
        <f t="shared" si="22"/>
        <v>0</v>
      </c>
      <c r="J90" s="596">
        <f t="shared" si="23"/>
        <v>0</v>
      </c>
      <c r="K90" s="596">
        <f t="shared" si="24"/>
        <v>0</v>
      </c>
      <c r="L90" s="596">
        <f t="shared" si="25"/>
        <v>0</v>
      </c>
      <c r="M90" s="596">
        <f t="shared" si="26"/>
        <v>0</v>
      </c>
      <c r="N90" s="618">
        <f t="shared" si="27"/>
        <v>0</v>
      </c>
    </row>
    <row r="91" spans="2:16" ht="16.5" thickBot="1" x14ac:dyDescent="0.3">
      <c r="B91" s="562" t="s">
        <v>20</v>
      </c>
      <c r="C91" s="9"/>
      <c r="D91" s="9"/>
      <c r="E91" s="596">
        <f t="shared" si="18"/>
        <v>0</v>
      </c>
      <c r="F91" s="596">
        <f t="shared" si="19"/>
        <v>0</v>
      </c>
      <c r="G91" s="596">
        <f t="shared" si="20"/>
        <v>0</v>
      </c>
      <c r="H91" s="596">
        <f t="shared" si="21"/>
        <v>0</v>
      </c>
      <c r="I91" s="596">
        <f t="shared" si="22"/>
        <v>0</v>
      </c>
      <c r="J91" s="596">
        <f t="shared" si="23"/>
        <v>0</v>
      </c>
      <c r="K91" s="596">
        <f t="shared" si="24"/>
        <v>0</v>
      </c>
      <c r="L91" s="596">
        <f t="shared" si="25"/>
        <v>0</v>
      </c>
      <c r="M91" s="596">
        <f t="shared" si="26"/>
        <v>0</v>
      </c>
      <c r="N91" s="618">
        <f t="shared" si="27"/>
        <v>0</v>
      </c>
    </row>
    <row r="92" spans="2:16" ht="16.5" thickBot="1" x14ac:dyDescent="0.3">
      <c r="B92" s="562" t="s">
        <v>21</v>
      </c>
      <c r="C92" s="9"/>
      <c r="D92" s="9"/>
      <c r="E92" s="596">
        <f t="shared" si="18"/>
        <v>0</v>
      </c>
      <c r="F92" s="596">
        <f t="shared" si="19"/>
        <v>0</v>
      </c>
      <c r="G92" s="596">
        <f t="shared" si="20"/>
        <v>0</v>
      </c>
      <c r="H92" s="596">
        <f t="shared" si="21"/>
        <v>0</v>
      </c>
      <c r="I92" s="596">
        <f t="shared" si="22"/>
        <v>0</v>
      </c>
      <c r="J92" s="596">
        <f t="shared" si="23"/>
        <v>0.66300466904699817</v>
      </c>
      <c r="K92" s="596">
        <f t="shared" si="24"/>
        <v>0</v>
      </c>
      <c r="L92" s="596">
        <f t="shared" si="25"/>
        <v>0</v>
      </c>
      <c r="M92" s="596">
        <f t="shared" si="26"/>
        <v>0</v>
      </c>
      <c r="N92" s="618">
        <f t="shared" si="27"/>
        <v>0</v>
      </c>
    </row>
    <row r="93" spans="2:16" ht="16.5" thickBot="1" x14ac:dyDescent="0.3">
      <c r="B93" s="562" t="s">
        <v>22</v>
      </c>
      <c r="C93" s="9"/>
      <c r="D93" s="9"/>
      <c r="E93" s="596">
        <f t="shared" si="18"/>
        <v>0</v>
      </c>
      <c r="F93" s="596">
        <f t="shared" si="19"/>
        <v>6.4807148036394731</v>
      </c>
      <c r="G93" s="596">
        <f t="shared" si="20"/>
        <v>0.17536454336147372</v>
      </c>
      <c r="H93" s="596">
        <f t="shared" si="21"/>
        <v>0</v>
      </c>
      <c r="I93" s="596">
        <f t="shared" si="22"/>
        <v>0.68516409566205771</v>
      </c>
      <c r="J93" s="596">
        <f t="shared" si="23"/>
        <v>0</v>
      </c>
      <c r="K93" s="596">
        <f t="shared" si="24"/>
        <v>0</v>
      </c>
      <c r="L93" s="596">
        <f t="shared" si="25"/>
        <v>0</v>
      </c>
      <c r="M93" s="596">
        <f t="shared" si="26"/>
        <v>1.7875530252288268</v>
      </c>
      <c r="N93" s="618">
        <f t="shared" si="27"/>
        <v>2.8419034956512292</v>
      </c>
    </row>
    <row r="94" spans="2:16" ht="16.5" thickBot="1" x14ac:dyDescent="0.3">
      <c r="B94" s="593" t="s">
        <v>23</v>
      </c>
      <c r="C94" s="424"/>
      <c r="D94" s="424"/>
      <c r="E94" s="616">
        <f t="shared" si="18"/>
        <v>10.358678657496723</v>
      </c>
      <c r="F94" s="616">
        <f t="shared" si="19"/>
        <v>0</v>
      </c>
      <c r="G94" s="616">
        <f t="shared" si="20"/>
        <v>0</v>
      </c>
      <c r="H94" s="616">
        <f t="shared" si="21"/>
        <v>0</v>
      </c>
      <c r="I94" s="616">
        <f t="shared" si="22"/>
        <v>0</v>
      </c>
      <c r="J94" s="616">
        <f t="shared" si="23"/>
        <v>0</v>
      </c>
      <c r="K94" s="616">
        <f t="shared" si="24"/>
        <v>0</v>
      </c>
      <c r="L94" s="616">
        <f t="shared" si="25"/>
        <v>0</v>
      </c>
      <c r="M94" s="616">
        <f t="shared" si="26"/>
        <v>0</v>
      </c>
      <c r="N94" s="617">
        <f t="shared" si="27"/>
        <v>0</v>
      </c>
    </row>
    <row r="95" spans="2:16" ht="19.5" thickBot="1" x14ac:dyDescent="0.35">
      <c r="B95" s="594" t="s">
        <v>24</v>
      </c>
      <c r="C95" s="421"/>
      <c r="D95" s="421"/>
      <c r="E95" s="616">
        <f t="shared" si="18"/>
        <v>0</v>
      </c>
      <c r="F95" s="616">
        <f t="shared" si="19"/>
        <v>0</v>
      </c>
      <c r="G95" s="616">
        <f t="shared" si="20"/>
        <v>0</v>
      </c>
      <c r="H95" s="616">
        <f t="shared" si="21"/>
        <v>0</v>
      </c>
      <c r="I95" s="616">
        <f t="shared" si="22"/>
        <v>0</v>
      </c>
      <c r="J95" s="616">
        <f t="shared" si="23"/>
        <v>0</v>
      </c>
      <c r="K95" s="616">
        <f t="shared" si="24"/>
        <v>0</v>
      </c>
      <c r="L95" s="616">
        <f t="shared" si="25"/>
        <v>0</v>
      </c>
      <c r="M95" s="616">
        <f t="shared" si="26"/>
        <v>0</v>
      </c>
      <c r="N95" s="617">
        <f t="shared" si="27"/>
        <v>0</v>
      </c>
    </row>
    <row r="96" spans="2:16" ht="15.75" thickBot="1" x14ac:dyDescent="0.25">
      <c r="P96" s="1" t="s">
        <v>339</v>
      </c>
    </row>
    <row r="97" spans="2:28" ht="19.5" thickBot="1" x14ac:dyDescent="0.35">
      <c r="B97" s="603" t="s">
        <v>340</v>
      </c>
      <c r="C97" s="421"/>
      <c r="D97" s="421"/>
      <c r="E97" s="604">
        <v>2013</v>
      </c>
      <c r="F97" s="604">
        <v>2014</v>
      </c>
      <c r="G97" s="604">
        <v>2015</v>
      </c>
      <c r="H97" s="603">
        <v>2016</v>
      </c>
      <c r="I97" s="604">
        <v>2017</v>
      </c>
      <c r="J97" s="604">
        <v>2018</v>
      </c>
      <c r="K97" s="604">
        <v>2019</v>
      </c>
      <c r="L97" s="604">
        <v>2020</v>
      </c>
      <c r="M97" s="604">
        <v>2021</v>
      </c>
      <c r="N97" s="605">
        <v>2022</v>
      </c>
      <c r="P97" s="644" t="s">
        <v>334</v>
      </c>
      <c r="Q97" s="605">
        <v>2011</v>
      </c>
      <c r="R97" s="604">
        <v>2012</v>
      </c>
      <c r="S97" s="605">
        <v>2013</v>
      </c>
      <c r="T97" s="606">
        <v>2014</v>
      </c>
      <c r="U97" s="607">
        <v>2015</v>
      </c>
      <c r="V97" s="643">
        <v>2016</v>
      </c>
      <c r="W97" s="606">
        <v>2017</v>
      </c>
      <c r="X97" s="606">
        <v>2018</v>
      </c>
      <c r="Y97" s="606">
        <v>2019</v>
      </c>
      <c r="Z97" s="606">
        <v>2020</v>
      </c>
      <c r="AA97" s="606">
        <v>2021</v>
      </c>
      <c r="AB97" s="607">
        <v>2022</v>
      </c>
    </row>
    <row r="98" spans="2:28" ht="16.5" thickBot="1" x14ac:dyDescent="0.3">
      <c r="B98" s="592" t="s">
        <v>8</v>
      </c>
      <c r="C98" s="3"/>
      <c r="D98" s="3"/>
      <c r="E98" s="602">
        <f>IF(E79&gt;0,2*S98*E79,0)</f>
        <v>0</v>
      </c>
      <c r="F98" s="602">
        <f t="shared" ref="F98:N113" si="28">IF(F79&gt;0,2*T98*F79,0)</f>
        <v>0</v>
      </c>
      <c r="G98" s="602">
        <f t="shared" si="28"/>
        <v>0</v>
      </c>
      <c r="H98" s="602">
        <f t="shared" si="28"/>
        <v>0</v>
      </c>
      <c r="I98" s="602">
        <f t="shared" si="28"/>
        <v>0</v>
      </c>
      <c r="J98" s="602">
        <f t="shared" si="28"/>
        <v>0</v>
      </c>
      <c r="K98" s="602">
        <f t="shared" si="28"/>
        <v>0</v>
      </c>
      <c r="L98" s="602">
        <f t="shared" si="28"/>
        <v>0</v>
      </c>
      <c r="M98" s="602">
        <f t="shared" si="28"/>
        <v>0</v>
      </c>
      <c r="N98" s="602">
        <f t="shared" si="28"/>
        <v>0</v>
      </c>
      <c r="P98" s="592" t="s">
        <v>8</v>
      </c>
      <c r="Q98" s="597"/>
      <c r="R98" s="597"/>
      <c r="S98" s="597">
        <v>2062.7280021314746</v>
      </c>
      <c r="T98" s="629">
        <f>S98*1.02</f>
        <v>2103.9825621741043</v>
      </c>
      <c r="U98" s="629">
        <f t="shared" ref="U98:AB98" si="29">T98*1.02</f>
        <v>2146.0622134175865</v>
      </c>
      <c r="V98" s="629">
        <f t="shared" si="29"/>
        <v>2188.9834576859384</v>
      </c>
      <c r="W98" s="629">
        <f t="shared" si="29"/>
        <v>2232.7631268396572</v>
      </c>
      <c r="X98" s="629">
        <f t="shared" si="29"/>
        <v>2277.4183893764502</v>
      </c>
      <c r="Y98" s="629">
        <f t="shared" si="29"/>
        <v>2322.9667571639793</v>
      </c>
      <c r="Z98" s="629">
        <f t="shared" si="29"/>
        <v>2369.4260923072588</v>
      </c>
      <c r="AA98" s="629">
        <f t="shared" si="29"/>
        <v>2416.8146141534039</v>
      </c>
      <c r="AB98" s="630">
        <f t="shared" si="29"/>
        <v>2465.1509064364718</v>
      </c>
    </row>
    <row r="99" spans="2:28" ht="16.5" thickBot="1" x14ac:dyDescent="0.3">
      <c r="B99" s="562" t="s">
        <v>9</v>
      </c>
      <c r="C99" s="9"/>
      <c r="D99" s="9"/>
      <c r="E99" s="602">
        <f t="shared" ref="E99:E113" si="30">IF(E80&gt;0,2*S99*E80,0)</f>
        <v>0</v>
      </c>
      <c r="F99" s="602">
        <f t="shared" si="28"/>
        <v>0</v>
      </c>
      <c r="G99" s="602">
        <f t="shared" si="28"/>
        <v>0</v>
      </c>
      <c r="H99" s="602">
        <f t="shared" si="28"/>
        <v>0</v>
      </c>
      <c r="I99" s="602">
        <f t="shared" si="28"/>
        <v>0</v>
      </c>
      <c r="J99" s="602">
        <f t="shared" si="28"/>
        <v>0</v>
      </c>
      <c r="K99" s="602">
        <f t="shared" si="28"/>
        <v>0</v>
      </c>
      <c r="L99" s="602">
        <f t="shared" si="28"/>
        <v>0</v>
      </c>
      <c r="M99" s="602">
        <f t="shared" si="28"/>
        <v>0</v>
      </c>
      <c r="N99" s="602">
        <f t="shared" si="28"/>
        <v>4133.8856622109797</v>
      </c>
      <c r="P99" s="562" t="s">
        <v>9</v>
      </c>
      <c r="Q99" s="598"/>
      <c r="R99" s="598"/>
      <c r="S99" s="598">
        <v>1968.0308860359148</v>
      </c>
      <c r="T99" s="632">
        <f t="shared" ref="T99:AB113" si="31">S99*1.02</f>
        <v>2007.3915037566333</v>
      </c>
      <c r="U99" s="632">
        <f t="shared" si="31"/>
        <v>2047.539333831766</v>
      </c>
      <c r="V99" s="632">
        <f t="shared" si="31"/>
        <v>2088.4901205084016</v>
      </c>
      <c r="W99" s="632">
        <f t="shared" si="31"/>
        <v>2130.2599229185698</v>
      </c>
      <c r="X99" s="632">
        <f t="shared" si="31"/>
        <v>2172.8651213769413</v>
      </c>
      <c r="Y99" s="632">
        <f t="shared" si="31"/>
        <v>2216.32242380448</v>
      </c>
      <c r="Z99" s="632">
        <f t="shared" si="31"/>
        <v>2260.6488722805698</v>
      </c>
      <c r="AA99" s="632">
        <f t="shared" si="31"/>
        <v>2305.8618497261814</v>
      </c>
      <c r="AB99" s="633">
        <f t="shared" si="31"/>
        <v>2351.9790867207053</v>
      </c>
    </row>
    <row r="100" spans="2:28" ht="16.5" thickBot="1" x14ac:dyDescent="0.3">
      <c r="B100" s="562" t="s">
        <v>10</v>
      </c>
      <c r="C100" s="9"/>
      <c r="D100" s="9"/>
      <c r="E100" s="602">
        <f t="shared" si="30"/>
        <v>0</v>
      </c>
      <c r="F100" s="602">
        <f t="shared" si="28"/>
        <v>0</v>
      </c>
      <c r="G100" s="602">
        <f t="shared" si="28"/>
        <v>0</v>
      </c>
      <c r="H100" s="602">
        <f t="shared" si="28"/>
        <v>0</v>
      </c>
      <c r="I100" s="602">
        <f t="shared" si="28"/>
        <v>0</v>
      </c>
      <c r="J100" s="602">
        <f t="shared" si="28"/>
        <v>0</v>
      </c>
      <c r="K100" s="602">
        <f t="shared" si="28"/>
        <v>0</v>
      </c>
      <c r="L100" s="602">
        <f t="shared" si="28"/>
        <v>0</v>
      </c>
      <c r="M100" s="602">
        <f t="shared" si="28"/>
        <v>0</v>
      </c>
      <c r="N100" s="602">
        <f t="shared" si="28"/>
        <v>4568.2183039751189</v>
      </c>
      <c r="P100" s="562" t="s">
        <v>10</v>
      </c>
      <c r="Q100" s="598"/>
      <c r="R100" s="598"/>
      <c r="S100" s="598">
        <v>1508.5572753096285</v>
      </c>
      <c r="T100" s="632">
        <f t="shared" si="31"/>
        <v>1538.728420815821</v>
      </c>
      <c r="U100" s="632">
        <f t="shared" si="31"/>
        <v>1569.5029892321375</v>
      </c>
      <c r="V100" s="632">
        <f t="shared" si="31"/>
        <v>1600.8930490167802</v>
      </c>
      <c r="W100" s="632">
        <f t="shared" si="31"/>
        <v>1632.9109099971158</v>
      </c>
      <c r="X100" s="632">
        <f t="shared" si="31"/>
        <v>1665.5691281970583</v>
      </c>
      <c r="Y100" s="632">
        <f t="shared" si="31"/>
        <v>1698.8805107609994</v>
      </c>
      <c r="Z100" s="632">
        <f t="shared" si="31"/>
        <v>1732.8581209762194</v>
      </c>
      <c r="AA100" s="632">
        <f t="shared" si="31"/>
        <v>1767.5152833957438</v>
      </c>
      <c r="AB100" s="633">
        <f t="shared" si="31"/>
        <v>1802.8655890636587</v>
      </c>
    </row>
    <row r="101" spans="2:28" ht="16.5" thickBot="1" x14ac:dyDescent="0.3">
      <c r="B101" s="562" t="s">
        <v>11</v>
      </c>
      <c r="C101" s="9"/>
      <c r="D101" s="9"/>
      <c r="E101" s="602">
        <f t="shared" si="30"/>
        <v>0</v>
      </c>
      <c r="F101" s="602">
        <f t="shared" si="28"/>
        <v>0</v>
      </c>
      <c r="G101" s="602">
        <f t="shared" si="28"/>
        <v>0</v>
      </c>
      <c r="H101" s="602">
        <f t="shared" si="28"/>
        <v>0</v>
      </c>
      <c r="I101" s="602">
        <f t="shared" si="28"/>
        <v>22661.064439430156</v>
      </c>
      <c r="J101" s="602">
        <f t="shared" si="28"/>
        <v>7368.0405791179455</v>
      </c>
      <c r="K101" s="602">
        <f t="shared" si="28"/>
        <v>0</v>
      </c>
      <c r="L101" s="602">
        <f t="shared" si="28"/>
        <v>4999.4792028990287</v>
      </c>
      <c r="M101" s="602">
        <f t="shared" si="28"/>
        <v>0</v>
      </c>
      <c r="N101" s="602">
        <f t="shared" si="28"/>
        <v>0</v>
      </c>
      <c r="P101" s="562" t="s">
        <v>11</v>
      </c>
      <c r="Q101" s="598"/>
      <c r="R101" s="598"/>
      <c r="S101" s="598">
        <v>2127.6305522109728</v>
      </c>
      <c r="T101" s="632">
        <f t="shared" si="31"/>
        <v>2170.1831632551925</v>
      </c>
      <c r="U101" s="632">
        <f t="shared" si="31"/>
        <v>2213.5868265202967</v>
      </c>
      <c r="V101" s="632">
        <f t="shared" si="31"/>
        <v>2257.8585630507027</v>
      </c>
      <c r="W101" s="632">
        <f t="shared" si="31"/>
        <v>2303.0157343117166</v>
      </c>
      <c r="X101" s="632">
        <f t="shared" si="31"/>
        <v>2349.0760489979511</v>
      </c>
      <c r="Y101" s="632">
        <f t="shared" si="31"/>
        <v>2396.0575699779101</v>
      </c>
      <c r="Z101" s="632">
        <f t="shared" si="31"/>
        <v>2443.9787213774684</v>
      </c>
      <c r="AA101" s="632">
        <f t="shared" si="31"/>
        <v>2492.8582958050179</v>
      </c>
      <c r="AB101" s="633">
        <f t="shared" si="31"/>
        <v>2542.7154617211181</v>
      </c>
    </row>
    <row r="102" spans="2:28" ht="16.5" thickBot="1" x14ac:dyDescent="0.3">
      <c r="B102" s="562" t="s">
        <v>12</v>
      </c>
      <c r="C102" s="9"/>
      <c r="D102" s="9"/>
      <c r="E102" s="602">
        <f t="shared" si="30"/>
        <v>7027.6125044658975</v>
      </c>
      <c r="F102" s="602">
        <f t="shared" si="28"/>
        <v>0</v>
      </c>
      <c r="G102" s="602">
        <f t="shared" si="28"/>
        <v>0</v>
      </c>
      <c r="H102" s="602">
        <f t="shared" si="28"/>
        <v>10591.867762633021</v>
      </c>
      <c r="I102" s="602">
        <f t="shared" si="28"/>
        <v>19793.128169200008</v>
      </c>
      <c r="J102" s="602">
        <f t="shared" si="28"/>
        <v>23573.892957564254</v>
      </c>
      <c r="K102" s="602">
        <f t="shared" si="28"/>
        <v>0</v>
      </c>
      <c r="L102" s="602">
        <f t="shared" si="28"/>
        <v>30777.70995887191</v>
      </c>
      <c r="M102" s="602">
        <f t="shared" si="28"/>
        <v>12173.40526835719</v>
      </c>
      <c r="N102" s="602">
        <f t="shared" si="28"/>
        <v>6858.7623188636853</v>
      </c>
      <c r="P102" s="562" t="s">
        <v>12</v>
      </c>
      <c r="Q102" s="598"/>
      <c r="R102" s="598"/>
      <c r="S102" s="598">
        <v>3452.7594040152517</v>
      </c>
      <c r="T102" s="632">
        <f t="shared" si="31"/>
        <v>3521.8145920955567</v>
      </c>
      <c r="U102" s="632">
        <f t="shared" si="31"/>
        <v>3592.2508839374677</v>
      </c>
      <c r="V102" s="632">
        <f t="shared" si="31"/>
        <v>3664.0959016162174</v>
      </c>
      <c r="W102" s="632">
        <f t="shared" si="31"/>
        <v>3737.3778196485418</v>
      </c>
      <c r="X102" s="632">
        <f t="shared" si="31"/>
        <v>3812.1253760415129</v>
      </c>
      <c r="Y102" s="632">
        <f t="shared" si="31"/>
        <v>3888.3678835623432</v>
      </c>
      <c r="Z102" s="632">
        <f t="shared" si="31"/>
        <v>3966.13524123359</v>
      </c>
      <c r="AA102" s="632">
        <f t="shared" si="31"/>
        <v>4045.4579460582618</v>
      </c>
      <c r="AB102" s="633">
        <f t="shared" si="31"/>
        <v>4126.3671049794275</v>
      </c>
    </row>
    <row r="103" spans="2:28" ht="16.5" thickBot="1" x14ac:dyDescent="0.3">
      <c r="B103" s="562" t="s">
        <v>13</v>
      </c>
      <c r="C103" s="9"/>
      <c r="D103" s="9"/>
      <c r="E103" s="602">
        <f t="shared" si="30"/>
        <v>0</v>
      </c>
      <c r="F103" s="602">
        <f t="shared" si="28"/>
        <v>0</v>
      </c>
      <c r="G103" s="602">
        <f t="shared" si="28"/>
        <v>0</v>
      </c>
      <c r="H103" s="602">
        <f t="shared" si="28"/>
        <v>0</v>
      </c>
      <c r="I103" s="602">
        <f t="shared" si="28"/>
        <v>0</v>
      </c>
      <c r="J103" s="602">
        <f t="shared" si="28"/>
        <v>1311.5130267072632</v>
      </c>
      <c r="K103" s="602">
        <f t="shared" si="28"/>
        <v>24479.159328081034</v>
      </c>
      <c r="L103" s="602">
        <f t="shared" si="28"/>
        <v>20856.566300810522</v>
      </c>
      <c r="M103" s="602">
        <f t="shared" si="28"/>
        <v>48.783568393740914</v>
      </c>
      <c r="N103" s="602">
        <f t="shared" si="28"/>
        <v>0</v>
      </c>
      <c r="P103" s="562" t="s">
        <v>13</v>
      </c>
      <c r="Q103" s="598"/>
      <c r="R103" s="598"/>
      <c r="S103" s="598">
        <v>1690.7435549288216</v>
      </c>
      <c r="T103" s="632">
        <f t="shared" si="31"/>
        <v>1724.5584260273981</v>
      </c>
      <c r="U103" s="632">
        <f t="shared" si="31"/>
        <v>1759.0495945479461</v>
      </c>
      <c r="V103" s="632">
        <f t="shared" si="31"/>
        <v>1794.230586438905</v>
      </c>
      <c r="W103" s="632">
        <f t="shared" si="31"/>
        <v>1830.115198167683</v>
      </c>
      <c r="X103" s="632">
        <f t="shared" si="31"/>
        <v>1866.7175021310368</v>
      </c>
      <c r="Y103" s="632">
        <f t="shared" si="31"/>
        <v>1904.0518521736576</v>
      </c>
      <c r="Z103" s="632">
        <f t="shared" si="31"/>
        <v>1942.1328892171307</v>
      </c>
      <c r="AA103" s="632">
        <f t="shared" si="31"/>
        <v>1980.9755470014734</v>
      </c>
      <c r="AB103" s="633">
        <f t="shared" si="31"/>
        <v>2020.595057941503</v>
      </c>
    </row>
    <row r="104" spans="2:28" ht="16.5" thickBot="1" x14ac:dyDescent="0.3">
      <c r="B104" s="562" t="s">
        <v>14</v>
      </c>
      <c r="C104" s="9"/>
      <c r="D104" s="9"/>
      <c r="E104" s="602">
        <f t="shared" si="30"/>
        <v>127456.92053061633</v>
      </c>
      <c r="F104" s="602">
        <f t="shared" si="28"/>
        <v>113670.31680259033</v>
      </c>
      <c r="G104" s="602">
        <f t="shared" si="28"/>
        <v>156991.26625858987</v>
      </c>
      <c r="H104" s="602">
        <f t="shared" si="28"/>
        <v>116520.45087787398</v>
      </c>
      <c r="I104" s="602">
        <f t="shared" si="28"/>
        <v>121293.27909173566</v>
      </c>
      <c r="J104" s="602">
        <f t="shared" si="28"/>
        <v>97622.167561631359</v>
      </c>
      <c r="K104" s="602">
        <f t="shared" si="28"/>
        <v>103011.64803758435</v>
      </c>
      <c r="L104" s="602">
        <f t="shared" si="28"/>
        <v>99806.502084319465</v>
      </c>
      <c r="M104" s="602">
        <f t="shared" si="28"/>
        <v>104300.30162706671</v>
      </c>
      <c r="N104" s="602">
        <f t="shared" si="28"/>
        <v>76984.606256294544</v>
      </c>
      <c r="P104" s="562" t="s">
        <v>14</v>
      </c>
      <c r="Q104" s="598"/>
      <c r="R104" s="598"/>
      <c r="S104" s="598">
        <v>900.25238208271128</v>
      </c>
      <c r="T104" s="632">
        <f t="shared" si="31"/>
        <v>918.25742972436547</v>
      </c>
      <c r="U104" s="632">
        <f t="shared" si="31"/>
        <v>936.62257831885279</v>
      </c>
      <c r="V104" s="632">
        <f t="shared" si="31"/>
        <v>955.3550298852299</v>
      </c>
      <c r="W104" s="632">
        <f t="shared" si="31"/>
        <v>974.46213048293453</v>
      </c>
      <c r="X104" s="632">
        <f t="shared" si="31"/>
        <v>993.95137309259326</v>
      </c>
      <c r="Y104" s="632">
        <f t="shared" si="31"/>
        <v>1013.8304005544452</v>
      </c>
      <c r="Z104" s="632">
        <f t="shared" si="31"/>
        <v>1034.1070085655342</v>
      </c>
      <c r="AA104" s="632">
        <f t="shared" si="31"/>
        <v>1054.7891487368449</v>
      </c>
      <c r="AB104" s="633">
        <f t="shared" si="31"/>
        <v>1075.8849317115819</v>
      </c>
    </row>
    <row r="105" spans="2:28" ht="16.5" thickBot="1" x14ac:dyDescent="0.3">
      <c r="B105" s="562" t="s">
        <v>15</v>
      </c>
      <c r="C105" s="9"/>
      <c r="D105" s="9"/>
      <c r="E105" s="602">
        <f t="shared" si="30"/>
        <v>0</v>
      </c>
      <c r="F105" s="602">
        <f t="shared" si="28"/>
        <v>0</v>
      </c>
      <c r="G105" s="602">
        <f t="shared" si="28"/>
        <v>0</v>
      </c>
      <c r="H105" s="602">
        <f t="shared" si="28"/>
        <v>0</v>
      </c>
      <c r="I105" s="602">
        <f t="shared" si="28"/>
        <v>0</v>
      </c>
      <c r="J105" s="602">
        <f t="shared" si="28"/>
        <v>3897.9652592284688</v>
      </c>
      <c r="K105" s="602">
        <f t="shared" si="28"/>
        <v>0</v>
      </c>
      <c r="L105" s="602">
        <f t="shared" si="28"/>
        <v>0</v>
      </c>
      <c r="M105" s="602">
        <f t="shared" si="28"/>
        <v>0</v>
      </c>
      <c r="N105" s="602">
        <f t="shared" si="28"/>
        <v>0</v>
      </c>
      <c r="P105" s="562" t="s">
        <v>15</v>
      </c>
      <c r="Q105" s="598"/>
      <c r="R105" s="598"/>
      <c r="S105" s="598">
        <v>2082.1062270036737</v>
      </c>
      <c r="T105" s="632">
        <f t="shared" si="31"/>
        <v>2123.748351543747</v>
      </c>
      <c r="U105" s="632">
        <f t="shared" si="31"/>
        <v>2166.2233185746222</v>
      </c>
      <c r="V105" s="632">
        <f t="shared" si="31"/>
        <v>2209.5477849461149</v>
      </c>
      <c r="W105" s="632">
        <f t="shared" si="31"/>
        <v>2253.7387406450371</v>
      </c>
      <c r="X105" s="632">
        <f t="shared" si="31"/>
        <v>2298.8135154579377</v>
      </c>
      <c r="Y105" s="632">
        <f t="shared" si="31"/>
        <v>2344.7897857670964</v>
      </c>
      <c r="Z105" s="632">
        <f t="shared" si="31"/>
        <v>2391.6855814824385</v>
      </c>
      <c r="AA105" s="632">
        <f t="shared" si="31"/>
        <v>2439.5192931120873</v>
      </c>
      <c r="AB105" s="633">
        <f t="shared" si="31"/>
        <v>2488.309678974329</v>
      </c>
    </row>
    <row r="106" spans="2:28" ht="16.5" thickBot="1" x14ac:dyDescent="0.3">
      <c r="B106" s="562" t="s">
        <v>16</v>
      </c>
      <c r="C106" s="9"/>
      <c r="D106" s="9"/>
      <c r="E106" s="602">
        <f t="shared" si="30"/>
        <v>0</v>
      </c>
      <c r="F106" s="602">
        <f t="shared" si="28"/>
        <v>15537.386312947952</v>
      </c>
      <c r="G106" s="602">
        <f t="shared" si="28"/>
        <v>0</v>
      </c>
      <c r="H106" s="602">
        <f t="shared" si="28"/>
        <v>0</v>
      </c>
      <c r="I106" s="602">
        <f t="shared" si="28"/>
        <v>0</v>
      </c>
      <c r="J106" s="602">
        <f t="shared" si="28"/>
        <v>0</v>
      </c>
      <c r="K106" s="602">
        <f t="shared" si="28"/>
        <v>5744.6436988240603</v>
      </c>
      <c r="L106" s="602">
        <f t="shared" si="28"/>
        <v>0</v>
      </c>
      <c r="M106" s="602">
        <f t="shared" si="28"/>
        <v>0</v>
      </c>
      <c r="N106" s="602">
        <f t="shared" si="28"/>
        <v>0</v>
      </c>
      <c r="P106" s="562" t="s">
        <v>16</v>
      </c>
      <c r="Q106" s="598"/>
      <c r="R106" s="598"/>
      <c r="S106" s="598">
        <v>2529.9123506814367</v>
      </c>
      <c r="T106" s="632">
        <f t="shared" si="31"/>
        <v>2580.5105976950654</v>
      </c>
      <c r="U106" s="632">
        <f t="shared" si="31"/>
        <v>2632.1208096489668</v>
      </c>
      <c r="V106" s="632">
        <f t="shared" si="31"/>
        <v>2684.7632258419462</v>
      </c>
      <c r="W106" s="632">
        <f t="shared" si="31"/>
        <v>2738.4584903587852</v>
      </c>
      <c r="X106" s="632">
        <f t="shared" si="31"/>
        <v>2793.227660165961</v>
      </c>
      <c r="Y106" s="632">
        <f t="shared" si="31"/>
        <v>2849.0922133692802</v>
      </c>
      <c r="Z106" s="632">
        <f t="shared" si="31"/>
        <v>2906.0740576366657</v>
      </c>
      <c r="AA106" s="632">
        <f t="shared" si="31"/>
        <v>2964.1955387893991</v>
      </c>
      <c r="AB106" s="633">
        <f t="shared" si="31"/>
        <v>3023.4794495651872</v>
      </c>
    </row>
    <row r="107" spans="2:28" ht="16.5" thickBot="1" x14ac:dyDescent="0.3">
      <c r="B107" s="562" t="s">
        <v>17</v>
      </c>
      <c r="C107" s="9"/>
      <c r="D107" s="9"/>
      <c r="E107" s="602">
        <f t="shared" si="30"/>
        <v>47128.533005559832</v>
      </c>
      <c r="F107" s="602">
        <f t="shared" si="28"/>
        <v>52847.095471110486</v>
      </c>
      <c r="G107" s="602">
        <f t="shared" si="28"/>
        <v>1919.2903939665639</v>
      </c>
      <c r="H107" s="602">
        <f t="shared" si="28"/>
        <v>5646.2014727081814</v>
      </c>
      <c r="I107" s="602">
        <f t="shared" si="28"/>
        <v>0</v>
      </c>
      <c r="J107" s="602">
        <f t="shared" si="28"/>
        <v>0</v>
      </c>
      <c r="K107" s="602">
        <f t="shared" si="28"/>
        <v>8609.5121078121556</v>
      </c>
      <c r="L107" s="602">
        <f t="shared" si="28"/>
        <v>7347.2545703938695</v>
      </c>
      <c r="M107" s="602">
        <f t="shared" si="28"/>
        <v>0</v>
      </c>
      <c r="N107" s="602">
        <f t="shared" si="28"/>
        <v>12498.279417755142</v>
      </c>
      <c r="P107" s="562" t="s">
        <v>17</v>
      </c>
      <c r="Q107" s="598"/>
      <c r="R107" s="598"/>
      <c r="S107" s="598">
        <v>1199.0646312672754</v>
      </c>
      <c r="T107" s="632">
        <f t="shared" si="31"/>
        <v>1223.045923892621</v>
      </c>
      <c r="U107" s="632">
        <f t="shared" si="31"/>
        <v>1247.5068423704734</v>
      </c>
      <c r="V107" s="632">
        <f t="shared" si="31"/>
        <v>1272.4569792178829</v>
      </c>
      <c r="W107" s="632">
        <f t="shared" si="31"/>
        <v>1297.9061188022406</v>
      </c>
      <c r="X107" s="632">
        <f t="shared" si="31"/>
        <v>1323.8642411782855</v>
      </c>
      <c r="Y107" s="632">
        <f t="shared" si="31"/>
        <v>1350.3415260018512</v>
      </c>
      <c r="Z107" s="632">
        <f t="shared" si="31"/>
        <v>1377.3483565218883</v>
      </c>
      <c r="AA107" s="632">
        <f t="shared" si="31"/>
        <v>1404.8953236523259</v>
      </c>
      <c r="AB107" s="633">
        <f t="shared" si="31"/>
        <v>1432.9932301253725</v>
      </c>
    </row>
    <row r="108" spans="2:28" ht="16.5" thickBot="1" x14ac:dyDescent="0.3">
      <c r="B108" s="562" t="s">
        <v>18</v>
      </c>
      <c r="C108" s="9"/>
      <c r="D108" s="9"/>
      <c r="E108" s="602">
        <f t="shared" si="30"/>
        <v>573.05348244059553</v>
      </c>
      <c r="F108" s="602">
        <f t="shared" si="28"/>
        <v>41111.595928994342</v>
      </c>
      <c r="G108" s="602">
        <f t="shared" si="28"/>
        <v>985.24178075975442</v>
      </c>
      <c r="H108" s="602">
        <f t="shared" si="28"/>
        <v>0</v>
      </c>
      <c r="I108" s="602">
        <f t="shared" si="28"/>
        <v>0</v>
      </c>
      <c r="J108" s="602">
        <f t="shared" si="28"/>
        <v>0</v>
      </c>
      <c r="K108" s="602">
        <f t="shared" si="28"/>
        <v>16801.742330019828</v>
      </c>
      <c r="L108" s="602">
        <f t="shared" si="28"/>
        <v>10450.399547703641</v>
      </c>
      <c r="M108" s="602">
        <f t="shared" si="28"/>
        <v>0</v>
      </c>
      <c r="N108" s="602">
        <f t="shared" si="28"/>
        <v>3432.8054072622572</v>
      </c>
      <c r="P108" s="562" t="s">
        <v>18</v>
      </c>
      <c r="Q108" s="598"/>
      <c r="R108" s="598"/>
      <c r="S108" s="598">
        <v>1548.2053764790289</v>
      </c>
      <c r="T108" s="632">
        <f t="shared" si="31"/>
        <v>1579.1694840086095</v>
      </c>
      <c r="U108" s="632">
        <f t="shared" si="31"/>
        <v>1610.7528736887818</v>
      </c>
      <c r="V108" s="632">
        <f t="shared" si="31"/>
        <v>1642.9679311625575</v>
      </c>
      <c r="W108" s="632">
        <f t="shared" si="31"/>
        <v>1675.8272897858087</v>
      </c>
      <c r="X108" s="632">
        <f t="shared" si="31"/>
        <v>1709.3438355815249</v>
      </c>
      <c r="Y108" s="632">
        <f t="shared" si="31"/>
        <v>1743.5307122931554</v>
      </c>
      <c r="Z108" s="632">
        <f t="shared" si="31"/>
        <v>1778.4013265390186</v>
      </c>
      <c r="AA108" s="632">
        <f t="shared" si="31"/>
        <v>1813.9693530697989</v>
      </c>
      <c r="AB108" s="633">
        <f t="shared" si="31"/>
        <v>1850.2487401311948</v>
      </c>
    </row>
    <row r="109" spans="2:28" ht="16.5" thickBot="1" x14ac:dyDescent="0.3">
      <c r="B109" s="562" t="s">
        <v>19</v>
      </c>
      <c r="C109" s="9"/>
      <c r="D109" s="9"/>
      <c r="E109" s="602">
        <f t="shared" si="30"/>
        <v>0</v>
      </c>
      <c r="F109" s="602">
        <f t="shared" si="28"/>
        <v>0</v>
      </c>
      <c r="G109" s="602">
        <f t="shared" si="28"/>
        <v>0</v>
      </c>
      <c r="H109" s="602">
        <f t="shared" si="28"/>
        <v>0</v>
      </c>
      <c r="I109" s="602">
        <f t="shared" si="28"/>
        <v>0</v>
      </c>
      <c r="J109" s="602">
        <f t="shared" si="28"/>
        <v>0</v>
      </c>
      <c r="K109" s="602">
        <f t="shared" si="28"/>
        <v>0</v>
      </c>
      <c r="L109" s="602">
        <f t="shared" si="28"/>
        <v>0</v>
      </c>
      <c r="M109" s="602">
        <f t="shared" si="28"/>
        <v>0</v>
      </c>
      <c r="N109" s="602">
        <f t="shared" si="28"/>
        <v>0</v>
      </c>
      <c r="P109" s="562" t="s">
        <v>19</v>
      </c>
      <c r="Q109" s="598"/>
      <c r="R109" s="598"/>
      <c r="S109" s="598">
        <v>1308.9233963726217</v>
      </c>
      <c r="T109" s="632">
        <f t="shared" si="31"/>
        <v>1335.1018643000741</v>
      </c>
      <c r="U109" s="632">
        <f t="shared" si="31"/>
        <v>1361.8039015860757</v>
      </c>
      <c r="V109" s="632">
        <f t="shared" si="31"/>
        <v>1389.0399796177971</v>
      </c>
      <c r="W109" s="632">
        <f t="shared" si="31"/>
        <v>1416.8207792101532</v>
      </c>
      <c r="X109" s="632">
        <f t="shared" si="31"/>
        <v>1445.1571947943562</v>
      </c>
      <c r="Y109" s="632">
        <f t="shared" si="31"/>
        <v>1474.0603386902433</v>
      </c>
      <c r="Z109" s="632">
        <f t="shared" si="31"/>
        <v>1503.5415454640481</v>
      </c>
      <c r="AA109" s="632">
        <f t="shared" si="31"/>
        <v>1533.6123763733292</v>
      </c>
      <c r="AB109" s="633">
        <f t="shared" si="31"/>
        <v>1564.2846239007959</v>
      </c>
    </row>
    <row r="110" spans="2:28" ht="16.5" thickBot="1" x14ac:dyDescent="0.3">
      <c r="B110" s="562" t="s">
        <v>20</v>
      </c>
      <c r="C110" s="9"/>
      <c r="D110" s="9"/>
      <c r="E110" s="602">
        <f t="shared" si="30"/>
        <v>0</v>
      </c>
      <c r="F110" s="602">
        <f t="shared" si="28"/>
        <v>0</v>
      </c>
      <c r="G110" s="602">
        <f t="shared" si="28"/>
        <v>0</v>
      </c>
      <c r="H110" s="602">
        <f t="shared" si="28"/>
        <v>0</v>
      </c>
      <c r="I110" s="602">
        <f t="shared" si="28"/>
        <v>0</v>
      </c>
      <c r="J110" s="602">
        <f t="shared" si="28"/>
        <v>0</v>
      </c>
      <c r="K110" s="602">
        <f t="shared" si="28"/>
        <v>0</v>
      </c>
      <c r="L110" s="602">
        <f t="shared" si="28"/>
        <v>0</v>
      </c>
      <c r="M110" s="602">
        <f t="shared" si="28"/>
        <v>0</v>
      </c>
      <c r="N110" s="602">
        <f t="shared" si="28"/>
        <v>0</v>
      </c>
      <c r="P110" s="562" t="s">
        <v>20</v>
      </c>
      <c r="Q110" s="598"/>
      <c r="R110" s="598"/>
      <c r="S110" s="598">
        <v>2119.8573900659921</v>
      </c>
      <c r="T110" s="632">
        <f t="shared" si="31"/>
        <v>2162.2545378673121</v>
      </c>
      <c r="U110" s="632">
        <f t="shared" si="31"/>
        <v>2205.4996286246583</v>
      </c>
      <c r="V110" s="632">
        <f t="shared" si="31"/>
        <v>2249.6096211971517</v>
      </c>
      <c r="W110" s="632">
        <f t="shared" si="31"/>
        <v>2294.6018136210946</v>
      </c>
      <c r="X110" s="632">
        <f t="shared" si="31"/>
        <v>2340.4938498935167</v>
      </c>
      <c r="Y110" s="632">
        <f t="shared" si="31"/>
        <v>2387.3037268913872</v>
      </c>
      <c r="Z110" s="632">
        <f t="shared" si="31"/>
        <v>2435.0498014292152</v>
      </c>
      <c r="AA110" s="632">
        <f t="shared" si="31"/>
        <v>2483.7507974577998</v>
      </c>
      <c r="AB110" s="633">
        <f t="shared" si="31"/>
        <v>2533.425813406956</v>
      </c>
    </row>
    <row r="111" spans="2:28" ht="16.5" thickBot="1" x14ac:dyDescent="0.3">
      <c r="B111" s="562" t="s">
        <v>21</v>
      </c>
      <c r="C111" s="9"/>
      <c r="D111" s="9"/>
      <c r="E111" s="602">
        <f t="shared" si="30"/>
        <v>0</v>
      </c>
      <c r="F111" s="602">
        <f t="shared" si="28"/>
        <v>0</v>
      </c>
      <c r="G111" s="602">
        <f t="shared" si="28"/>
        <v>0</v>
      </c>
      <c r="H111" s="602">
        <f t="shared" si="28"/>
        <v>0</v>
      </c>
      <c r="I111" s="602">
        <f t="shared" si="28"/>
        <v>0</v>
      </c>
      <c r="J111" s="602">
        <f t="shared" si="28"/>
        <v>3186.6965007013528</v>
      </c>
      <c r="K111" s="602">
        <f t="shared" si="28"/>
        <v>0</v>
      </c>
      <c r="L111" s="602">
        <f t="shared" si="28"/>
        <v>0</v>
      </c>
      <c r="M111" s="602">
        <f t="shared" si="28"/>
        <v>0</v>
      </c>
      <c r="N111" s="602">
        <f t="shared" si="28"/>
        <v>0</v>
      </c>
      <c r="P111" s="562" t="s">
        <v>21</v>
      </c>
      <c r="Q111" s="598"/>
      <c r="R111" s="598"/>
      <c r="S111" s="598">
        <v>2176.6733606952898</v>
      </c>
      <c r="T111" s="632">
        <f t="shared" si="31"/>
        <v>2220.2068279091955</v>
      </c>
      <c r="U111" s="632">
        <f t="shared" si="31"/>
        <v>2264.6109644673793</v>
      </c>
      <c r="V111" s="632">
        <f t="shared" si="31"/>
        <v>2309.9031837567268</v>
      </c>
      <c r="W111" s="632">
        <f t="shared" si="31"/>
        <v>2356.1012474318613</v>
      </c>
      <c r="X111" s="632">
        <f t="shared" si="31"/>
        <v>2403.2232723804987</v>
      </c>
      <c r="Y111" s="632">
        <f t="shared" si="31"/>
        <v>2451.2877378281087</v>
      </c>
      <c r="Z111" s="632">
        <f t="shared" si="31"/>
        <v>2500.3134925846707</v>
      </c>
      <c r="AA111" s="632">
        <f t="shared" si="31"/>
        <v>2550.3197624363643</v>
      </c>
      <c r="AB111" s="633">
        <f t="shared" si="31"/>
        <v>2601.3261576850914</v>
      </c>
    </row>
    <row r="112" spans="2:28" ht="16.5" thickBot="1" x14ac:dyDescent="0.3">
      <c r="B112" s="562" t="s">
        <v>22</v>
      </c>
      <c r="C112" s="9"/>
      <c r="D112" s="9"/>
      <c r="E112" s="602">
        <f t="shared" si="30"/>
        <v>0</v>
      </c>
      <c r="F112" s="602">
        <f t="shared" si="28"/>
        <v>35070.585396765331</v>
      </c>
      <c r="G112" s="602">
        <f t="shared" si="28"/>
        <v>967.97037479120127</v>
      </c>
      <c r="H112" s="602">
        <f t="shared" si="28"/>
        <v>0</v>
      </c>
      <c r="I112" s="602">
        <f t="shared" si="28"/>
        <v>3934.732543548565</v>
      </c>
      <c r="J112" s="602">
        <f t="shared" si="28"/>
        <v>0</v>
      </c>
      <c r="K112" s="602">
        <f t="shared" si="28"/>
        <v>0</v>
      </c>
      <c r="L112" s="602">
        <f t="shared" si="28"/>
        <v>0</v>
      </c>
      <c r="M112" s="602">
        <f t="shared" si="28"/>
        <v>11111.693179657652</v>
      </c>
      <c r="N112" s="602">
        <f t="shared" si="28"/>
        <v>18019.00499122102</v>
      </c>
      <c r="P112" s="562" t="s">
        <v>22</v>
      </c>
      <c r="Q112" s="598"/>
      <c r="R112" s="598"/>
      <c r="S112" s="599">
        <v>2652.7109972703097</v>
      </c>
      <c r="T112" s="632">
        <f t="shared" si="31"/>
        <v>2705.7652172157159</v>
      </c>
      <c r="U112" s="632">
        <f t="shared" si="31"/>
        <v>2759.88052156003</v>
      </c>
      <c r="V112" s="632">
        <f t="shared" si="31"/>
        <v>2815.0781319912307</v>
      </c>
      <c r="W112" s="632">
        <f t="shared" si="31"/>
        <v>2871.3796946310554</v>
      </c>
      <c r="X112" s="632">
        <f t="shared" si="31"/>
        <v>2928.8072885236766</v>
      </c>
      <c r="Y112" s="632">
        <f t="shared" si="31"/>
        <v>2987.38343429415</v>
      </c>
      <c r="Z112" s="632">
        <f t="shared" si="31"/>
        <v>3047.1311029800331</v>
      </c>
      <c r="AA112" s="632">
        <f t="shared" si="31"/>
        <v>3108.0737250396337</v>
      </c>
      <c r="AB112" s="633">
        <f t="shared" si="31"/>
        <v>3170.2351995404265</v>
      </c>
    </row>
    <row r="113" spans="2:28" ht="16.5" thickBot="1" x14ac:dyDescent="0.3">
      <c r="B113" s="593" t="s">
        <v>23</v>
      </c>
      <c r="C113" s="424"/>
      <c r="D113" s="424"/>
      <c r="E113" s="602">
        <f t="shared" si="30"/>
        <v>13775.051401763694</v>
      </c>
      <c r="F113" s="602">
        <f t="shared" si="28"/>
        <v>0</v>
      </c>
      <c r="G113" s="602">
        <f t="shared" si="28"/>
        <v>0</v>
      </c>
      <c r="H113" s="602">
        <f t="shared" si="28"/>
        <v>0</v>
      </c>
      <c r="I113" s="602">
        <f t="shared" si="28"/>
        <v>0</v>
      </c>
      <c r="J113" s="602">
        <f t="shared" si="28"/>
        <v>0</v>
      </c>
      <c r="K113" s="602">
        <f t="shared" si="28"/>
        <v>0</v>
      </c>
      <c r="L113" s="602">
        <f t="shared" si="28"/>
        <v>0</v>
      </c>
      <c r="M113" s="602">
        <f t="shared" si="28"/>
        <v>0</v>
      </c>
      <c r="N113" s="602">
        <f t="shared" si="28"/>
        <v>0</v>
      </c>
      <c r="P113" s="593" t="s">
        <v>23</v>
      </c>
      <c r="Q113" s="599"/>
      <c r="R113" s="599"/>
      <c r="S113" s="637">
        <v>664.9038867420843</v>
      </c>
      <c r="T113" s="635">
        <f t="shared" si="31"/>
        <v>678.20196447692604</v>
      </c>
      <c r="U113" s="635">
        <f t="shared" si="31"/>
        <v>691.76600376646456</v>
      </c>
      <c r="V113" s="635">
        <f t="shared" si="31"/>
        <v>705.60132384179383</v>
      </c>
      <c r="W113" s="635">
        <f t="shared" si="31"/>
        <v>719.71335031862975</v>
      </c>
      <c r="X113" s="635">
        <f t="shared" si="31"/>
        <v>734.10761732500237</v>
      </c>
      <c r="Y113" s="635">
        <f t="shared" si="31"/>
        <v>748.78976967150243</v>
      </c>
      <c r="Z113" s="635">
        <f t="shared" si="31"/>
        <v>763.7655650649325</v>
      </c>
      <c r="AA113" s="635">
        <f t="shared" si="31"/>
        <v>779.04087636623115</v>
      </c>
      <c r="AB113" s="636">
        <f t="shared" si="31"/>
        <v>794.62169389355574</v>
      </c>
    </row>
    <row r="114" spans="2:28" ht="19.5" thickBot="1" x14ac:dyDescent="0.35">
      <c r="B114" s="594" t="s">
        <v>24</v>
      </c>
      <c r="C114" s="421"/>
      <c r="D114" s="421"/>
      <c r="E114" s="619">
        <f>SUM(E98:E113)</f>
        <v>195961.17092484632</v>
      </c>
      <c r="F114" s="619">
        <f t="shared" ref="F114:N114" si="32">SUM(F98:F113)</f>
        <v>258236.97991240845</v>
      </c>
      <c r="G114" s="619">
        <f t="shared" si="32"/>
        <v>160863.76880810742</v>
      </c>
      <c r="H114" s="619">
        <f t="shared" si="32"/>
        <v>132758.52011321517</v>
      </c>
      <c r="I114" s="619">
        <f t="shared" si="32"/>
        <v>167682.2042439144</v>
      </c>
      <c r="J114" s="619">
        <f t="shared" si="32"/>
        <v>136960.27588495065</v>
      </c>
      <c r="K114" s="619">
        <f t="shared" si="32"/>
        <v>158646.70550232142</v>
      </c>
      <c r="L114" s="619">
        <f t="shared" si="32"/>
        <v>174237.91166499848</v>
      </c>
      <c r="M114" s="619">
        <f t="shared" si="32"/>
        <v>127634.18364347529</v>
      </c>
      <c r="N114" s="619">
        <f t="shared" si="32"/>
        <v>126495.56235758275</v>
      </c>
      <c r="P114" s="594" t="s">
        <v>24</v>
      </c>
      <c r="Q114" s="637"/>
      <c r="R114" s="637"/>
      <c r="S114" s="637"/>
      <c r="T114" s="638"/>
      <c r="U114" s="642"/>
      <c r="V114" s="638"/>
      <c r="W114" s="638"/>
      <c r="X114" s="638"/>
      <c r="Y114" s="638"/>
      <c r="Z114" s="638"/>
      <c r="AA114" s="638"/>
      <c r="AB114" s="639"/>
    </row>
    <row r="117" spans="2:28" ht="21" thickBot="1" x14ac:dyDescent="0.35">
      <c r="B117" s="785" t="s">
        <v>448</v>
      </c>
      <c r="C117" s="786"/>
      <c r="D117" s="786"/>
      <c r="E117" s="786"/>
      <c r="F117" s="787" t="s">
        <v>404</v>
      </c>
      <c r="G117" s="1028">
        <f>Kontrollpanel!K58</f>
        <v>150</v>
      </c>
      <c r="H117" s="786"/>
      <c r="I117" s="786"/>
      <c r="J117" s="786"/>
    </row>
    <row r="118" spans="2:28" ht="20.25" x14ac:dyDescent="0.3">
      <c r="B118" s="786" t="s">
        <v>509</v>
      </c>
      <c r="C118" s="786">
        <f>Kontrollpanel!G58</f>
        <v>0.1</v>
      </c>
      <c r="D118" s="786"/>
      <c r="E118" s="786"/>
      <c r="F118" s="787" t="s">
        <v>409</v>
      </c>
      <c r="G118" s="787">
        <f>Kontrollpanel!K59</f>
        <v>34</v>
      </c>
      <c r="H118" s="786" t="s">
        <v>510</v>
      </c>
      <c r="I118" s="786"/>
      <c r="J118" s="786"/>
      <c r="K118" s="1">
        <f>Kontrollpanel!G61</f>
        <v>0.1</v>
      </c>
    </row>
    <row r="119" spans="2:28" ht="20.25" x14ac:dyDescent="0.3">
      <c r="B119" s="788"/>
      <c r="C119" s="789"/>
      <c r="D119" s="789"/>
      <c r="E119" s="789"/>
      <c r="F119" s="789"/>
      <c r="G119" s="789"/>
      <c r="H119" s="789"/>
      <c r="I119" s="789"/>
      <c r="J119" s="789"/>
      <c r="K119" s="746"/>
      <c r="L119" s="746"/>
      <c r="M119" s="746"/>
      <c r="N119" s="747"/>
    </row>
    <row r="120" spans="2:28" ht="20.25" x14ac:dyDescent="0.3">
      <c r="B120" s="790" t="s">
        <v>405</v>
      </c>
      <c r="C120" s="791"/>
      <c r="D120" s="792"/>
      <c r="E120" s="793">
        <v>2013</v>
      </c>
      <c r="F120" s="791" t="s">
        <v>406</v>
      </c>
      <c r="G120" s="791"/>
      <c r="H120" s="791"/>
      <c r="I120" s="791"/>
      <c r="J120" s="791"/>
      <c r="K120" s="743"/>
      <c r="L120" s="743"/>
      <c r="M120" s="743"/>
      <c r="N120" s="744"/>
    </row>
    <row r="121" spans="2:28" ht="20.25" x14ac:dyDescent="0.3">
      <c r="B121" s="794" t="s">
        <v>8</v>
      </c>
      <c r="C121" s="795"/>
      <c r="D121" s="796"/>
      <c r="E121" s="797">
        <f>$G$117*$C$118</f>
        <v>15</v>
      </c>
      <c r="F121" s="798">
        <f>E121*C22</f>
        <v>7200</v>
      </c>
      <c r="G121" s="795"/>
      <c r="H121" s="795"/>
      <c r="I121" s="795"/>
      <c r="J121" s="795"/>
      <c r="K121" s="9"/>
      <c r="L121" s="9"/>
      <c r="M121" s="9"/>
      <c r="N121" s="11"/>
    </row>
    <row r="122" spans="2:28" ht="20.25" x14ac:dyDescent="0.3">
      <c r="B122" s="794" t="s">
        <v>9</v>
      </c>
      <c r="C122" s="795"/>
      <c r="D122" s="796"/>
      <c r="E122" s="797">
        <f t="shared" ref="E122:E136" si="33">$G$117*$C$118</f>
        <v>15</v>
      </c>
      <c r="F122" s="798">
        <f t="shared" ref="F122:F135" si="34">E122*C23</f>
        <v>14670</v>
      </c>
      <c r="G122" s="795"/>
      <c r="H122" s="795"/>
      <c r="I122" s="795"/>
      <c r="J122" s="795"/>
      <c r="K122" s="9"/>
      <c r="L122" s="9"/>
      <c r="M122" s="9"/>
      <c r="N122" s="11"/>
    </row>
    <row r="123" spans="2:28" ht="20.25" x14ac:dyDescent="0.3">
      <c r="B123" s="794" t="s">
        <v>10</v>
      </c>
      <c r="C123" s="795"/>
      <c r="D123" s="796"/>
      <c r="E123" s="797">
        <f t="shared" si="33"/>
        <v>15</v>
      </c>
      <c r="F123" s="798">
        <f t="shared" si="34"/>
        <v>37905</v>
      </c>
      <c r="G123" s="795"/>
      <c r="H123" s="795"/>
      <c r="I123" s="795"/>
      <c r="J123" s="795"/>
      <c r="K123" s="9"/>
      <c r="L123" s="9"/>
      <c r="M123" s="9"/>
      <c r="N123" s="11"/>
    </row>
    <row r="124" spans="2:28" ht="20.25" x14ac:dyDescent="0.3">
      <c r="B124" s="794" t="s">
        <v>11</v>
      </c>
      <c r="C124" s="795"/>
      <c r="D124" s="796"/>
      <c r="E124" s="797">
        <f t="shared" si="33"/>
        <v>15</v>
      </c>
      <c r="F124" s="798">
        <f t="shared" si="34"/>
        <v>8655</v>
      </c>
      <c r="G124" s="795"/>
      <c r="H124" s="795"/>
      <c r="I124" s="795"/>
      <c r="J124" s="795"/>
      <c r="K124" s="9"/>
      <c r="L124" s="9"/>
      <c r="M124" s="9"/>
      <c r="N124" s="11"/>
    </row>
    <row r="125" spans="2:28" ht="20.25" x14ac:dyDescent="0.3">
      <c r="B125" s="794" t="s">
        <v>12</v>
      </c>
      <c r="C125" s="795"/>
      <c r="D125" s="796"/>
      <c r="E125" s="797">
        <f t="shared" si="33"/>
        <v>15</v>
      </c>
      <c r="F125" s="798">
        <f t="shared" si="34"/>
        <v>7380</v>
      </c>
      <c r="G125" s="795"/>
      <c r="H125" s="795"/>
      <c r="I125" s="795"/>
      <c r="J125" s="795"/>
      <c r="K125" s="9"/>
      <c r="L125" s="9"/>
      <c r="M125" s="9"/>
      <c r="N125" s="11"/>
    </row>
    <row r="126" spans="2:28" ht="20.25" x14ac:dyDescent="0.3">
      <c r="B126" s="794" t="s">
        <v>13</v>
      </c>
      <c r="C126" s="795"/>
      <c r="D126" s="796"/>
      <c r="E126" s="797">
        <f t="shared" si="33"/>
        <v>15</v>
      </c>
      <c r="F126" s="798">
        <f t="shared" si="34"/>
        <v>22890</v>
      </c>
      <c r="G126" s="795"/>
      <c r="H126" s="795"/>
      <c r="I126" s="795"/>
      <c r="J126" s="795"/>
      <c r="K126" s="9"/>
      <c r="L126" s="9"/>
      <c r="M126" s="9"/>
      <c r="N126" s="11"/>
    </row>
    <row r="127" spans="2:28" ht="20.25" x14ac:dyDescent="0.3">
      <c r="B127" s="794" t="s">
        <v>14</v>
      </c>
      <c r="C127" s="795"/>
      <c r="D127" s="796"/>
      <c r="E127" s="797">
        <f t="shared" si="33"/>
        <v>15</v>
      </c>
      <c r="F127" s="798">
        <f t="shared" si="34"/>
        <v>63735</v>
      </c>
      <c r="G127" s="795"/>
      <c r="H127" s="795"/>
      <c r="I127" s="795"/>
      <c r="J127" s="795"/>
      <c r="K127" s="9"/>
      <c r="L127" s="9"/>
      <c r="M127" s="9"/>
      <c r="N127" s="11"/>
    </row>
    <row r="128" spans="2:28" ht="20.25" x14ac:dyDescent="0.3">
      <c r="B128" s="794" t="s">
        <v>15</v>
      </c>
      <c r="C128" s="795"/>
      <c r="D128" s="796"/>
      <c r="E128" s="797">
        <f t="shared" si="33"/>
        <v>15</v>
      </c>
      <c r="F128" s="798">
        <f t="shared" si="34"/>
        <v>5415</v>
      </c>
      <c r="G128" s="795"/>
      <c r="H128" s="795"/>
      <c r="I128" s="795"/>
      <c r="J128" s="795"/>
      <c r="K128" s="9"/>
      <c r="L128" s="9"/>
      <c r="M128" s="9"/>
      <c r="N128" s="11"/>
    </row>
    <row r="129" spans="1:14" ht="20.25" x14ac:dyDescent="0.3">
      <c r="B129" s="794" t="s">
        <v>16</v>
      </c>
      <c r="C129" s="795"/>
      <c r="D129" s="796"/>
      <c r="E129" s="797">
        <f t="shared" si="33"/>
        <v>15</v>
      </c>
      <c r="F129" s="798">
        <f t="shared" si="34"/>
        <v>3735</v>
      </c>
      <c r="G129" s="795"/>
      <c r="H129" s="795"/>
      <c r="I129" s="795"/>
      <c r="J129" s="795"/>
      <c r="K129" s="9"/>
      <c r="L129" s="9"/>
      <c r="M129" s="9"/>
      <c r="N129" s="11"/>
    </row>
    <row r="130" spans="1:14" ht="20.25" x14ac:dyDescent="0.3">
      <c r="B130" s="794" t="s">
        <v>17</v>
      </c>
      <c r="C130" s="795"/>
      <c r="D130" s="796"/>
      <c r="E130" s="797">
        <f t="shared" si="33"/>
        <v>15</v>
      </c>
      <c r="F130" s="798">
        <f t="shared" si="34"/>
        <v>27900</v>
      </c>
      <c r="G130" s="795"/>
      <c r="H130" s="795"/>
      <c r="I130" s="795"/>
      <c r="J130" s="795"/>
      <c r="K130" s="9"/>
      <c r="L130" s="9"/>
      <c r="M130" s="9"/>
      <c r="N130" s="11"/>
    </row>
    <row r="131" spans="1:14" ht="20.25" x14ac:dyDescent="0.3">
      <c r="B131" s="794" t="s">
        <v>18</v>
      </c>
      <c r="C131" s="795"/>
      <c r="D131" s="796"/>
      <c r="E131" s="797">
        <f t="shared" si="33"/>
        <v>15</v>
      </c>
      <c r="F131" s="798">
        <f t="shared" si="34"/>
        <v>5985</v>
      </c>
      <c r="G131" s="795"/>
      <c r="H131" s="795"/>
      <c r="I131" s="795"/>
      <c r="J131" s="795"/>
      <c r="K131" s="9"/>
      <c r="L131" s="9"/>
      <c r="M131" s="9"/>
      <c r="N131" s="11"/>
    </row>
    <row r="132" spans="1:14" ht="20.25" x14ac:dyDescent="0.3">
      <c r="B132" s="794" t="s">
        <v>19</v>
      </c>
      <c r="C132" s="795"/>
      <c r="D132" s="796"/>
      <c r="E132" s="797">
        <f t="shared" si="33"/>
        <v>15</v>
      </c>
      <c r="F132" s="798">
        <f t="shared" si="34"/>
        <v>27150</v>
      </c>
      <c r="G132" s="795"/>
      <c r="H132" s="795"/>
      <c r="I132" s="795"/>
      <c r="J132" s="795"/>
      <c r="K132" s="9"/>
      <c r="L132" s="9"/>
      <c r="M132" s="9"/>
      <c r="N132" s="11"/>
    </row>
    <row r="133" spans="1:14" ht="20.25" x14ac:dyDescent="0.3">
      <c r="B133" s="794" t="s">
        <v>20</v>
      </c>
      <c r="C133" s="795"/>
      <c r="D133" s="796"/>
      <c r="E133" s="797">
        <f t="shared" si="33"/>
        <v>15</v>
      </c>
      <c r="F133" s="798">
        <f t="shared" si="34"/>
        <v>1545</v>
      </c>
      <c r="G133" s="795"/>
      <c r="H133" s="795"/>
      <c r="I133" s="795"/>
      <c r="J133" s="795"/>
      <c r="K133" s="9"/>
      <c r="L133" s="9"/>
      <c r="M133" s="9"/>
      <c r="N133" s="11"/>
    </row>
    <row r="134" spans="1:14" ht="20.25" x14ac:dyDescent="0.3">
      <c r="B134" s="794" t="s">
        <v>21</v>
      </c>
      <c r="C134" s="795"/>
      <c r="D134" s="796"/>
      <c r="E134" s="797">
        <f t="shared" si="33"/>
        <v>15</v>
      </c>
      <c r="F134" s="798">
        <f t="shared" si="34"/>
        <v>15480</v>
      </c>
      <c r="G134" s="795"/>
      <c r="H134" s="795"/>
      <c r="I134" s="795"/>
      <c r="J134" s="795"/>
      <c r="K134" s="9"/>
      <c r="L134" s="9"/>
      <c r="M134" s="9"/>
      <c r="N134" s="11"/>
    </row>
    <row r="135" spans="1:14" ht="20.25" x14ac:dyDescent="0.3">
      <c r="B135" s="794" t="s">
        <v>22</v>
      </c>
      <c r="C135" s="795"/>
      <c r="D135" s="796"/>
      <c r="E135" s="797">
        <f t="shared" si="33"/>
        <v>15</v>
      </c>
      <c r="F135" s="798">
        <f t="shared" si="34"/>
        <v>6735</v>
      </c>
      <c r="G135" s="795"/>
      <c r="H135" s="795"/>
      <c r="I135" s="795"/>
      <c r="J135" s="795"/>
      <c r="K135" s="9"/>
      <c r="L135" s="9"/>
      <c r="M135" s="9"/>
      <c r="N135" s="11"/>
    </row>
    <row r="136" spans="1:14" ht="20.25" x14ac:dyDescent="0.3">
      <c r="B136" s="794" t="s">
        <v>23</v>
      </c>
      <c r="C136" s="795"/>
      <c r="D136" s="796"/>
      <c r="E136" s="797">
        <f t="shared" si="33"/>
        <v>15</v>
      </c>
      <c r="F136" s="798">
        <f>E136*C37</f>
        <v>168945</v>
      </c>
      <c r="G136" s="798">
        <f>G118*K118*C38</f>
        <v>96407.000000000015</v>
      </c>
      <c r="H136" s="795"/>
      <c r="I136" s="795"/>
      <c r="J136" s="795"/>
      <c r="K136" s="9"/>
      <c r="L136" s="9"/>
      <c r="M136" s="9"/>
      <c r="N136" s="11"/>
    </row>
    <row r="137" spans="1:14" ht="20.25" x14ac:dyDescent="0.3">
      <c r="B137" s="799" t="s">
        <v>24</v>
      </c>
      <c r="C137" s="800"/>
      <c r="D137" s="801"/>
      <c r="E137" s="802"/>
      <c r="F137" s="803">
        <f>SUM(F121:F136)</f>
        <v>425325</v>
      </c>
      <c r="G137" s="804">
        <f>SUM(F137+G136)</f>
        <v>521732</v>
      </c>
      <c r="H137" s="805"/>
      <c r="I137" s="805"/>
      <c r="J137" s="805"/>
      <c r="K137" s="292"/>
      <c r="L137" s="292"/>
      <c r="M137" s="292"/>
      <c r="N137" s="745"/>
    </row>
    <row r="140" spans="1:14" x14ac:dyDescent="0.2">
      <c r="A140" s="9"/>
      <c r="B140" s="9"/>
      <c r="C140" s="9"/>
      <c r="D140" s="9"/>
      <c r="E140" s="9"/>
      <c r="F140" s="9"/>
      <c r="G140" s="9"/>
      <c r="H140" s="9"/>
      <c r="I140" s="9"/>
    </row>
    <row r="141" spans="1:14" ht="20.25" x14ac:dyDescent="0.3">
      <c r="A141" s="9"/>
      <c r="B141" s="790" t="s">
        <v>405</v>
      </c>
      <c r="C141" s="1282"/>
      <c r="D141" s="795"/>
      <c r="E141" s="795"/>
      <c r="F141" s="795"/>
      <c r="G141" s="9"/>
      <c r="H141" s="9"/>
      <c r="I141" s="9"/>
    </row>
    <row r="142" spans="1:14" ht="20.25" x14ac:dyDescent="0.3">
      <c r="A142" s="9"/>
      <c r="B142" s="794" t="s">
        <v>8</v>
      </c>
      <c r="C142" s="1282">
        <v>46020.858796296299</v>
      </c>
      <c r="D142" s="795"/>
      <c r="E142" s="795"/>
      <c r="F142" s="795"/>
      <c r="G142" s="9"/>
      <c r="H142" s="9"/>
      <c r="I142" s="9"/>
    </row>
    <row r="143" spans="1:14" ht="20.25" x14ac:dyDescent="0.3">
      <c r="A143" s="9"/>
      <c r="B143" s="794" t="s">
        <v>9</v>
      </c>
      <c r="C143" s="1282">
        <v>73726.809730708483</v>
      </c>
      <c r="D143" s="795"/>
      <c r="E143" s="795"/>
      <c r="F143" s="795"/>
      <c r="G143" s="9"/>
      <c r="H143" s="9"/>
      <c r="I143" s="9"/>
    </row>
    <row r="144" spans="1:14" ht="20.25" x14ac:dyDescent="0.3">
      <c r="A144" s="9"/>
      <c r="B144" s="794" t="s">
        <v>10</v>
      </c>
      <c r="C144" s="1282">
        <v>69042.326166328567</v>
      </c>
      <c r="D144" s="795"/>
      <c r="E144" s="795"/>
      <c r="F144" s="795"/>
      <c r="G144" s="9"/>
      <c r="H144" s="9"/>
      <c r="I144" s="9"/>
    </row>
    <row r="145" spans="1:9" ht="20.25" x14ac:dyDescent="0.3">
      <c r="A145" s="9"/>
      <c r="B145" s="794" t="s">
        <v>11</v>
      </c>
      <c r="C145" s="1282">
        <v>55800.706698323193</v>
      </c>
      <c r="D145" s="795"/>
      <c r="E145" s="795"/>
      <c r="F145" s="795"/>
      <c r="G145" s="9"/>
      <c r="H145" s="9"/>
      <c r="I145" s="9"/>
    </row>
    <row r="146" spans="1:9" ht="20.25" x14ac:dyDescent="0.3">
      <c r="A146" s="9"/>
      <c r="B146" s="794" t="s">
        <v>12</v>
      </c>
      <c r="C146" s="1282">
        <v>45130.046241403848</v>
      </c>
      <c r="D146" s="795"/>
      <c r="E146" s="795"/>
      <c r="F146" s="795"/>
      <c r="G146" s="9"/>
      <c r="H146" s="9"/>
      <c r="I146" s="9"/>
    </row>
    <row r="147" spans="1:9" ht="20.25" x14ac:dyDescent="0.3">
      <c r="A147" s="9"/>
      <c r="B147" s="794" t="s">
        <v>13</v>
      </c>
      <c r="C147" s="1282">
        <v>104210.50932908728</v>
      </c>
      <c r="D147" s="795"/>
      <c r="E147" s="795"/>
      <c r="F147" s="795"/>
      <c r="G147" s="9"/>
      <c r="H147" s="9"/>
      <c r="I147" s="9"/>
    </row>
    <row r="148" spans="1:9" ht="20.25" x14ac:dyDescent="0.3">
      <c r="A148" s="9"/>
      <c r="B148" s="794" t="s">
        <v>14</v>
      </c>
      <c r="C148" s="1282">
        <v>51703.747067985671</v>
      </c>
      <c r="D148" s="795"/>
      <c r="E148" s="795"/>
      <c r="F148" s="795"/>
      <c r="G148" s="9"/>
      <c r="H148" s="9"/>
      <c r="I148" s="9"/>
    </row>
    <row r="149" spans="1:9" ht="20.25" x14ac:dyDescent="0.3">
      <c r="A149" s="9"/>
      <c r="B149" s="794" t="s">
        <v>15</v>
      </c>
      <c r="C149" s="1282">
        <v>33506.376123312511</v>
      </c>
      <c r="D149" s="795"/>
      <c r="E149" s="795"/>
      <c r="F149" s="795"/>
      <c r="G149" s="9"/>
      <c r="H149" s="9"/>
      <c r="I149" s="9"/>
    </row>
    <row r="150" spans="1:9" ht="20.25" x14ac:dyDescent="0.3">
      <c r="A150" s="9"/>
      <c r="B150" s="794" t="s">
        <v>16</v>
      </c>
      <c r="C150" s="1282">
        <v>24805.836294256507</v>
      </c>
      <c r="D150" s="795"/>
      <c r="E150" s="795"/>
      <c r="F150" s="795"/>
      <c r="G150" s="9"/>
      <c r="H150" s="9"/>
      <c r="I150" s="9"/>
    </row>
    <row r="151" spans="1:9" ht="20.25" x14ac:dyDescent="0.3">
      <c r="A151" s="9"/>
      <c r="B151" s="794" t="s">
        <v>17</v>
      </c>
      <c r="C151" s="1282">
        <v>81239.872253272071</v>
      </c>
      <c r="D151" s="795"/>
      <c r="E151" s="795"/>
      <c r="F151" s="795"/>
      <c r="G151" s="9"/>
      <c r="H151" s="9"/>
      <c r="I151" s="9"/>
    </row>
    <row r="152" spans="1:9" ht="20.25" x14ac:dyDescent="0.3">
      <c r="A152" s="9"/>
      <c r="B152" s="794" t="s">
        <v>18</v>
      </c>
      <c r="C152" s="1282">
        <v>27510.53594594594</v>
      </c>
      <c r="D152" s="795"/>
      <c r="E152" s="795"/>
      <c r="F152" s="795"/>
      <c r="G152" s="9"/>
      <c r="H152" s="9"/>
      <c r="I152" s="9"/>
    </row>
    <row r="153" spans="1:9" ht="20.25" x14ac:dyDescent="0.3">
      <c r="A153" s="9"/>
      <c r="B153" s="794" t="s">
        <v>19</v>
      </c>
      <c r="C153" s="1282">
        <v>116496.41536861502</v>
      </c>
      <c r="D153" s="795"/>
      <c r="E153" s="795"/>
      <c r="F153" s="795"/>
      <c r="G153" s="9"/>
      <c r="H153" s="9"/>
      <c r="I153" s="9"/>
    </row>
    <row r="154" spans="1:9" ht="20.25" x14ac:dyDescent="0.3">
      <c r="A154" s="9"/>
      <c r="B154" s="794" t="s">
        <v>20</v>
      </c>
      <c r="C154" s="1282">
        <v>10048.777460770329</v>
      </c>
      <c r="D154" s="795"/>
      <c r="E154" s="795"/>
      <c r="F154" s="795"/>
      <c r="G154" s="9"/>
      <c r="H154" s="9"/>
      <c r="I154" s="9"/>
    </row>
    <row r="155" spans="1:9" ht="20.25" x14ac:dyDescent="0.3">
      <c r="A155" s="9"/>
      <c r="B155" s="794" t="s">
        <v>21</v>
      </c>
      <c r="C155" s="1282">
        <v>76887.405349611538</v>
      </c>
      <c r="D155" s="795"/>
      <c r="E155" s="795"/>
      <c r="F155" s="795"/>
      <c r="G155" s="9"/>
      <c r="H155" s="9"/>
      <c r="I155" s="9"/>
    </row>
    <row r="156" spans="1:9" ht="20.25" x14ac:dyDescent="0.3">
      <c r="A156" s="9"/>
      <c r="B156" s="794" t="s">
        <v>22</v>
      </c>
      <c r="C156" s="1282">
        <v>42206.476593168612</v>
      </c>
      <c r="D156" s="795"/>
      <c r="E156" s="795"/>
      <c r="F156" s="795"/>
      <c r="G156" s="9"/>
      <c r="H156" s="9"/>
      <c r="I156" s="9"/>
    </row>
    <row r="157" spans="1:9" ht="20.25" x14ac:dyDescent="0.3">
      <c r="A157" s="9"/>
      <c r="B157" s="794" t="s">
        <v>23</v>
      </c>
      <c r="C157" s="1282">
        <v>0</v>
      </c>
      <c r="D157" s="795"/>
      <c r="E157" s="795"/>
      <c r="F157" s="795"/>
      <c r="G157" s="9"/>
      <c r="H157" s="9"/>
      <c r="I157" s="9"/>
    </row>
    <row r="158" spans="1:9" ht="20.25" x14ac:dyDescent="0.3">
      <c r="A158" s="9"/>
      <c r="B158" s="799" t="s">
        <v>24</v>
      </c>
      <c r="C158" s="798"/>
      <c r="D158" s="795"/>
      <c r="E158" s="795"/>
      <c r="F158" s="795"/>
      <c r="G158" s="9"/>
      <c r="H158" s="9"/>
      <c r="I158" s="9"/>
    </row>
    <row r="159" spans="1:9" ht="20.25" x14ac:dyDescent="0.3">
      <c r="A159" s="9"/>
      <c r="B159" s="795"/>
      <c r="C159" s="798"/>
      <c r="D159" s="795"/>
      <c r="E159" s="795"/>
      <c r="F159" s="795"/>
      <c r="G159" s="9"/>
      <c r="H159" s="9"/>
      <c r="I159" s="9"/>
    </row>
    <row r="160" spans="1:9" ht="20.25" x14ac:dyDescent="0.3">
      <c r="A160" s="9"/>
      <c r="B160" s="795"/>
      <c r="C160" s="798"/>
      <c r="D160" s="798"/>
      <c r="E160" s="795"/>
      <c r="F160" s="795"/>
      <c r="G160" s="9"/>
      <c r="H160" s="9"/>
      <c r="I160" s="9"/>
    </row>
    <row r="161" spans="1:9" ht="20.25" x14ac:dyDescent="0.3">
      <c r="A161" s="9"/>
      <c r="B161" s="807"/>
      <c r="C161" s="808"/>
      <c r="D161" s="808"/>
      <c r="E161" s="795"/>
      <c r="F161" s="795"/>
      <c r="G161" s="9"/>
      <c r="H161" s="9"/>
      <c r="I161" s="9"/>
    </row>
    <row r="162" spans="1:9" x14ac:dyDescent="0.2">
      <c r="A162" s="9"/>
      <c r="B162" s="9"/>
      <c r="C162" s="9"/>
      <c r="D162" s="9"/>
      <c r="E162" s="9"/>
      <c r="F162" s="9"/>
      <c r="G162" s="9"/>
      <c r="H162" s="9"/>
      <c r="I162" s="9"/>
    </row>
    <row r="163" spans="1:9" x14ac:dyDescent="0.2">
      <c r="A163" s="9"/>
      <c r="B163" s="9"/>
      <c r="C163" s="9"/>
      <c r="D163" s="9"/>
      <c r="E163" s="9"/>
      <c r="F163" s="9"/>
      <c r="G163" s="9"/>
      <c r="H163" s="9"/>
      <c r="I163" s="9"/>
    </row>
    <row r="164" spans="1:9" x14ac:dyDescent="0.2">
      <c r="A164" s="9"/>
      <c r="B164" s="9"/>
      <c r="C164" s="9"/>
      <c r="D164" s="9"/>
      <c r="E164" s="9"/>
      <c r="F164" s="9"/>
      <c r="G164" s="9"/>
      <c r="H164" s="9"/>
      <c r="I164" s="9"/>
    </row>
    <row r="165" spans="1:9" x14ac:dyDescent="0.2">
      <c r="A165" s="9"/>
      <c r="B165" s="9"/>
      <c r="C165" s="9"/>
      <c r="D165" s="9"/>
      <c r="E165" s="9"/>
      <c r="F165" s="9"/>
      <c r="G165" s="9"/>
      <c r="H165" s="9"/>
      <c r="I165" s="9"/>
    </row>
    <row r="166" spans="1:9" x14ac:dyDescent="0.2">
      <c r="A166" s="9"/>
      <c r="B166" s="9"/>
      <c r="C166" s="9"/>
      <c r="D166" s="9"/>
      <c r="E166" s="9"/>
      <c r="F166" s="9"/>
      <c r="G166" s="9"/>
      <c r="H166" s="9"/>
      <c r="I166" s="9"/>
    </row>
    <row r="167" spans="1:9" x14ac:dyDescent="0.2">
      <c r="A167" s="9"/>
      <c r="B167" s="9"/>
      <c r="C167" s="9"/>
      <c r="D167" s="9"/>
      <c r="E167" s="9"/>
      <c r="F167" s="9"/>
      <c r="G167" s="9"/>
      <c r="H167" s="9"/>
      <c r="I167" s="9"/>
    </row>
    <row r="168" spans="1:9" x14ac:dyDescent="0.2">
      <c r="A168" s="9"/>
      <c r="B168" s="9"/>
      <c r="C168" s="9"/>
      <c r="D168" s="9"/>
      <c r="E168" s="9"/>
      <c r="F168" s="9"/>
      <c r="G168" s="9"/>
      <c r="H168" s="9"/>
      <c r="I168" s="9"/>
    </row>
  </sheetData>
  <pageMargins left="0.7" right="0.7" top="0.75" bottom="0.75" header="0.3" footer="0.3"/>
  <pageSetup paperSize="9" orientation="portrait" r:id="rId1"/>
  <ignoredErrors>
    <ignoredError sqref="E42:G57 F41:G41" formulaRange="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64"/>
  <sheetViews>
    <sheetView workbookViewId="0">
      <selection activeCell="C11" sqref="C11"/>
    </sheetView>
  </sheetViews>
  <sheetFormatPr defaultRowHeight="15" x14ac:dyDescent="0.2"/>
  <cols>
    <col min="1" max="1" width="8.88671875" style="1"/>
    <col min="2" max="2" width="12.88671875" style="1" customWidth="1"/>
    <col min="3" max="3" width="11.44140625" style="1" customWidth="1"/>
    <col min="4" max="4" width="13.44140625" style="1" customWidth="1"/>
    <col min="5" max="5" width="11.6640625" style="1" customWidth="1"/>
    <col min="6" max="6" width="15" style="1" customWidth="1"/>
    <col min="7" max="7" width="19.109375" style="1" customWidth="1"/>
    <col min="8" max="8" width="16.88671875" style="1" customWidth="1"/>
    <col min="9" max="9" width="13.77734375" style="1" customWidth="1"/>
    <col min="10" max="10" width="16.77734375" style="1" customWidth="1"/>
    <col min="11" max="11" width="11.77734375" style="1" customWidth="1"/>
    <col min="12" max="12" width="14.21875" style="1" customWidth="1"/>
    <col min="13" max="13" width="13.77734375" style="1" customWidth="1"/>
    <col min="14" max="14" width="10.33203125" style="1" customWidth="1"/>
    <col min="15" max="16384" width="8.88671875" style="1"/>
  </cols>
  <sheetData>
    <row r="2" spans="1:14" ht="15.75" thickBot="1" x14ac:dyDescent="0.25"/>
    <row r="3" spans="1:14" ht="16.5" thickBot="1" x14ac:dyDescent="0.3">
      <c r="B3" s="592"/>
      <c r="C3" s="738" t="s">
        <v>758</v>
      </c>
      <c r="D3" s="738" t="s">
        <v>759</v>
      </c>
      <c r="E3" s="282" t="s">
        <v>802</v>
      </c>
      <c r="F3" s="496" t="s">
        <v>574</v>
      </c>
      <c r="G3" s="592" t="s">
        <v>795</v>
      </c>
      <c r="H3" s="496" t="s">
        <v>758</v>
      </c>
      <c r="I3" s="4" t="s">
        <v>794</v>
      </c>
      <c r="J3" s="496" t="s">
        <v>793</v>
      </c>
      <c r="K3" s="9"/>
      <c r="L3" s="496" t="s">
        <v>758</v>
      </c>
      <c r="M3" s="4" t="s">
        <v>794</v>
      </c>
      <c r="N3" s="496" t="s">
        <v>793</v>
      </c>
    </row>
    <row r="4" spans="1:14" ht="16.5" thickBot="1" x14ac:dyDescent="0.3">
      <c r="A4" s="1" t="s">
        <v>800</v>
      </c>
      <c r="B4" s="593"/>
      <c r="C4" s="282" t="s">
        <v>757</v>
      </c>
      <c r="D4" s="282" t="s">
        <v>760</v>
      </c>
      <c r="E4" s="282" t="s">
        <v>664</v>
      </c>
      <c r="F4" s="504" t="s">
        <v>780</v>
      </c>
      <c r="G4" s="593" t="s">
        <v>318</v>
      </c>
      <c r="H4" s="504" t="s">
        <v>790</v>
      </c>
      <c r="I4" s="1344" t="s">
        <v>791</v>
      </c>
      <c r="J4" s="504" t="s">
        <v>792</v>
      </c>
      <c r="K4" s="9"/>
      <c r="L4" s="504" t="s">
        <v>732</v>
      </c>
      <c r="M4" s="1344" t="s">
        <v>731</v>
      </c>
      <c r="N4" s="504"/>
    </row>
    <row r="5" spans="1:14" ht="16.5" thickBot="1" x14ac:dyDescent="0.3">
      <c r="A5" s="1149">
        <v>475</v>
      </c>
      <c r="B5" s="668" t="s">
        <v>8</v>
      </c>
      <c r="C5" s="22">
        <f>AVERAGE(Kontrollpanel!AB64,Kontrollpanel!AB43,Kontrollpanel!AB20)</f>
        <v>1166928.8290252851</v>
      </c>
      <c r="D5" s="22">
        <f>AVERAGE(Kontrollpanel!AN64,Kontrollpanel!AN43,Kontrollpanel!AN20)</f>
        <v>1189222.9546239923</v>
      </c>
      <c r="E5" s="22">
        <f>D5/A5</f>
        <v>2503.6272728926156</v>
      </c>
      <c r="F5" s="570">
        <v>1471698</v>
      </c>
      <c r="G5" s="570">
        <f>AVERAGE('Data, inkomst- skkompl, kost'!G242:I242)</f>
        <v>2473954</v>
      </c>
      <c r="H5" s="1345">
        <f t="shared" ref="H5:H21" si="0">C5/(C5+F5)</f>
        <v>0.4422485272221503</v>
      </c>
      <c r="I5" s="1346">
        <f t="shared" ref="I5:I21" si="1">D5/(D5+F5)</f>
        <v>0.44692156396357069</v>
      </c>
      <c r="J5" s="1347">
        <f t="shared" ref="J5:J21" si="2">H5-I5</f>
        <v>-4.6730367414203888E-3</v>
      </c>
      <c r="K5" s="9"/>
      <c r="L5" s="563">
        <f>(G5-C5)/A5</f>
        <v>2751.6319388941365</v>
      </c>
      <c r="M5" s="563">
        <f>(G5-D5)/A5</f>
        <v>2704.6969376337006</v>
      </c>
      <c r="N5" s="563">
        <f>M5-L5</f>
        <v>-46.935001260435911</v>
      </c>
    </row>
    <row r="6" spans="1:14" ht="16.5" thickBot="1" x14ac:dyDescent="0.3">
      <c r="A6" s="1150">
        <v>947</v>
      </c>
      <c r="B6" s="668" t="s">
        <v>9</v>
      </c>
      <c r="C6" s="22">
        <f>AVERAGE(Kontrollpanel!AB65,Kontrollpanel!AB44,Kontrollpanel!AB21)</f>
        <v>1971237.3502511114</v>
      </c>
      <c r="D6" s="22">
        <f>AVERAGE(Kontrollpanel!AN65,Kontrollpanel!AN44,Kontrollpanel!AN21)</f>
        <v>2216192.0077622063</v>
      </c>
      <c r="E6" s="22">
        <f t="shared" ref="E6:E21" si="3">D6/A6</f>
        <v>2340.2238730329527</v>
      </c>
      <c r="F6" s="570">
        <v>2856255</v>
      </c>
      <c r="G6" s="570">
        <f>AVERAGE('Data, inkomst- skkompl, kost'!G243:I243)</f>
        <v>4885602</v>
      </c>
      <c r="H6" s="1345">
        <f t="shared" si="0"/>
        <v>0.4083356755911946</v>
      </c>
      <c r="I6" s="1346">
        <f t="shared" si="1"/>
        <v>0.43690786801140297</v>
      </c>
      <c r="J6" s="1347">
        <f t="shared" si="2"/>
        <v>-2.8572192420208364E-2</v>
      </c>
      <c r="K6" s="9"/>
      <c r="L6" s="570">
        <f t="shared" ref="L6:L21" si="4">(G6-C6)/A6</f>
        <v>3077.4705910759121</v>
      </c>
      <c r="M6" s="563">
        <f t="shared" ref="M6:M21" si="5">(G6-D6)/A6</f>
        <v>2818.8067499871108</v>
      </c>
      <c r="N6" s="570">
        <f t="shared" ref="N6:N21" si="6">M6-L6</f>
        <v>-258.66384108880129</v>
      </c>
    </row>
    <row r="7" spans="1:14" ht="16.5" thickBot="1" x14ac:dyDescent="0.3">
      <c r="A7" s="1150">
        <v>2520</v>
      </c>
      <c r="B7" s="668" t="s">
        <v>10</v>
      </c>
      <c r="C7" s="22">
        <f>AVERAGE(Kontrollpanel!AB66,Kontrollpanel!AB45,Kontrollpanel!AB22)</f>
        <v>3761731.1103224773</v>
      </c>
      <c r="D7" s="22">
        <f>AVERAGE(Kontrollpanel!AN66,Kontrollpanel!AN45,Kontrollpanel!AN22)</f>
        <v>3339592.3917247565</v>
      </c>
      <c r="E7" s="22">
        <f t="shared" si="3"/>
        <v>1325.2350760812526</v>
      </c>
      <c r="F7" s="570">
        <v>8631556</v>
      </c>
      <c r="G7" s="570">
        <f>AVERAGE('Data, inkomst- skkompl, kost'!G244:I244)</f>
        <v>11115366.666666666</v>
      </c>
      <c r="H7" s="1345">
        <f t="shared" si="0"/>
        <v>0.30352973160682273</v>
      </c>
      <c r="I7" s="1346">
        <f t="shared" si="1"/>
        <v>0.27897009396636518</v>
      </c>
      <c r="J7" s="1347">
        <f t="shared" si="2"/>
        <v>2.4559637640457543E-2</v>
      </c>
      <c r="K7" s="9"/>
      <c r="L7" s="570">
        <f t="shared" si="4"/>
        <v>2918.1093477556306</v>
      </c>
      <c r="M7" s="563">
        <f t="shared" si="5"/>
        <v>3085.6247122785358</v>
      </c>
      <c r="N7" s="570">
        <f t="shared" si="6"/>
        <v>167.5153645229052</v>
      </c>
    </row>
    <row r="8" spans="1:14" ht="16.5" thickBot="1" x14ac:dyDescent="0.3">
      <c r="A8" s="1150">
        <v>572</v>
      </c>
      <c r="B8" s="668" t="s">
        <v>11</v>
      </c>
      <c r="C8" s="22">
        <f>AVERAGE(Kontrollpanel!AB67,Kontrollpanel!AB46,Kontrollpanel!AB23)</f>
        <v>1319548.6613884377</v>
      </c>
      <c r="D8" s="22">
        <f>AVERAGE(Kontrollpanel!AN67,Kontrollpanel!AN46,Kontrollpanel!AN23)</f>
        <v>1569581.0951423217</v>
      </c>
      <c r="E8" s="22">
        <f t="shared" si="3"/>
        <v>2744.0228936054573</v>
      </c>
      <c r="F8" s="570">
        <v>1838126</v>
      </c>
      <c r="G8" s="570">
        <f>AVERAGE('Data, inkomst- skkompl, kost'!G245:I245)</f>
        <v>3154101.3333333335</v>
      </c>
      <c r="H8" s="1345">
        <f t="shared" si="0"/>
        <v>0.41788619882968842</v>
      </c>
      <c r="I8" s="1346">
        <f t="shared" si="1"/>
        <v>0.46059741970774298</v>
      </c>
      <c r="J8" s="1347">
        <f t="shared" si="2"/>
        <v>-4.2711220878054568E-2</v>
      </c>
      <c r="K8" s="9"/>
      <c r="L8" s="570">
        <f t="shared" si="4"/>
        <v>3207.2599159875799</v>
      </c>
      <c r="M8" s="563">
        <f t="shared" si="5"/>
        <v>2770.1402765577132</v>
      </c>
      <c r="N8" s="570">
        <f t="shared" si="6"/>
        <v>-437.11963942986677</v>
      </c>
    </row>
    <row r="9" spans="1:14" ht="16.5" thickBot="1" x14ac:dyDescent="0.3">
      <c r="A9" s="1150">
        <v>500</v>
      </c>
      <c r="B9" s="668" t="s">
        <v>12</v>
      </c>
      <c r="C9" s="22">
        <f>AVERAGE(Kontrollpanel!AB68,Kontrollpanel!AB47,Kontrollpanel!AB24)</f>
        <v>1512639.3592334688</v>
      </c>
      <c r="D9" s="22">
        <f>AVERAGE(Kontrollpanel!AN68,Kontrollpanel!AN47,Kontrollpanel!AN24)</f>
        <v>1749382.7152034992</v>
      </c>
      <c r="E9" s="22">
        <f t="shared" si="3"/>
        <v>3498.7654304069983</v>
      </c>
      <c r="F9" s="570">
        <v>1109376</v>
      </c>
      <c r="G9" s="570">
        <f>AVERAGE('Data, inkomst- skkompl, kost'!G246:I246)</f>
        <v>2664824</v>
      </c>
      <c r="H9" s="1345">
        <f t="shared" si="0"/>
        <v>0.57689950362292319</v>
      </c>
      <c r="I9" s="1346">
        <f t="shared" si="1"/>
        <v>0.61193786866303268</v>
      </c>
      <c r="J9" s="1347">
        <f t="shared" si="2"/>
        <v>-3.5038365040109487E-2</v>
      </c>
      <c r="K9" s="9"/>
      <c r="L9" s="570">
        <f t="shared" si="4"/>
        <v>2304.3692815330623</v>
      </c>
      <c r="M9" s="563">
        <f t="shared" si="5"/>
        <v>1830.8825695930016</v>
      </c>
      <c r="N9" s="570">
        <f t="shared" si="6"/>
        <v>-473.48671194006079</v>
      </c>
    </row>
    <row r="10" spans="1:14" ht="16.5" thickBot="1" x14ac:dyDescent="0.3">
      <c r="A10" s="1150">
        <v>1540</v>
      </c>
      <c r="B10" s="668" t="s">
        <v>13</v>
      </c>
      <c r="C10" s="22">
        <f>AVERAGE(Kontrollpanel!AB69,Kontrollpanel!AB48,Kontrollpanel!AB25)</f>
        <v>2611047.9838593812</v>
      </c>
      <c r="D10" s="22">
        <f>AVERAGE(Kontrollpanel!AN69,Kontrollpanel!AN48,Kontrollpanel!AN25)</f>
        <v>2607974.5406106445</v>
      </c>
      <c r="E10" s="22">
        <f t="shared" si="3"/>
        <v>1693.4899614354833</v>
      </c>
      <c r="F10" s="570">
        <v>4250438.333333333</v>
      </c>
      <c r="G10" s="570">
        <f>AVERAGE('Data, inkomst- skkompl, kost'!G247:I247)</f>
        <v>6838899.333333333</v>
      </c>
      <c r="H10" s="1345">
        <f t="shared" si="0"/>
        <v>0.38053679088697162</v>
      </c>
      <c r="I10" s="1346">
        <f t="shared" si="1"/>
        <v>0.38025919240276229</v>
      </c>
      <c r="J10" s="1347">
        <f t="shared" si="2"/>
        <v>2.7759848420932931E-4</v>
      </c>
      <c r="K10" s="9"/>
      <c r="L10" s="570">
        <f t="shared" si="4"/>
        <v>2745.3580191389296</v>
      </c>
      <c r="M10" s="563">
        <f t="shared" si="5"/>
        <v>2747.3537615082396</v>
      </c>
      <c r="N10" s="570">
        <f t="shared" si="6"/>
        <v>1.9957423693099372</v>
      </c>
    </row>
    <row r="11" spans="1:14" ht="16.5" thickBot="1" x14ac:dyDescent="0.3">
      <c r="A11" s="1150">
        <v>4424</v>
      </c>
      <c r="B11" s="668" t="s">
        <v>14</v>
      </c>
      <c r="C11" s="22">
        <f>AVERAGE(Kontrollpanel!AB70,Kontrollpanel!AB49,Kontrollpanel!AB26)</f>
        <v>4359350.8839378646</v>
      </c>
      <c r="D11" s="22">
        <f>AVERAGE(Kontrollpanel!AN70,Kontrollpanel!AN49,Kontrollpanel!AN26)</f>
        <v>3953605.7346562892</v>
      </c>
      <c r="E11" s="22">
        <f t="shared" si="3"/>
        <v>893.67218233641256</v>
      </c>
      <c r="F11" s="570">
        <v>15358705.666666666</v>
      </c>
      <c r="G11" s="570">
        <f>AVERAGE('Data, inkomst- skkompl, kost'!G248:I248)</f>
        <v>17934481.333333332</v>
      </c>
      <c r="H11" s="1345">
        <f t="shared" si="0"/>
        <v>0.22108420638464052</v>
      </c>
      <c r="I11" s="1346">
        <f t="shared" si="1"/>
        <v>0.20471944825752214</v>
      </c>
      <c r="J11" s="1347">
        <f t="shared" si="2"/>
        <v>1.6364758127118378E-2</v>
      </c>
      <c r="K11" s="9"/>
      <c r="L11" s="570">
        <f t="shared" si="4"/>
        <v>3068.5195410025917</v>
      </c>
      <c r="M11" s="563">
        <f t="shared" si="5"/>
        <v>3160.2340865002357</v>
      </c>
      <c r="N11" s="570">
        <f t="shared" si="6"/>
        <v>91.71454549764394</v>
      </c>
    </row>
    <row r="12" spans="1:14" ht="16.5" thickBot="1" x14ac:dyDescent="0.3">
      <c r="A12" s="1150">
        <v>330</v>
      </c>
      <c r="B12" s="668" t="s">
        <v>15</v>
      </c>
      <c r="C12" s="22">
        <f>AVERAGE(Kontrollpanel!AB71,Kontrollpanel!AB50,Kontrollpanel!AB27)</f>
        <v>837447.46579141344</v>
      </c>
      <c r="D12" s="22">
        <f>AVERAGE(Kontrollpanel!AN71,Kontrollpanel!AN50,Kontrollpanel!AN27)</f>
        <v>849781.00686282944</v>
      </c>
      <c r="E12" s="22">
        <f t="shared" si="3"/>
        <v>2575.0939601903924</v>
      </c>
      <c r="F12" s="570">
        <v>1070846.3333333333</v>
      </c>
      <c r="G12" s="570">
        <f>AVERAGE('Data, inkomst- skkompl, kost'!G249:I249)</f>
        <v>1847542.6666666667</v>
      </c>
      <c r="H12" s="1345">
        <f t="shared" si="0"/>
        <v>0.4388461913859989</v>
      </c>
      <c r="I12" s="1346">
        <f t="shared" si="1"/>
        <v>0.4424497085291087</v>
      </c>
      <c r="J12" s="1347">
        <f t="shared" si="2"/>
        <v>-3.6035171431098023E-3</v>
      </c>
      <c r="K12" s="9"/>
      <c r="L12" s="570">
        <f t="shared" si="4"/>
        <v>3060.8945481068281</v>
      </c>
      <c r="M12" s="563">
        <f t="shared" si="5"/>
        <v>3023.5201812237492</v>
      </c>
      <c r="N12" s="570">
        <f t="shared" si="6"/>
        <v>-37.374366883078892</v>
      </c>
    </row>
    <row r="13" spans="1:14" ht="16.5" thickBot="1" x14ac:dyDescent="0.3">
      <c r="A13" s="1150">
        <v>251</v>
      </c>
      <c r="B13" s="668" t="s">
        <v>16</v>
      </c>
      <c r="C13" s="22">
        <f>AVERAGE(Kontrollpanel!AB72,Kontrollpanel!AB51,Kontrollpanel!AB28)</f>
        <v>703836.57753221819</v>
      </c>
      <c r="D13" s="22">
        <f>AVERAGE(Kontrollpanel!AN72,Kontrollpanel!AN51,Kontrollpanel!AN28)</f>
        <v>673661.53503027791</v>
      </c>
      <c r="E13" s="22">
        <f t="shared" si="3"/>
        <v>2683.9104981285973</v>
      </c>
      <c r="F13" s="570">
        <v>813758.66666666663</v>
      </c>
      <c r="G13" s="570">
        <f>AVERAGE('Data, inkomst- skkompl, kost'!G250:I250)</f>
        <v>1490976</v>
      </c>
      <c r="H13" s="1345">
        <f t="shared" si="0"/>
        <v>0.46378412176941336</v>
      </c>
      <c r="I13" s="1346">
        <f t="shared" si="1"/>
        <v>0.45290600078022447</v>
      </c>
      <c r="J13" s="1347">
        <f t="shared" si="2"/>
        <v>1.0878120989188889E-2</v>
      </c>
      <c r="K13" s="9"/>
      <c r="L13" s="570">
        <f t="shared" si="4"/>
        <v>3136.013635329808</v>
      </c>
      <c r="M13" s="563">
        <f t="shared" si="5"/>
        <v>3256.2329281662232</v>
      </c>
      <c r="N13" s="570">
        <f t="shared" si="6"/>
        <v>120.21929283641521</v>
      </c>
    </row>
    <row r="14" spans="1:14" ht="16.5" thickBot="1" x14ac:dyDescent="0.3">
      <c r="A14" s="1150">
        <v>1926</v>
      </c>
      <c r="B14" s="668" t="s">
        <v>17</v>
      </c>
      <c r="C14" s="22">
        <f>AVERAGE(Kontrollpanel!AB73,Kontrollpanel!AB52,Kontrollpanel!AB29)</f>
        <v>2382525.42204036</v>
      </c>
      <c r="D14" s="22">
        <f>AVERAGE(Kontrollpanel!AN73,Kontrollpanel!AN52,Kontrollpanel!AN29)</f>
        <v>2744175.4767429889</v>
      </c>
      <c r="E14" s="22">
        <f t="shared" si="3"/>
        <v>1424.8055434802643</v>
      </c>
      <c r="F14" s="570">
        <v>6112915</v>
      </c>
      <c r="G14" s="570">
        <f>AVERAGE('Data, inkomst- skkompl, kost'!G251:I251)</f>
        <v>8799602</v>
      </c>
      <c r="H14" s="1345">
        <f t="shared" si="0"/>
        <v>0.28044754641080116</v>
      </c>
      <c r="I14" s="1346">
        <f t="shared" si="1"/>
        <v>0.30982809580060905</v>
      </c>
      <c r="J14" s="1347">
        <f t="shared" si="2"/>
        <v>-2.9380549389807886E-2</v>
      </c>
      <c r="K14" s="9"/>
      <c r="L14" s="570">
        <f t="shared" si="4"/>
        <v>3331.8154610382348</v>
      </c>
      <c r="M14" s="563">
        <f t="shared" si="5"/>
        <v>3144.0428469662575</v>
      </c>
      <c r="N14" s="570">
        <f t="shared" si="6"/>
        <v>-187.77261407197739</v>
      </c>
    </row>
    <row r="15" spans="1:14" ht="16.5" thickBot="1" x14ac:dyDescent="0.3">
      <c r="A15" s="1150">
        <v>413</v>
      </c>
      <c r="B15" s="668" t="s">
        <v>18</v>
      </c>
      <c r="C15" s="22">
        <f>AVERAGE(Kontrollpanel!AB74,Kontrollpanel!AB53,Kontrollpanel!AB30)</f>
        <v>660273.38059496845</v>
      </c>
      <c r="D15" s="22">
        <f>AVERAGE(Kontrollpanel!AN74,Kontrollpanel!AN53,Kontrollpanel!AN30)</f>
        <v>678718.84852217569</v>
      </c>
      <c r="E15" s="22">
        <f t="shared" si="3"/>
        <v>1643.3870424265756</v>
      </c>
      <c r="F15" s="570">
        <v>1506527.6666666667</v>
      </c>
      <c r="G15" s="570">
        <f>AVERAGE('Data, inkomst- skkompl, kost'!G252:I252)</f>
        <v>2289525.3333333335</v>
      </c>
      <c r="H15" s="1345">
        <f t="shared" si="0"/>
        <v>0.30472266082269539</v>
      </c>
      <c r="I15" s="1346">
        <f t="shared" si="1"/>
        <v>0.31059143387469162</v>
      </c>
      <c r="J15" s="1347">
        <f t="shared" si="2"/>
        <v>-5.8687730519962344E-3</v>
      </c>
      <c r="K15" s="9"/>
      <c r="L15" s="570">
        <f t="shared" si="4"/>
        <v>3944.9199824173493</v>
      </c>
      <c r="M15" s="563">
        <f t="shared" si="5"/>
        <v>3900.2578324725373</v>
      </c>
      <c r="N15" s="570">
        <f t="shared" si="6"/>
        <v>-44.662149944811972</v>
      </c>
    </row>
    <row r="16" spans="1:14" ht="16.5" thickBot="1" x14ac:dyDescent="0.3">
      <c r="A16" s="1150">
        <v>1813</v>
      </c>
      <c r="B16" s="668" t="s">
        <v>19</v>
      </c>
      <c r="C16" s="22">
        <f>AVERAGE(Kontrollpanel!AB75,Kontrollpanel!AB54,Kontrollpanel!AB31)</f>
        <v>2306002.7444145144</v>
      </c>
      <c r="D16" s="22">
        <f>AVERAGE(Kontrollpanel!AN75,Kontrollpanel!AN54,Kontrollpanel!AN31)</f>
        <v>2846110.7489955411</v>
      </c>
      <c r="E16" s="22">
        <f t="shared" si="3"/>
        <v>1569.8349415309108</v>
      </c>
      <c r="F16" s="570">
        <v>5632322.333333333</v>
      </c>
      <c r="G16" s="570">
        <f>AVERAGE('Data, inkomst- skkompl, kost'!G253:I253)</f>
        <v>8035410.666666667</v>
      </c>
      <c r="H16" s="1345">
        <f t="shared" si="0"/>
        <v>0.29048983530273137</v>
      </c>
      <c r="I16" s="1346">
        <f t="shared" si="1"/>
        <v>0.33568829539122402</v>
      </c>
      <c r="J16" s="1347">
        <f t="shared" si="2"/>
        <v>-4.5198460088492654E-2</v>
      </c>
      <c r="K16" s="9"/>
      <c r="L16" s="570">
        <f t="shared" si="4"/>
        <v>3160.1808727259527</v>
      </c>
      <c r="M16" s="563">
        <f t="shared" si="5"/>
        <v>2862.2724311478905</v>
      </c>
      <c r="N16" s="570">
        <f t="shared" si="6"/>
        <v>-297.90844157806214</v>
      </c>
    </row>
    <row r="17" spans="1:14" ht="16.5" thickBot="1" x14ac:dyDescent="0.3">
      <c r="A17" s="1150">
        <v>100</v>
      </c>
      <c r="B17" s="668" t="s">
        <v>20</v>
      </c>
      <c r="C17" s="22">
        <f>AVERAGE(Kontrollpanel!AB76,Kontrollpanel!AB55,Kontrollpanel!AB32)</f>
        <v>226066.75259185978</v>
      </c>
      <c r="D17" s="22">
        <f>AVERAGE(Kontrollpanel!AN76,Kontrollpanel!AN55,Kontrollpanel!AN32)</f>
        <v>263009.30079368257</v>
      </c>
      <c r="E17" s="22">
        <f t="shared" si="3"/>
        <v>2630.0930079368259</v>
      </c>
      <c r="F17" s="570">
        <v>396603</v>
      </c>
      <c r="G17" s="570">
        <f>AVERAGE('Data, inkomst- skkompl, kost'!G254:I254)</f>
        <v>606718.66666666663</v>
      </c>
      <c r="H17" s="1345">
        <f t="shared" si="0"/>
        <v>0.36306043717533737</v>
      </c>
      <c r="I17" s="1346">
        <f t="shared" si="1"/>
        <v>0.3987331656447507</v>
      </c>
      <c r="J17" s="1347">
        <f t="shared" si="2"/>
        <v>-3.5672728469413328E-2</v>
      </c>
      <c r="K17" s="9"/>
      <c r="L17" s="570">
        <f t="shared" si="4"/>
        <v>3806.5191407480684</v>
      </c>
      <c r="M17" s="563">
        <f t="shared" si="5"/>
        <v>3437.0936587298406</v>
      </c>
      <c r="N17" s="570">
        <f t="shared" si="6"/>
        <v>-369.42548201822774</v>
      </c>
    </row>
    <row r="18" spans="1:14" ht="16.5" thickBot="1" x14ac:dyDescent="0.3">
      <c r="A18" s="1150">
        <v>1029</v>
      </c>
      <c r="B18" s="668" t="s">
        <v>21</v>
      </c>
      <c r="C18" s="22">
        <f>AVERAGE(Kontrollpanel!AB77,Kontrollpanel!AB56,Kontrollpanel!AB33)</f>
        <v>2116616.0336738764</v>
      </c>
      <c r="D18" s="22">
        <f>AVERAGE(Kontrollpanel!AN77,Kontrollpanel!AN56,Kontrollpanel!AN33)</f>
        <v>2165111.6623294731</v>
      </c>
      <c r="E18" s="22">
        <f t="shared" si="3"/>
        <v>2104.0929663065822</v>
      </c>
      <c r="F18" s="570">
        <v>3349329</v>
      </c>
      <c r="G18" s="570">
        <f>AVERAGE('Data, inkomst- skkompl, kost'!G255:I255)</f>
        <v>5288492.666666667</v>
      </c>
      <c r="H18" s="1345">
        <f t="shared" si="0"/>
        <v>0.38723697743649199</v>
      </c>
      <c r="I18" s="1346">
        <f t="shared" si="1"/>
        <v>0.39262579741221876</v>
      </c>
      <c r="J18" s="1347">
        <f t="shared" si="2"/>
        <v>-5.3888199757267663E-3</v>
      </c>
      <c r="K18" s="9"/>
      <c r="L18" s="570">
        <f t="shared" si="4"/>
        <v>3082.4845801679207</v>
      </c>
      <c r="M18" s="563">
        <f t="shared" si="5"/>
        <v>3035.3556893461555</v>
      </c>
      <c r="N18" s="570">
        <f t="shared" si="6"/>
        <v>-47.128890821765253</v>
      </c>
    </row>
    <row r="19" spans="1:14" ht="16.5" thickBot="1" x14ac:dyDescent="0.3">
      <c r="A19" s="1150">
        <v>433</v>
      </c>
      <c r="B19" s="668" t="s">
        <v>22</v>
      </c>
      <c r="C19" s="22">
        <f>AVERAGE(Kontrollpanel!AB78,Kontrollpanel!AB57,Kontrollpanel!AB34)</f>
        <v>1298454.5391274567</v>
      </c>
      <c r="D19" s="22">
        <f>AVERAGE(Kontrollpanel!AN78,Kontrollpanel!AN57,Kontrollpanel!AN34)</f>
        <v>1408500.8916702408</v>
      </c>
      <c r="E19" s="22">
        <f t="shared" si="3"/>
        <v>3252.8888953123342</v>
      </c>
      <c r="F19" s="570">
        <v>1188319.6666666667</v>
      </c>
      <c r="G19" s="570">
        <f>AVERAGE('Data, inkomst- skkompl, kost'!G256:I256)</f>
        <v>2504675.3333333335</v>
      </c>
      <c r="H19" s="1345">
        <f t="shared" si="0"/>
        <v>0.52214412394261178</v>
      </c>
      <c r="I19" s="1346">
        <f t="shared" si="1"/>
        <v>0.54239438576082932</v>
      </c>
      <c r="J19" s="1347">
        <f t="shared" si="2"/>
        <v>-2.0250261818217541E-2</v>
      </c>
      <c r="K19" s="9"/>
      <c r="L19" s="570">
        <f t="shared" si="4"/>
        <v>2785.7293168726947</v>
      </c>
      <c r="M19" s="563">
        <f t="shared" si="5"/>
        <v>2531.5806966815076</v>
      </c>
      <c r="N19" s="570">
        <f t="shared" si="6"/>
        <v>-254.14862019118709</v>
      </c>
    </row>
    <row r="20" spans="1:14" ht="16.5" thickBot="1" x14ac:dyDescent="0.3">
      <c r="A20" s="1151">
        <v>11393</v>
      </c>
      <c r="B20" s="668" t="s">
        <v>23</v>
      </c>
      <c r="C20" s="22">
        <f>AVERAGE(Kontrollpanel!AB79,Kontrollpanel!AB58,Kontrollpanel!AB35)</f>
        <v>5763165.8603479331</v>
      </c>
      <c r="D20" s="22">
        <f>AVERAGE(Kontrollpanel!AN79,Kontrollpanel!AN58,Kontrollpanel!AN35)</f>
        <v>5849395.3162922775</v>
      </c>
      <c r="E20" s="22">
        <f t="shared" si="3"/>
        <v>513.42011026878583</v>
      </c>
      <c r="F20" s="570">
        <v>48927867.333333336</v>
      </c>
      <c r="G20" s="570">
        <f>AVERAGE('Data, inkomst- skkompl, kost'!G257:I257)</f>
        <v>48397878</v>
      </c>
      <c r="H20" s="1345">
        <f t="shared" si="0"/>
        <v>0.10537679622797436</v>
      </c>
      <c r="I20" s="1346">
        <f t="shared" si="1"/>
        <v>0.10678509719821234</v>
      </c>
      <c r="J20" s="1347">
        <f t="shared" si="2"/>
        <v>-1.4083009702379884E-3</v>
      </c>
      <c r="K20" s="9"/>
      <c r="L20" s="570">
        <f t="shared" si="4"/>
        <v>3742.184862604412</v>
      </c>
      <c r="M20" s="563">
        <f t="shared" si="5"/>
        <v>3734.6162278335578</v>
      </c>
      <c r="N20" s="570">
        <f t="shared" si="6"/>
        <v>-7.5686347708542598</v>
      </c>
    </row>
    <row r="21" spans="1:14" ht="16.5" thickBot="1" x14ac:dyDescent="0.3">
      <c r="A21" s="1151">
        <f>SUM(A5:A20)</f>
        <v>28666</v>
      </c>
      <c r="B21" s="493" t="s">
        <v>24</v>
      </c>
      <c r="C21" s="511">
        <f>SUM(C5:C20)</f>
        <v>32996872.954132624</v>
      </c>
      <c r="D21" s="511">
        <f>SUM(D5:D20)</f>
        <v>34104016.2269632</v>
      </c>
      <c r="E21" s="22">
        <f t="shared" si="3"/>
        <v>1189.7026521650457</v>
      </c>
      <c r="F21" s="540">
        <v>104514644</v>
      </c>
      <c r="G21" s="540">
        <f>AVERAGE('Data, inkomst- skkompl, kost'!G258:I258)</f>
        <v>128328050</v>
      </c>
      <c r="H21" s="1354">
        <f t="shared" si="0"/>
        <v>0.23995715911663479</v>
      </c>
      <c r="I21" s="1355">
        <f t="shared" si="1"/>
        <v>0.24602759953908074</v>
      </c>
      <c r="J21" s="1356">
        <f t="shared" si="2"/>
        <v>-6.0704404224459496E-3</v>
      </c>
      <c r="K21" s="6"/>
      <c r="L21" s="540">
        <f t="shared" si="4"/>
        <v>3325.5835151701453</v>
      </c>
      <c r="M21" s="540">
        <f t="shared" si="5"/>
        <v>3286.9613400208195</v>
      </c>
      <c r="N21" s="540">
        <f t="shared" si="6"/>
        <v>-38.622175149325813</v>
      </c>
    </row>
    <row r="22" spans="1:14" ht="16.5" thickBot="1" x14ac:dyDescent="0.3">
      <c r="A22" s="1151"/>
    </row>
    <row r="23" spans="1:14" ht="16.5" thickBot="1" x14ac:dyDescent="0.3">
      <c r="D23" s="5" t="s">
        <v>789</v>
      </c>
      <c r="E23" s="5">
        <f>C42/D42</f>
        <v>0.9675362788516606</v>
      </c>
      <c r="L23" s="435" t="s">
        <v>796</v>
      </c>
    </row>
    <row r="24" spans="1:14" ht="15.75" x14ac:dyDescent="0.25">
      <c r="B24" s="592"/>
      <c r="C24" s="1350" t="s">
        <v>758</v>
      </c>
      <c r="D24" s="1350" t="s">
        <v>759</v>
      </c>
      <c r="E24" s="1348" t="s">
        <v>788</v>
      </c>
      <c r="F24" s="496" t="s">
        <v>574</v>
      </c>
      <c r="G24" s="592" t="s">
        <v>795</v>
      </c>
      <c r="H24" s="496" t="s">
        <v>758</v>
      </c>
      <c r="I24" s="4" t="s">
        <v>794</v>
      </c>
      <c r="J24" s="496" t="s">
        <v>793</v>
      </c>
      <c r="L24" s="496" t="s">
        <v>758</v>
      </c>
      <c r="M24" s="4" t="s">
        <v>794</v>
      </c>
      <c r="N24" s="496" t="s">
        <v>793</v>
      </c>
    </row>
    <row r="25" spans="1:14" ht="16.5" thickBot="1" x14ac:dyDescent="0.3">
      <c r="B25" s="593"/>
      <c r="C25" s="1351" t="s">
        <v>757</v>
      </c>
      <c r="D25" s="1351" t="s">
        <v>760</v>
      </c>
      <c r="E25" s="1349"/>
      <c r="F25" s="504" t="s">
        <v>780</v>
      </c>
      <c r="G25" s="593" t="s">
        <v>318</v>
      </c>
      <c r="H25" s="504" t="s">
        <v>790</v>
      </c>
      <c r="I25" s="1344" t="s">
        <v>791</v>
      </c>
      <c r="J25" s="504" t="s">
        <v>792</v>
      </c>
      <c r="L25" s="504" t="s">
        <v>732</v>
      </c>
      <c r="M25" s="1344" t="s">
        <v>731</v>
      </c>
      <c r="N25" s="504"/>
    </row>
    <row r="26" spans="1:14" ht="16.5" thickBot="1" x14ac:dyDescent="0.3">
      <c r="B26" s="668" t="s">
        <v>8</v>
      </c>
      <c r="C26" s="1352">
        <f>C5</f>
        <v>1166928.8290252851</v>
      </c>
      <c r="D26" s="1352">
        <f>D5</f>
        <v>1189222.9546239923</v>
      </c>
      <c r="E26" s="1353">
        <f t="shared" ref="E26:E41" si="7">D26*$E$23</f>
        <v>1150616.3522418747</v>
      </c>
      <c r="F26" s="570">
        <v>1471698</v>
      </c>
      <c r="G26" s="22">
        <f>G5</f>
        <v>2473954</v>
      </c>
      <c r="H26" s="1345">
        <f t="shared" ref="H26:H42" si="8">C26/(C26+F26)</f>
        <v>0.4422485272221503</v>
      </c>
      <c r="I26" s="1346">
        <f t="shared" ref="I26:I42" si="9">E26/(E26+F26)</f>
        <v>0.4387789554132544</v>
      </c>
      <c r="J26" s="1359">
        <f>H26-I26</f>
        <v>3.4695718088958993E-3</v>
      </c>
      <c r="L26" s="563">
        <f>(G26-C26)/A5</f>
        <v>2751.6319388941365</v>
      </c>
      <c r="M26" s="563">
        <f>(G26-E26)/A5</f>
        <v>2785.9739952802638</v>
      </c>
      <c r="N26" s="563">
        <f>M26-L26</f>
        <v>34.342056386127297</v>
      </c>
    </row>
    <row r="27" spans="1:14" ht="16.5" thickBot="1" x14ac:dyDescent="0.3">
      <c r="B27" s="668" t="s">
        <v>9</v>
      </c>
      <c r="C27" s="1352">
        <f t="shared" ref="C27:D42" si="10">C6</f>
        <v>1971237.3502511114</v>
      </c>
      <c r="D27" s="1352">
        <f t="shared" si="10"/>
        <v>2216192.0077622063</v>
      </c>
      <c r="E27" s="1353">
        <f t="shared" si="7"/>
        <v>2144246.1684110356</v>
      </c>
      <c r="F27" s="570">
        <v>2856255</v>
      </c>
      <c r="G27" s="22">
        <f t="shared" ref="G27:G42" si="11">G6</f>
        <v>4885602</v>
      </c>
      <c r="H27" s="1345">
        <f t="shared" si="8"/>
        <v>0.4083356755911946</v>
      </c>
      <c r="I27" s="1346">
        <f t="shared" si="9"/>
        <v>0.42880625285253032</v>
      </c>
      <c r="J27" s="1359">
        <f t="shared" ref="J27:J42" si="12">H27-I27</f>
        <v>-2.0470577261335721E-2</v>
      </c>
      <c r="L27" s="563">
        <f t="shared" ref="L27:L42" si="13">(G27-C27)/A6</f>
        <v>3077.4705910759121</v>
      </c>
      <c r="M27" s="563">
        <f t="shared" ref="M27:M42" si="14">(G27-E27)/A6</f>
        <v>2894.7791252259394</v>
      </c>
      <c r="N27" s="570">
        <f t="shared" ref="N27:N42" si="15">M27-L27</f>
        <v>-182.6914658499727</v>
      </c>
    </row>
    <row r="28" spans="1:14" ht="16.5" thickBot="1" x14ac:dyDescent="0.3">
      <c r="B28" s="668" t="s">
        <v>10</v>
      </c>
      <c r="C28" s="1352">
        <f t="shared" si="10"/>
        <v>3761731.1103224773</v>
      </c>
      <c r="D28" s="1352">
        <f t="shared" si="10"/>
        <v>3339592.3917247565</v>
      </c>
      <c r="E28" s="1353">
        <f t="shared" si="7"/>
        <v>3231176.7955706883</v>
      </c>
      <c r="F28" s="570">
        <v>8631556</v>
      </c>
      <c r="G28" s="22">
        <f t="shared" si="11"/>
        <v>11115366.666666666</v>
      </c>
      <c r="H28" s="1345">
        <f t="shared" si="8"/>
        <v>0.30352973160682273</v>
      </c>
      <c r="I28" s="1346">
        <f t="shared" si="9"/>
        <v>0.27238047516143549</v>
      </c>
      <c r="J28" s="1359">
        <f t="shared" si="12"/>
        <v>3.1149256445387241E-2</v>
      </c>
      <c r="L28" s="563">
        <f t="shared" si="13"/>
        <v>2918.1093477556306</v>
      </c>
      <c r="M28" s="563">
        <f t="shared" si="14"/>
        <v>3128.6467742444356</v>
      </c>
      <c r="N28" s="570">
        <f t="shared" si="15"/>
        <v>210.53742648880507</v>
      </c>
    </row>
    <row r="29" spans="1:14" ht="16.5" thickBot="1" x14ac:dyDescent="0.3">
      <c r="B29" s="668" t="s">
        <v>11</v>
      </c>
      <c r="C29" s="1352">
        <f t="shared" si="10"/>
        <v>1319548.6613884377</v>
      </c>
      <c r="D29" s="1352">
        <f t="shared" si="10"/>
        <v>1569581.0951423217</v>
      </c>
      <c r="E29" s="1353">
        <f t="shared" si="7"/>
        <v>1518626.6521499162</v>
      </c>
      <c r="F29" s="570">
        <v>1838126</v>
      </c>
      <c r="G29" s="22">
        <f t="shared" si="11"/>
        <v>3154101.3333333335</v>
      </c>
      <c r="H29" s="1345">
        <f t="shared" si="8"/>
        <v>0.41788619882968842</v>
      </c>
      <c r="I29" s="1346">
        <f t="shared" si="9"/>
        <v>0.45240945923652542</v>
      </c>
      <c r="J29" s="1359">
        <f t="shared" si="12"/>
        <v>-3.4523260406837009E-2</v>
      </c>
      <c r="L29" s="563">
        <f t="shared" si="13"/>
        <v>3207.2599159875799</v>
      </c>
      <c r="M29" s="563">
        <f t="shared" si="14"/>
        <v>2859.2214706003801</v>
      </c>
      <c r="N29" s="570">
        <f t="shared" si="15"/>
        <v>-348.03844538719977</v>
      </c>
    </row>
    <row r="30" spans="1:14" ht="16.5" thickBot="1" x14ac:dyDescent="0.3">
      <c r="B30" s="668" t="s">
        <v>12</v>
      </c>
      <c r="C30" s="1352">
        <f t="shared" si="10"/>
        <v>1512639.3592334688</v>
      </c>
      <c r="D30" s="1352">
        <f t="shared" si="10"/>
        <v>1749382.7152034992</v>
      </c>
      <c r="E30" s="1353">
        <f t="shared" si="7"/>
        <v>1692591.242555408</v>
      </c>
      <c r="F30" s="570">
        <v>1109376</v>
      </c>
      <c r="G30" s="22">
        <f t="shared" si="11"/>
        <v>2664824</v>
      </c>
      <c r="H30" s="1345">
        <f t="shared" si="8"/>
        <v>0.57689950362292319</v>
      </c>
      <c r="I30" s="1346">
        <f t="shared" si="9"/>
        <v>0.60407245910974916</v>
      </c>
      <c r="J30" s="1359">
        <f t="shared" si="12"/>
        <v>-2.7172955486825967E-2</v>
      </c>
      <c r="L30" s="563">
        <f t="shared" si="13"/>
        <v>2304.3692815330623</v>
      </c>
      <c r="M30" s="563">
        <f t="shared" si="14"/>
        <v>1944.4655148891839</v>
      </c>
      <c r="N30" s="570">
        <f t="shared" si="15"/>
        <v>-359.9037666438785</v>
      </c>
    </row>
    <row r="31" spans="1:14" ht="16.5" thickBot="1" x14ac:dyDescent="0.3">
      <c r="B31" s="668" t="s">
        <v>13</v>
      </c>
      <c r="C31" s="1352">
        <f t="shared" si="10"/>
        <v>2611047.9838593812</v>
      </c>
      <c r="D31" s="1352">
        <f t="shared" si="10"/>
        <v>2607974.5406106445</v>
      </c>
      <c r="E31" s="1353">
        <f t="shared" si="7"/>
        <v>2523309.9823622918</v>
      </c>
      <c r="F31" s="570">
        <v>4250438.333333333</v>
      </c>
      <c r="G31" s="22">
        <f t="shared" si="11"/>
        <v>6838899.333333333</v>
      </c>
      <c r="H31" s="1345">
        <f t="shared" si="8"/>
        <v>0.38053679088697162</v>
      </c>
      <c r="I31" s="1346">
        <f t="shared" si="9"/>
        <v>0.37251309980258135</v>
      </c>
      <c r="J31" s="1359">
        <f t="shared" si="12"/>
        <v>8.023691084390272E-3</v>
      </c>
      <c r="L31" s="563">
        <f t="shared" si="13"/>
        <v>2745.3580191389296</v>
      </c>
      <c r="M31" s="563">
        <f t="shared" si="14"/>
        <v>2802.3307473837931</v>
      </c>
      <c r="N31" s="570">
        <f t="shared" si="15"/>
        <v>56.972728244863447</v>
      </c>
    </row>
    <row r="32" spans="1:14" ht="16.5" thickBot="1" x14ac:dyDescent="0.3">
      <c r="B32" s="668" t="s">
        <v>14</v>
      </c>
      <c r="C32" s="1352">
        <f t="shared" si="10"/>
        <v>4359350.8839378646</v>
      </c>
      <c r="D32" s="1352">
        <f t="shared" si="10"/>
        <v>3953605.7346562892</v>
      </c>
      <c r="E32" s="1353">
        <f t="shared" si="7"/>
        <v>3825256.980555932</v>
      </c>
      <c r="F32" s="570">
        <v>15358705.666666666</v>
      </c>
      <c r="G32" s="22">
        <f t="shared" si="11"/>
        <v>17934481.333333332</v>
      </c>
      <c r="H32" s="1345">
        <f t="shared" si="8"/>
        <v>0.22108420638464052</v>
      </c>
      <c r="I32" s="1346">
        <f t="shared" si="9"/>
        <v>0.19939868789880816</v>
      </c>
      <c r="J32" s="1359">
        <f t="shared" si="12"/>
        <v>2.1685518485832361E-2</v>
      </c>
      <c r="L32" s="563">
        <f t="shared" si="13"/>
        <v>3068.5195410025917</v>
      </c>
      <c r="M32" s="563">
        <f t="shared" si="14"/>
        <v>3189.2460110256329</v>
      </c>
      <c r="N32" s="570">
        <f t="shared" si="15"/>
        <v>120.7264700230412</v>
      </c>
    </row>
    <row r="33" spans="2:14" ht="16.5" thickBot="1" x14ac:dyDescent="0.3">
      <c r="B33" s="668" t="s">
        <v>15</v>
      </c>
      <c r="C33" s="1352">
        <f t="shared" si="10"/>
        <v>837447.46579141344</v>
      </c>
      <c r="D33" s="1352">
        <f t="shared" si="10"/>
        <v>849781.00686282944</v>
      </c>
      <c r="E33" s="1353">
        <f t="shared" si="7"/>
        <v>822193.95321887941</v>
      </c>
      <c r="F33" s="570">
        <v>1070846.3333333333</v>
      </c>
      <c r="G33" s="22">
        <f t="shared" si="11"/>
        <v>1847542.6666666667</v>
      </c>
      <c r="H33" s="1345">
        <f t="shared" si="8"/>
        <v>0.4388461913859989</v>
      </c>
      <c r="I33" s="1346">
        <f t="shared" si="9"/>
        <v>0.43432459364947706</v>
      </c>
      <c r="J33" s="1359">
        <f t="shared" si="12"/>
        <v>4.5215977365218318E-3</v>
      </c>
      <c r="L33" s="563">
        <f t="shared" si="13"/>
        <v>3060.8945481068281</v>
      </c>
      <c r="M33" s="563">
        <f t="shared" si="14"/>
        <v>3107.1173134781434</v>
      </c>
      <c r="N33" s="570">
        <f t="shared" si="15"/>
        <v>46.22276537131529</v>
      </c>
    </row>
    <row r="34" spans="2:14" ht="16.5" thickBot="1" x14ac:dyDescent="0.3">
      <c r="B34" s="668" t="s">
        <v>16</v>
      </c>
      <c r="C34" s="1352">
        <f t="shared" si="10"/>
        <v>703836.57753221819</v>
      </c>
      <c r="D34" s="1352">
        <f t="shared" si="10"/>
        <v>673661.53503027791</v>
      </c>
      <c r="E34" s="1353">
        <f t="shared" si="7"/>
        <v>651791.9748086927</v>
      </c>
      <c r="F34" s="570">
        <v>813758.66666666663</v>
      </c>
      <c r="G34" s="22">
        <f t="shared" si="11"/>
        <v>1490976</v>
      </c>
      <c r="H34" s="1345">
        <f t="shared" si="8"/>
        <v>0.46378412176941336</v>
      </c>
      <c r="I34" s="1346">
        <f t="shared" si="9"/>
        <v>0.44474203508419086</v>
      </c>
      <c r="J34" s="1359">
        <f t="shared" si="12"/>
        <v>1.9042086685222503E-2</v>
      </c>
      <c r="L34" s="563">
        <f t="shared" si="13"/>
        <v>3136.013635329808</v>
      </c>
      <c r="M34" s="563">
        <f t="shared" si="14"/>
        <v>3343.3626501645708</v>
      </c>
      <c r="N34" s="570">
        <f t="shared" si="15"/>
        <v>207.34901483476278</v>
      </c>
    </row>
    <row r="35" spans="2:14" ht="16.5" thickBot="1" x14ac:dyDescent="0.3">
      <c r="B35" s="668" t="s">
        <v>17</v>
      </c>
      <c r="C35" s="1352">
        <f t="shared" si="10"/>
        <v>2382525.42204036</v>
      </c>
      <c r="D35" s="1352">
        <f t="shared" si="10"/>
        <v>2744175.4767429889</v>
      </c>
      <c r="E35" s="1353">
        <f t="shared" si="7"/>
        <v>2655089.3292838931</v>
      </c>
      <c r="F35" s="570">
        <v>6112915</v>
      </c>
      <c r="G35" s="22">
        <f t="shared" si="11"/>
        <v>8799602</v>
      </c>
      <c r="H35" s="1345">
        <f t="shared" si="8"/>
        <v>0.28044754641080116</v>
      </c>
      <c r="I35" s="1346">
        <f t="shared" si="9"/>
        <v>0.30281569551879334</v>
      </c>
      <c r="J35" s="1359">
        <f t="shared" si="12"/>
        <v>-2.2368149107992175E-2</v>
      </c>
      <c r="L35" s="563">
        <f t="shared" si="13"/>
        <v>3331.8154610382348</v>
      </c>
      <c r="M35" s="563">
        <f t="shared" si="14"/>
        <v>3190.2973368204084</v>
      </c>
      <c r="N35" s="570">
        <f t="shared" si="15"/>
        <v>-141.51812421782643</v>
      </c>
    </row>
    <row r="36" spans="2:14" ht="16.5" thickBot="1" x14ac:dyDescent="0.3">
      <c r="B36" s="668" t="s">
        <v>18</v>
      </c>
      <c r="C36" s="1352">
        <f t="shared" si="10"/>
        <v>660273.38059496845</v>
      </c>
      <c r="D36" s="1352">
        <f t="shared" si="10"/>
        <v>678718.84852217569</v>
      </c>
      <c r="E36" s="1353">
        <f t="shared" si="7"/>
        <v>656685.10908562981</v>
      </c>
      <c r="F36" s="570">
        <v>1506527.6666666667</v>
      </c>
      <c r="G36" s="22">
        <f t="shared" si="11"/>
        <v>2289525.3333333335</v>
      </c>
      <c r="H36" s="1345">
        <f t="shared" si="8"/>
        <v>0.30472266082269539</v>
      </c>
      <c r="I36" s="1346">
        <f t="shared" si="9"/>
        <v>0.3035693559350654</v>
      </c>
      <c r="J36" s="1359">
        <f t="shared" si="12"/>
        <v>1.1533048876299912E-3</v>
      </c>
      <c r="L36" s="563">
        <f t="shared" si="13"/>
        <v>3944.9199824173493</v>
      </c>
      <c r="M36" s="563">
        <f t="shared" si="14"/>
        <v>3953.6082911566677</v>
      </c>
      <c r="N36" s="570">
        <f t="shared" si="15"/>
        <v>8.6883087393184724</v>
      </c>
    </row>
    <row r="37" spans="2:14" ht="16.5" thickBot="1" x14ac:dyDescent="0.3">
      <c r="B37" s="668" t="s">
        <v>19</v>
      </c>
      <c r="C37" s="1352">
        <f t="shared" si="10"/>
        <v>2306002.7444145144</v>
      </c>
      <c r="D37" s="1352">
        <f t="shared" si="10"/>
        <v>2846110.7489955411</v>
      </c>
      <c r="E37" s="1353">
        <f t="shared" si="7"/>
        <v>2753715.4032828584</v>
      </c>
      <c r="F37" s="570">
        <v>5632322.333333333</v>
      </c>
      <c r="G37" s="22">
        <f t="shared" si="11"/>
        <v>8035410.666666667</v>
      </c>
      <c r="H37" s="1345">
        <f t="shared" si="8"/>
        <v>0.29048983530273137</v>
      </c>
      <c r="I37" s="1346">
        <f t="shared" si="9"/>
        <v>0.32836906889403011</v>
      </c>
      <c r="J37" s="1359">
        <f t="shared" si="12"/>
        <v>-3.7879233591298744E-2</v>
      </c>
      <c r="L37" s="563">
        <f t="shared" si="13"/>
        <v>3160.1808727259527</v>
      </c>
      <c r="M37" s="563">
        <f t="shared" si="14"/>
        <v>2913.23511493867</v>
      </c>
      <c r="N37" s="570">
        <f t="shared" si="15"/>
        <v>-246.94575778728267</v>
      </c>
    </row>
    <row r="38" spans="2:14" ht="16.5" thickBot="1" x14ac:dyDescent="0.3">
      <c r="B38" s="668" t="s">
        <v>20</v>
      </c>
      <c r="C38" s="1352">
        <f t="shared" si="10"/>
        <v>226066.75259185978</v>
      </c>
      <c r="D38" s="1352">
        <f t="shared" si="10"/>
        <v>263009.30079368257</v>
      </c>
      <c r="E38" s="1353">
        <f t="shared" si="7"/>
        <v>254471.04019329674</v>
      </c>
      <c r="F38" s="570">
        <v>396603</v>
      </c>
      <c r="G38" s="22">
        <f t="shared" si="11"/>
        <v>606718.66666666663</v>
      </c>
      <c r="H38" s="1345">
        <f t="shared" si="8"/>
        <v>0.36306043717533737</v>
      </c>
      <c r="I38" s="1346">
        <f t="shared" si="9"/>
        <v>0.39084808252798264</v>
      </c>
      <c r="J38" s="1359">
        <f t="shared" si="12"/>
        <v>-2.7787645352645274E-2</v>
      </c>
      <c r="L38" s="563">
        <f t="shared" si="13"/>
        <v>3806.5191407480684</v>
      </c>
      <c r="M38" s="563">
        <f t="shared" si="14"/>
        <v>3522.4762647336988</v>
      </c>
      <c r="N38" s="570">
        <f t="shared" si="15"/>
        <v>-284.04287601436954</v>
      </c>
    </row>
    <row r="39" spans="2:14" ht="16.5" thickBot="1" x14ac:dyDescent="0.3">
      <c r="B39" s="668" t="s">
        <v>21</v>
      </c>
      <c r="C39" s="1352">
        <f t="shared" si="10"/>
        <v>2116616.0336738764</v>
      </c>
      <c r="D39" s="1352">
        <f t="shared" si="10"/>
        <v>2165111.6623294731</v>
      </c>
      <c r="E39" s="1353">
        <f t="shared" si="7"/>
        <v>2094824.0810685914</v>
      </c>
      <c r="F39" s="570">
        <v>3349329</v>
      </c>
      <c r="G39" s="22">
        <f t="shared" si="11"/>
        <v>5288492.666666667</v>
      </c>
      <c r="H39" s="1345">
        <f t="shared" si="8"/>
        <v>0.38723697743649199</v>
      </c>
      <c r="I39" s="1346">
        <f t="shared" si="9"/>
        <v>0.38478419873113018</v>
      </c>
      <c r="J39" s="1359">
        <f t="shared" si="12"/>
        <v>2.4527787053618133E-3</v>
      </c>
      <c r="L39" s="563">
        <f t="shared" si="13"/>
        <v>3082.4845801679207</v>
      </c>
      <c r="M39" s="563">
        <f t="shared" si="14"/>
        <v>3103.6623766745147</v>
      </c>
      <c r="N39" s="570">
        <f t="shared" si="15"/>
        <v>21.17779650659395</v>
      </c>
    </row>
    <row r="40" spans="2:14" ht="16.5" thickBot="1" x14ac:dyDescent="0.3">
      <c r="B40" s="668" t="s">
        <v>22</v>
      </c>
      <c r="C40" s="1352">
        <f t="shared" si="10"/>
        <v>1298454.5391274567</v>
      </c>
      <c r="D40" s="1352">
        <f t="shared" si="10"/>
        <v>1408500.8916702408</v>
      </c>
      <c r="E40" s="1353">
        <f t="shared" si="7"/>
        <v>1362775.7114858706</v>
      </c>
      <c r="F40" s="570">
        <v>1188319.6666666667</v>
      </c>
      <c r="G40" s="22">
        <f t="shared" si="11"/>
        <v>2504675.3333333335</v>
      </c>
      <c r="H40" s="1345">
        <f t="shared" si="8"/>
        <v>0.52214412394261178</v>
      </c>
      <c r="I40" s="1346">
        <f t="shared" si="9"/>
        <v>0.53419237993084023</v>
      </c>
      <c r="J40" s="1359">
        <f t="shared" si="12"/>
        <v>-1.2048255988228451E-2</v>
      </c>
      <c r="L40" s="563">
        <f t="shared" si="13"/>
        <v>2785.7293168726947</v>
      </c>
      <c r="M40" s="563">
        <f t="shared" si="14"/>
        <v>2637.181574705457</v>
      </c>
      <c r="N40" s="570">
        <f t="shared" si="15"/>
        <v>-148.54774216723763</v>
      </c>
    </row>
    <row r="41" spans="2:14" ht="16.5" thickBot="1" x14ac:dyDescent="0.3">
      <c r="B41" s="668" t="s">
        <v>23</v>
      </c>
      <c r="C41" s="1352">
        <f t="shared" si="10"/>
        <v>5763165.8603479331</v>
      </c>
      <c r="D41" s="1352">
        <f t="shared" si="10"/>
        <v>5849395.3162922775</v>
      </c>
      <c r="E41" s="1353">
        <f t="shared" si="7"/>
        <v>5659502.1778577622</v>
      </c>
      <c r="F41" s="570">
        <v>48927867.333333336</v>
      </c>
      <c r="G41" s="22">
        <f t="shared" si="11"/>
        <v>48397878</v>
      </c>
      <c r="H41" s="1345">
        <f t="shared" si="8"/>
        <v>0.10537679622797436</v>
      </c>
      <c r="I41" s="1346">
        <f t="shared" si="9"/>
        <v>0.10367786959760888</v>
      </c>
      <c r="J41" s="1359">
        <f t="shared" si="12"/>
        <v>1.6989266303654715E-3</v>
      </c>
      <c r="L41" s="563">
        <f t="shared" si="13"/>
        <v>3742.184862604412</v>
      </c>
      <c r="M41" s="563">
        <f t="shared" si="14"/>
        <v>3751.2837551252733</v>
      </c>
      <c r="N41" s="570">
        <f t="shared" si="15"/>
        <v>9.0988925208612272</v>
      </c>
    </row>
    <row r="42" spans="2:14" ht="16.5" thickBot="1" x14ac:dyDescent="0.3">
      <c r="B42" s="493" t="s">
        <v>24</v>
      </c>
      <c r="C42" s="1357">
        <f t="shared" si="10"/>
        <v>32996872.954132624</v>
      </c>
      <c r="D42" s="1357">
        <f t="shared" si="10"/>
        <v>34104016.2269632</v>
      </c>
      <c r="E42" s="1358">
        <f>SUM(E26:E41)</f>
        <v>32996872.954132624</v>
      </c>
      <c r="F42" s="540">
        <v>104514644</v>
      </c>
      <c r="G42" s="22">
        <f t="shared" si="11"/>
        <v>128328050</v>
      </c>
      <c r="H42" s="1354">
        <f t="shared" si="8"/>
        <v>0.23995715911663479</v>
      </c>
      <c r="I42" s="1360">
        <f t="shared" si="9"/>
        <v>0.23995715911663479</v>
      </c>
      <c r="J42" s="1361">
        <f t="shared" si="12"/>
        <v>0</v>
      </c>
      <c r="L42" s="526">
        <f t="shared" si="13"/>
        <v>3325.5835151701453</v>
      </c>
      <c r="M42" s="526">
        <f t="shared" si="14"/>
        <v>3325.5835151701453</v>
      </c>
      <c r="N42" s="540">
        <f t="shared" si="15"/>
        <v>0</v>
      </c>
    </row>
    <row r="44" spans="2:14" ht="16.5" thickBot="1" x14ac:dyDescent="0.3">
      <c r="D44" s="5" t="s">
        <v>789</v>
      </c>
      <c r="E44" s="5">
        <f>C63/D63</f>
        <v>0.9675362788516606</v>
      </c>
      <c r="I44" s="9"/>
      <c r="J44" s="9"/>
      <c r="K44" s="9"/>
      <c r="L44" s="9"/>
    </row>
    <row r="45" spans="2:14" ht="15.75" x14ac:dyDescent="0.25">
      <c r="B45" s="592"/>
      <c r="C45" s="1350" t="s">
        <v>758</v>
      </c>
      <c r="D45" s="1350" t="s">
        <v>759</v>
      </c>
      <c r="E45" s="1348" t="s">
        <v>788</v>
      </c>
      <c r="F45" s="496" t="s">
        <v>217</v>
      </c>
      <c r="G45" s="592" t="s">
        <v>772</v>
      </c>
      <c r="H45" s="496" t="s">
        <v>219</v>
      </c>
      <c r="I45" s="6"/>
      <c r="J45" s="496" t="s">
        <v>799</v>
      </c>
      <c r="K45" s="496"/>
      <c r="L45" s="4"/>
    </row>
    <row r="46" spans="2:14" ht="16.5" thickBot="1" x14ac:dyDescent="0.3">
      <c r="B46" s="593"/>
      <c r="C46" s="1351" t="s">
        <v>757</v>
      </c>
      <c r="D46" s="1351" t="s">
        <v>760</v>
      </c>
      <c r="E46" s="1349"/>
      <c r="F46" s="504" t="s">
        <v>797</v>
      </c>
      <c r="G46" s="593" t="s">
        <v>798</v>
      </c>
      <c r="H46" s="504" t="s">
        <v>664</v>
      </c>
      <c r="I46" s="6"/>
      <c r="J46" s="504">
        <v>0.75</v>
      </c>
      <c r="K46" s="504">
        <v>0.5</v>
      </c>
      <c r="L46" s="1344">
        <v>0.25</v>
      </c>
    </row>
    <row r="47" spans="2:14" ht="15.75" x14ac:dyDescent="0.25">
      <c r="B47" s="668" t="s">
        <v>8</v>
      </c>
      <c r="C47" s="1352">
        <f>C26</f>
        <v>1166928.8290252851</v>
      </c>
      <c r="D47" s="1352">
        <f>D26</f>
        <v>1189222.9546239923</v>
      </c>
      <c r="E47" s="1353">
        <f t="shared" ref="E47:E62" si="16">D47*$E$23</f>
        <v>1150616.3522418747</v>
      </c>
      <c r="F47" s="570">
        <f>C47/A5</f>
        <v>2456.6922716321792</v>
      </c>
      <c r="G47" s="22">
        <f>E47/A5</f>
        <v>2422.3502152460519</v>
      </c>
      <c r="H47" s="570">
        <f>F47-G47</f>
        <v>34.342056386127297</v>
      </c>
      <c r="I47" s="570">
        <f>F47-E5</f>
        <v>-46.935001260436366</v>
      </c>
      <c r="J47" s="497">
        <f>J$46*(-1)*$H47*$A5</f>
        <v>-12234.35758755785</v>
      </c>
      <c r="K47" s="498">
        <f t="shared" ref="K47:L47" si="17">K$46*(-1)*$H47*$A5</f>
        <v>-8156.238391705233</v>
      </c>
      <c r="L47" s="525">
        <f t="shared" si="17"/>
        <v>-4078.1191958526165</v>
      </c>
    </row>
    <row r="48" spans="2:14" ht="15.75" x14ac:dyDescent="0.25">
      <c r="B48" s="668" t="s">
        <v>9</v>
      </c>
      <c r="C48" s="1352">
        <f t="shared" ref="C48:D48" si="18">C27</f>
        <v>1971237.3502511114</v>
      </c>
      <c r="D48" s="1352">
        <f t="shared" si="18"/>
        <v>2216192.0077622063</v>
      </c>
      <c r="E48" s="1353">
        <f t="shared" si="16"/>
        <v>2144246.1684110356</v>
      </c>
      <c r="F48" s="570">
        <f t="shared" ref="F48:F63" si="19">C48/A6</f>
        <v>2081.5600319441514</v>
      </c>
      <c r="G48" s="22">
        <f t="shared" ref="G48:G63" si="20">E48/A6</f>
        <v>2264.2514977941241</v>
      </c>
      <c r="H48" s="570">
        <f t="shared" ref="H48:H63" si="21">F48-G48</f>
        <v>-182.6914658499727</v>
      </c>
      <c r="I48" s="570">
        <f t="shared" ref="I48:I63" si="22">F48-E6</f>
        <v>-258.66384108880129</v>
      </c>
      <c r="J48" s="502">
        <f t="shared" ref="J48:L62" si="23">J$46*(-1)*$H48*$A6</f>
        <v>129756.61361994311</v>
      </c>
      <c r="K48" s="36">
        <f t="shared" si="23"/>
        <v>86504.409079962075</v>
      </c>
      <c r="L48" s="531">
        <f t="shared" si="23"/>
        <v>43252.204539981038</v>
      </c>
    </row>
    <row r="49" spans="2:12" ht="15.75" x14ac:dyDescent="0.25">
      <c r="B49" s="668" t="s">
        <v>10</v>
      </c>
      <c r="C49" s="1352">
        <f t="shared" ref="C49:D49" si="24">C28</f>
        <v>3761731.1103224773</v>
      </c>
      <c r="D49" s="1352">
        <f t="shared" si="24"/>
        <v>3339592.3917247565</v>
      </c>
      <c r="E49" s="1353">
        <f t="shared" si="16"/>
        <v>3231176.7955706883</v>
      </c>
      <c r="F49" s="570">
        <f t="shared" si="19"/>
        <v>1492.7504406041576</v>
      </c>
      <c r="G49" s="22">
        <f t="shared" si="20"/>
        <v>1282.2130141153525</v>
      </c>
      <c r="H49" s="570">
        <f t="shared" si="21"/>
        <v>210.53742648880507</v>
      </c>
      <c r="I49" s="570">
        <f t="shared" si="22"/>
        <v>167.51536452290497</v>
      </c>
      <c r="J49" s="502">
        <f t="shared" si="23"/>
        <v>-397915.73606384156</v>
      </c>
      <c r="K49" s="36">
        <f t="shared" si="23"/>
        <v>-265277.15737589437</v>
      </c>
      <c r="L49" s="531">
        <f t="shared" si="23"/>
        <v>-132638.57868794719</v>
      </c>
    </row>
    <row r="50" spans="2:12" ht="15.75" x14ac:dyDescent="0.25">
      <c r="B50" s="668" t="s">
        <v>11</v>
      </c>
      <c r="C50" s="1352">
        <f t="shared" ref="C50:D50" si="25">C29</f>
        <v>1319548.6613884377</v>
      </c>
      <c r="D50" s="1352">
        <f t="shared" si="25"/>
        <v>1569581.0951423217</v>
      </c>
      <c r="E50" s="1353">
        <f t="shared" si="16"/>
        <v>1518626.6521499162</v>
      </c>
      <c r="F50" s="570">
        <f t="shared" si="19"/>
        <v>2306.9032541755905</v>
      </c>
      <c r="G50" s="22">
        <f t="shared" si="20"/>
        <v>2654.9416995627903</v>
      </c>
      <c r="H50" s="570">
        <f t="shared" si="21"/>
        <v>-348.03844538719977</v>
      </c>
      <c r="I50" s="570">
        <f t="shared" si="22"/>
        <v>-437.11963942986677</v>
      </c>
      <c r="J50" s="502">
        <f t="shared" si="23"/>
        <v>149308.49307110871</v>
      </c>
      <c r="K50" s="36">
        <f t="shared" si="23"/>
        <v>99538.995380739128</v>
      </c>
      <c r="L50" s="531">
        <f t="shared" si="23"/>
        <v>49769.497690369564</v>
      </c>
    </row>
    <row r="51" spans="2:12" ht="15.75" x14ac:dyDescent="0.25">
      <c r="B51" s="668" t="s">
        <v>12</v>
      </c>
      <c r="C51" s="1352">
        <f t="shared" ref="C51:D51" si="26">C30</f>
        <v>1512639.3592334688</v>
      </c>
      <c r="D51" s="1352">
        <f t="shared" si="26"/>
        <v>1749382.7152034992</v>
      </c>
      <c r="E51" s="1353">
        <f t="shared" si="16"/>
        <v>1692591.242555408</v>
      </c>
      <c r="F51" s="570">
        <f t="shared" si="19"/>
        <v>3025.2787184669373</v>
      </c>
      <c r="G51" s="22">
        <f t="shared" si="20"/>
        <v>3385.1824851108163</v>
      </c>
      <c r="H51" s="570">
        <f t="shared" si="21"/>
        <v>-359.90376664387895</v>
      </c>
      <c r="I51" s="570">
        <f t="shared" si="22"/>
        <v>-473.48671194006101</v>
      </c>
      <c r="J51" s="502">
        <f t="shared" si="23"/>
        <v>134963.9124914546</v>
      </c>
      <c r="K51" s="36">
        <f t="shared" si="23"/>
        <v>89975.941660969736</v>
      </c>
      <c r="L51" s="531">
        <f t="shared" si="23"/>
        <v>44987.970830484868</v>
      </c>
    </row>
    <row r="52" spans="2:12" ht="15.75" x14ac:dyDescent="0.25">
      <c r="B52" s="668" t="s">
        <v>13</v>
      </c>
      <c r="C52" s="1352">
        <f t="shared" ref="C52:D52" si="27">C31</f>
        <v>2611047.9838593812</v>
      </c>
      <c r="D52" s="1352">
        <f t="shared" si="27"/>
        <v>2607974.5406106445</v>
      </c>
      <c r="E52" s="1353">
        <f t="shared" si="16"/>
        <v>2523309.9823622918</v>
      </c>
      <c r="F52" s="570">
        <f t="shared" si="19"/>
        <v>1695.485703804793</v>
      </c>
      <c r="G52" s="22">
        <f t="shared" si="20"/>
        <v>1638.5129755599298</v>
      </c>
      <c r="H52" s="570">
        <f t="shared" si="21"/>
        <v>56.97272824486322</v>
      </c>
      <c r="I52" s="570">
        <f t="shared" si="22"/>
        <v>1.9957423693097098</v>
      </c>
      <c r="J52" s="502">
        <f t="shared" si="23"/>
        <v>-65803.501122817019</v>
      </c>
      <c r="K52" s="36">
        <f t="shared" si="23"/>
        <v>-43869.000748544677</v>
      </c>
      <c r="L52" s="531">
        <f t="shared" si="23"/>
        <v>-21934.500374272338</v>
      </c>
    </row>
    <row r="53" spans="2:12" ht="15.75" x14ac:dyDescent="0.25">
      <c r="B53" s="668" t="s">
        <v>14</v>
      </c>
      <c r="C53" s="1352">
        <f t="shared" ref="C53:D53" si="28">C32</f>
        <v>4359350.8839378646</v>
      </c>
      <c r="D53" s="1352">
        <f t="shared" si="28"/>
        <v>3953605.7346562892</v>
      </c>
      <c r="E53" s="1353">
        <f t="shared" si="16"/>
        <v>3825256.980555932</v>
      </c>
      <c r="F53" s="570">
        <f t="shared" si="19"/>
        <v>985.38672783405616</v>
      </c>
      <c r="G53" s="22">
        <f t="shared" si="20"/>
        <v>864.66025781101541</v>
      </c>
      <c r="H53" s="570">
        <f t="shared" si="21"/>
        <v>120.72647002304075</v>
      </c>
      <c r="I53" s="570">
        <f t="shared" si="22"/>
        <v>91.714545497643599</v>
      </c>
      <c r="J53" s="502">
        <f t="shared" si="23"/>
        <v>-400570.42753644922</v>
      </c>
      <c r="K53" s="36">
        <f t="shared" si="23"/>
        <v>-267046.95169096615</v>
      </c>
      <c r="L53" s="531">
        <f t="shared" si="23"/>
        <v>-133523.47584548307</v>
      </c>
    </row>
    <row r="54" spans="2:12" ht="15.75" x14ac:dyDescent="0.25">
      <c r="B54" s="668" t="s">
        <v>15</v>
      </c>
      <c r="C54" s="1352">
        <f t="shared" ref="C54:D54" si="29">C33</f>
        <v>837447.46579141344</v>
      </c>
      <c r="D54" s="1352">
        <f t="shared" si="29"/>
        <v>849781.00686282944</v>
      </c>
      <c r="E54" s="1353">
        <f t="shared" si="16"/>
        <v>822193.95321887941</v>
      </c>
      <c r="F54" s="570">
        <f t="shared" si="19"/>
        <v>2537.7195933073135</v>
      </c>
      <c r="G54" s="22">
        <f t="shared" si="20"/>
        <v>2491.4968279359982</v>
      </c>
      <c r="H54" s="570">
        <f t="shared" si="21"/>
        <v>46.22276537131529</v>
      </c>
      <c r="I54" s="570">
        <f t="shared" si="22"/>
        <v>-37.374366883078892</v>
      </c>
      <c r="J54" s="502">
        <f t="shared" si="23"/>
        <v>-11440.134429400534</v>
      </c>
      <c r="K54" s="36">
        <f t="shared" si="23"/>
        <v>-7626.7562862670229</v>
      </c>
      <c r="L54" s="531">
        <f t="shared" si="23"/>
        <v>-3813.3781431335115</v>
      </c>
    </row>
    <row r="55" spans="2:12" ht="15.75" x14ac:dyDescent="0.25">
      <c r="B55" s="668" t="s">
        <v>16</v>
      </c>
      <c r="C55" s="1352">
        <f t="shared" ref="C55:D55" si="30">C34</f>
        <v>703836.57753221819</v>
      </c>
      <c r="D55" s="1352">
        <f t="shared" si="30"/>
        <v>673661.53503027791</v>
      </c>
      <c r="E55" s="1353">
        <f t="shared" si="16"/>
        <v>651791.9748086927</v>
      </c>
      <c r="F55" s="570">
        <f t="shared" si="19"/>
        <v>2804.1297909650125</v>
      </c>
      <c r="G55" s="22">
        <f t="shared" si="20"/>
        <v>2596.7807761302497</v>
      </c>
      <c r="H55" s="570">
        <f t="shared" si="21"/>
        <v>207.34901483476278</v>
      </c>
      <c r="I55" s="570">
        <f t="shared" si="22"/>
        <v>120.21929283641521</v>
      </c>
      <c r="J55" s="502">
        <f t="shared" si="23"/>
        <v>-39033.452042644094</v>
      </c>
      <c r="K55" s="36">
        <f t="shared" si="23"/>
        <v>-26022.301361762729</v>
      </c>
      <c r="L55" s="531">
        <f t="shared" si="23"/>
        <v>-13011.150680881365</v>
      </c>
    </row>
    <row r="56" spans="2:12" ht="15.75" x14ac:dyDescent="0.25">
      <c r="B56" s="668" t="s">
        <v>17</v>
      </c>
      <c r="C56" s="1352">
        <f t="shared" ref="C56:D56" si="31">C35</f>
        <v>2382525.42204036</v>
      </c>
      <c r="D56" s="1352">
        <f t="shared" si="31"/>
        <v>2744175.4767429889</v>
      </c>
      <c r="E56" s="1353">
        <f t="shared" si="16"/>
        <v>2655089.3292838931</v>
      </c>
      <c r="F56" s="570">
        <f t="shared" si="19"/>
        <v>1237.0329294082867</v>
      </c>
      <c r="G56" s="22">
        <f t="shared" si="20"/>
        <v>1378.5510536261127</v>
      </c>
      <c r="H56" s="570">
        <f t="shared" si="21"/>
        <v>-141.51812421782597</v>
      </c>
      <c r="I56" s="570">
        <f t="shared" si="22"/>
        <v>-187.77261407197761</v>
      </c>
      <c r="J56" s="502">
        <f t="shared" si="23"/>
        <v>204422.93043264962</v>
      </c>
      <c r="K56" s="36">
        <f t="shared" si="23"/>
        <v>136281.95362176641</v>
      </c>
      <c r="L56" s="531">
        <f t="shared" si="23"/>
        <v>68140.976810883207</v>
      </c>
    </row>
    <row r="57" spans="2:12" ht="15.75" x14ac:dyDescent="0.25">
      <c r="B57" s="668" t="s">
        <v>18</v>
      </c>
      <c r="C57" s="1352">
        <f t="shared" ref="C57:D57" si="32">C36</f>
        <v>660273.38059496845</v>
      </c>
      <c r="D57" s="1352">
        <f t="shared" si="32"/>
        <v>678718.84852217569</v>
      </c>
      <c r="E57" s="1353">
        <f t="shared" si="16"/>
        <v>656685.10908562981</v>
      </c>
      <c r="F57" s="570">
        <f t="shared" si="19"/>
        <v>1598.7248924817638</v>
      </c>
      <c r="G57" s="22">
        <f t="shared" si="20"/>
        <v>1590.0365837424451</v>
      </c>
      <c r="H57" s="570">
        <f t="shared" si="21"/>
        <v>8.6883087393186997</v>
      </c>
      <c r="I57" s="570">
        <f t="shared" si="22"/>
        <v>-44.662149944811745</v>
      </c>
      <c r="J57" s="502">
        <f t="shared" si="23"/>
        <v>-2691.2036320039674</v>
      </c>
      <c r="K57" s="36">
        <f t="shared" si="23"/>
        <v>-1794.1357546693116</v>
      </c>
      <c r="L57" s="531">
        <f t="shared" si="23"/>
        <v>-897.0678773346558</v>
      </c>
    </row>
    <row r="58" spans="2:12" ht="15.75" x14ac:dyDescent="0.25">
      <c r="B58" s="668" t="s">
        <v>19</v>
      </c>
      <c r="C58" s="1352">
        <f t="shared" ref="C58:D58" si="33">C37</f>
        <v>2306002.7444145144</v>
      </c>
      <c r="D58" s="1352">
        <f t="shared" si="33"/>
        <v>2846110.7489955411</v>
      </c>
      <c r="E58" s="1353">
        <f t="shared" si="16"/>
        <v>2753715.4032828584</v>
      </c>
      <c r="F58" s="570">
        <f t="shared" si="19"/>
        <v>1271.9264999528486</v>
      </c>
      <c r="G58" s="22">
        <f t="shared" si="20"/>
        <v>1518.8722577401315</v>
      </c>
      <c r="H58" s="570">
        <f t="shared" si="21"/>
        <v>-246.9457577872829</v>
      </c>
      <c r="I58" s="570">
        <f t="shared" si="22"/>
        <v>-297.90844157806214</v>
      </c>
      <c r="J58" s="502">
        <f t="shared" si="23"/>
        <v>335784.49415125791</v>
      </c>
      <c r="K58" s="36">
        <f t="shared" si="23"/>
        <v>223856.32943417196</v>
      </c>
      <c r="L58" s="531">
        <f t="shared" si="23"/>
        <v>111928.16471708598</v>
      </c>
    </row>
    <row r="59" spans="2:12" ht="15.75" x14ac:dyDescent="0.25">
      <c r="B59" s="668" t="s">
        <v>20</v>
      </c>
      <c r="C59" s="1352">
        <f t="shared" ref="C59:D59" si="34">C38</f>
        <v>226066.75259185978</v>
      </c>
      <c r="D59" s="1352">
        <f t="shared" si="34"/>
        <v>263009.30079368257</v>
      </c>
      <c r="E59" s="1353">
        <f t="shared" si="16"/>
        <v>254471.04019329674</v>
      </c>
      <c r="F59" s="570">
        <f t="shared" si="19"/>
        <v>2260.6675259185977</v>
      </c>
      <c r="G59" s="22">
        <f t="shared" si="20"/>
        <v>2544.7104019329672</v>
      </c>
      <c r="H59" s="570">
        <f t="shared" si="21"/>
        <v>-284.04287601436954</v>
      </c>
      <c r="I59" s="570">
        <f t="shared" si="22"/>
        <v>-369.42548201822819</v>
      </c>
      <c r="J59" s="502">
        <f t="shared" si="23"/>
        <v>21303.215701077715</v>
      </c>
      <c r="K59" s="36">
        <f t="shared" si="23"/>
        <v>14202.143800718477</v>
      </c>
      <c r="L59" s="531">
        <f t="shared" si="23"/>
        <v>7101.0719003592385</v>
      </c>
    </row>
    <row r="60" spans="2:12" ht="15.75" x14ac:dyDescent="0.25">
      <c r="B60" s="668" t="s">
        <v>21</v>
      </c>
      <c r="C60" s="1352">
        <f t="shared" ref="C60:D60" si="35">C39</f>
        <v>2116616.0336738764</v>
      </c>
      <c r="D60" s="1352">
        <f t="shared" si="35"/>
        <v>2165111.6623294731</v>
      </c>
      <c r="E60" s="1353">
        <f t="shared" si="16"/>
        <v>2094824.0810685914</v>
      </c>
      <c r="F60" s="570">
        <f t="shared" si="19"/>
        <v>2056.9640754848169</v>
      </c>
      <c r="G60" s="22">
        <f t="shared" si="20"/>
        <v>2035.786278978223</v>
      </c>
      <c r="H60" s="570">
        <f t="shared" si="21"/>
        <v>21.17779650659395</v>
      </c>
      <c r="I60" s="570">
        <f t="shared" si="22"/>
        <v>-47.128890821765253</v>
      </c>
      <c r="J60" s="502">
        <f t="shared" si="23"/>
        <v>-16343.964453963881</v>
      </c>
      <c r="K60" s="36">
        <f t="shared" si="23"/>
        <v>-10895.976302642586</v>
      </c>
      <c r="L60" s="531">
        <f t="shared" si="23"/>
        <v>-5447.9881513212931</v>
      </c>
    </row>
    <row r="61" spans="2:12" ht="15.75" x14ac:dyDescent="0.25">
      <c r="B61" s="668" t="s">
        <v>22</v>
      </c>
      <c r="C61" s="1352">
        <f t="shared" ref="C61:D61" si="36">C40</f>
        <v>1298454.5391274567</v>
      </c>
      <c r="D61" s="1352">
        <f t="shared" si="36"/>
        <v>1408500.8916702408</v>
      </c>
      <c r="E61" s="1353">
        <f t="shared" si="16"/>
        <v>1362775.7114858706</v>
      </c>
      <c r="F61" s="570">
        <f t="shared" si="19"/>
        <v>2998.7402751211471</v>
      </c>
      <c r="G61" s="22">
        <f t="shared" si="20"/>
        <v>3147.2880172883847</v>
      </c>
      <c r="H61" s="570">
        <f t="shared" si="21"/>
        <v>-148.54774216723763</v>
      </c>
      <c r="I61" s="570">
        <f t="shared" si="22"/>
        <v>-254.14862019118709</v>
      </c>
      <c r="J61" s="502">
        <f t="shared" si="23"/>
        <v>48240.879268810422</v>
      </c>
      <c r="K61" s="36">
        <f t="shared" si="23"/>
        <v>32160.586179206948</v>
      </c>
      <c r="L61" s="531">
        <f t="shared" si="23"/>
        <v>16080.293089603474</v>
      </c>
    </row>
    <row r="62" spans="2:12" ht="16.5" thickBot="1" x14ac:dyDescent="0.3">
      <c r="B62" s="668" t="s">
        <v>23</v>
      </c>
      <c r="C62" s="1352">
        <f t="shared" ref="C62:D62" si="37">C41</f>
        <v>5763165.8603479331</v>
      </c>
      <c r="D62" s="1352">
        <f t="shared" si="37"/>
        <v>5849395.3162922775</v>
      </c>
      <c r="E62" s="1353">
        <f t="shared" si="16"/>
        <v>5659502.1778577622</v>
      </c>
      <c r="F62" s="570">
        <f t="shared" si="19"/>
        <v>505.85147549793146</v>
      </c>
      <c r="G62" s="22">
        <f t="shared" si="20"/>
        <v>496.75258297707035</v>
      </c>
      <c r="H62" s="570">
        <f t="shared" si="21"/>
        <v>9.0988925208611136</v>
      </c>
      <c r="I62" s="570">
        <f t="shared" si="22"/>
        <v>-7.5686347708543735</v>
      </c>
      <c r="J62" s="505">
        <f t="shared" si="23"/>
        <v>-77747.761867627996</v>
      </c>
      <c r="K62" s="506">
        <f t="shared" si="23"/>
        <v>-51831.841245085336</v>
      </c>
      <c r="L62" s="571">
        <f t="shared" si="23"/>
        <v>-25915.920622542668</v>
      </c>
    </row>
    <row r="63" spans="2:12" ht="16.5" thickBot="1" x14ac:dyDescent="0.3">
      <c r="B63" s="493" t="s">
        <v>24</v>
      </c>
      <c r="C63" s="1357">
        <f t="shared" ref="C63:D63" si="38">C42</f>
        <v>32996872.954132624</v>
      </c>
      <c r="D63" s="1357">
        <f t="shared" si="38"/>
        <v>34104016.2269632</v>
      </c>
      <c r="E63" s="1358">
        <f>SUM(E47:E62)</f>
        <v>32996872.954132624</v>
      </c>
      <c r="F63" s="540">
        <f t="shared" si="19"/>
        <v>1151.0804770157199</v>
      </c>
      <c r="G63" s="511">
        <f t="shared" si="20"/>
        <v>1151.0804770157199</v>
      </c>
      <c r="H63" s="540">
        <f t="shared" si="21"/>
        <v>0</v>
      </c>
      <c r="I63" s="570">
        <f t="shared" si="22"/>
        <v>-38.622175149325813</v>
      </c>
      <c r="J63" s="510">
        <f>SUM(J47:J62)</f>
        <v>-4.1036400943994522E-9</v>
      </c>
      <c r="K63" s="511">
        <f>SUM(K47:K62)</f>
        <v>-2.6557245291769505E-9</v>
      </c>
      <c r="L63" s="539">
        <f t="shared" ref="L63" si="39">SUM(L47:L62)</f>
        <v>-1.3278622645884752E-9</v>
      </c>
    </row>
    <row r="64" spans="2:12" x14ac:dyDescent="0.2">
      <c r="I64" s="9"/>
      <c r="J64" s="9"/>
      <c r="K64" s="9"/>
      <c r="L64" s="9"/>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109"/>
  <sheetViews>
    <sheetView topLeftCell="A37" zoomScale="85" zoomScaleNormal="85" workbookViewId="0">
      <selection activeCell="N47" sqref="N47"/>
    </sheetView>
  </sheetViews>
  <sheetFormatPr defaultColWidth="8.88671875" defaultRowHeight="15" x14ac:dyDescent="0.2"/>
  <cols>
    <col min="1" max="1" width="2.6640625" style="1" customWidth="1"/>
    <col min="2" max="4" width="16.44140625" style="1" customWidth="1"/>
    <col min="5" max="5" width="10.33203125" style="1" bestFit="1" customWidth="1"/>
    <col min="6" max="6" width="8.88671875" style="1"/>
    <col min="7" max="7" width="10.88671875" style="1" customWidth="1"/>
    <col min="8" max="8" width="8.88671875" style="1"/>
    <col min="9" max="9" width="9.5546875" style="1" customWidth="1"/>
    <col min="10" max="10" width="12.44140625" style="1" customWidth="1"/>
    <col min="11" max="11" width="8.88671875" style="1"/>
    <col min="12" max="12" width="8.33203125" style="1" customWidth="1"/>
    <col min="13" max="14" width="10.77734375" style="1" customWidth="1"/>
    <col min="15" max="15" width="13.109375" style="1" customWidth="1"/>
    <col min="16" max="16" width="12.5546875" style="1" customWidth="1"/>
    <col min="17" max="17" width="13.33203125" style="1" customWidth="1"/>
    <col min="18" max="18" width="10.5546875" style="1" customWidth="1"/>
    <col min="19" max="19" width="11.44140625" style="1" customWidth="1"/>
    <col min="20" max="20" width="11.6640625" style="1" customWidth="1"/>
    <col min="21" max="21" width="11.109375" style="1" customWidth="1"/>
    <col min="22" max="22" width="11" style="1" customWidth="1"/>
    <col min="23" max="23" width="12.77734375" style="1" customWidth="1"/>
    <col min="24" max="24" width="11.21875" style="1" customWidth="1"/>
    <col min="25" max="25" width="10.88671875" style="1" customWidth="1"/>
    <col min="26" max="26" width="10.21875" style="1" customWidth="1"/>
    <col min="27" max="27" width="13.44140625" style="1" customWidth="1"/>
    <col min="28" max="28" width="10.33203125" style="1" customWidth="1"/>
    <col min="29" max="29" width="11.6640625" style="1" bestFit="1" customWidth="1"/>
    <col min="30" max="30" width="8.88671875" style="1"/>
    <col min="31" max="31" width="10.5546875" style="1" customWidth="1"/>
    <col min="32" max="32" width="10.44140625" style="1" customWidth="1"/>
    <col min="33" max="33" width="10.88671875" style="1" customWidth="1"/>
    <col min="34" max="34" width="11.109375" style="1" customWidth="1"/>
    <col min="35" max="35" width="10" style="1" customWidth="1"/>
    <col min="36" max="36" width="11.6640625" style="1" customWidth="1"/>
    <col min="37" max="16384" width="8.88671875" style="1"/>
  </cols>
  <sheetData>
    <row r="2" spans="2:41" ht="15.75" x14ac:dyDescent="0.25">
      <c r="B2" s="23" t="s">
        <v>561</v>
      </c>
      <c r="C2" s="23"/>
      <c r="D2" s="23"/>
      <c r="E2" s="22"/>
      <c r="F2" s="22"/>
      <c r="G2" s="22"/>
      <c r="H2" s="22"/>
      <c r="I2" s="22"/>
      <c r="J2" s="36"/>
      <c r="K2" s="23" t="s">
        <v>560</v>
      </c>
      <c r="L2" s="22"/>
      <c r="M2" s="22"/>
      <c r="N2" s="22"/>
      <c r="O2" s="22"/>
      <c r="P2" s="22"/>
      <c r="Q2" s="22"/>
      <c r="R2" s="22"/>
    </row>
    <row r="3" spans="2:41" ht="15.75" thickBot="1" x14ac:dyDescent="0.25">
      <c r="E3" s="22"/>
      <c r="F3" s="22"/>
      <c r="G3" s="22"/>
      <c r="H3" s="22"/>
      <c r="I3" s="22"/>
      <c r="J3" s="36"/>
      <c r="L3" s="22"/>
      <c r="M3" s="22"/>
      <c r="N3" s="22"/>
      <c r="O3" s="22"/>
      <c r="P3" s="22"/>
      <c r="Q3" s="22"/>
      <c r="R3" s="22"/>
      <c r="W3" s="1" t="s">
        <v>391</v>
      </c>
      <c r="AD3" s="1" t="s">
        <v>449</v>
      </c>
      <c r="AE3" s="1" t="s">
        <v>338</v>
      </c>
      <c r="AI3" s="522"/>
      <c r="AJ3" s="522"/>
    </row>
    <row r="4" spans="2:41" ht="19.5" thickBot="1" x14ac:dyDescent="0.35">
      <c r="B4" s="493"/>
      <c r="C4" s="494"/>
      <c r="D4" s="494"/>
      <c r="E4" s="494">
        <v>2009</v>
      </c>
      <c r="F4" s="494">
        <v>2010</v>
      </c>
      <c r="G4" s="494">
        <v>2011</v>
      </c>
      <c r="H4" s="494">
        <v>2012</v>
      </c>
      <c r="I4" s="494">
        <v>2013</v>
      </c>
      <c r="J4" s="6"/>
      <c r="K4" s="435"/>
      <c r="L4" s="494"/>
      <c r="M4" s="494">
        <v>2009</v>
      </c>
      <c r="N4" s="494">
        <v>2010</v>
      </c>
      <c r="O4" s="494">
        <v>2011</v>
      </c>
      <c r="P4" s="494">
        <v>2012</v>
      </c>
      <c r="Q4" s="494">
        <v>2013</v>
      </c>
      <c r="R4" s="494"/>
      <c r="W4" s="493" t="s">
        <v>393</v>
      </c>
      <c r="X4" s="494">
        <v>2010</v>
      </c>
      <c r="Y4" s="494">
        <v>2011</v>
      </c>
      <c r="Z4" s="494">
        <v>2012</v>
      </c>
      <c r="AA4" s="494">
        <v>2013</v>
      </c>
      <c r="AB4" s="495">
        <v>2014</v>
      </c>
      <c r="AD4" s="603" t="s">
        <v>336</v>
      </c>
      <c r="AG4" s="604"/>
      <c r="AH4" s="604"/>
      <c r="AI4" s="604"/>
      <c r="AJ4" s="604">
        <v>2009</v>
      </c>
      <c r="AK4" s="604">
        <v>2010</v>
      </c>
      <c r="AL4" s="604">
        <v>2011</v>
      </c>
      <c r="AM4" s="604">
        <v>2012</v>
      </c>
      <c r="AN4" s="604">
        <v>2013</v>
      </c>
      <c r="AO4" s="604">
        <v>2014</v>
      </c>
    </row>
    <row r="5" spans="2:41" ht="16.5" customHeight="1" x14ac:dyDescent="0.25">
      <c r="B5" s="496" t="s">
        <v>8</v>
      </c>
      <c r="C5" s="738"/>
      <c r="D5" s="738"/>
      <c r="E5" s="498">
        <v>8151</v>
      </c>
      <c r="F5" s="498">
        <v>8245</v>
      </c>
      <c r="G5" s="498">
        <v>8147</v>
      </c>
      <c r="H5" s="498">
        <v>8958</v>
      </c>
      <c r="I5" s="498">
        <v>9242</v>
      </c>
      <c r="J5" s="36"/>
      <c r="K5" s="496" t="s">
        <v>8</v>
      </c>
      <c r="L5" s="498"/>
      <c r="M5" s="498">
        <v>1385.67</v>
      </c>
      <c r="N5" s="498">
        <v>1401.65</v>
      </c>
      <c r="O5" s="498">
        <v>1384.99</v>
      </c>
      <c r="P5" s="498">
        <v>1522.86</v>
      </c>
      <c r="Q5" s="498">
        <v>1548.0350000000001</v>
      </c>
      <c r="R5" s="498"/>
      <c r="W5" s="496" t="s">
        <v>8</v>
      </c>
      <c r="X5" s="498">
        <v>102003.11</v>
      </c>
      <c r="Y5" s="497">
        <v>116183.19</v>
      </c>
      <c r="Z5" s="497">
        <v>82262.649999999994</v>
      </c>
      <c r="AA5" s="498">
        <v>76005.789999999994</v>
      </c>
      <c r="AB5" s="525">
        <v>85659.71</v>
      </c>
      <c r="AD5" s="592" t="s">
        <v>8</v>
      </c>
      <c r="AJ5" s="1">
        <v>498</v>
      </c>
      <c r="AK5" s="1">
        <v>488</v>
      </c>
      <c r="AL5" s="620">
        <v>480</v>
      </c>
      <c r="AM5" s="620">
        <v>476</v>
      </c>
      <c r="AN5" s="620">
        <v>475</v>
      </c>
      <c r="AO5" s="625">
        <v>474</v>
      </c>
    </row>
    <row r="6" spans="2:41" ht="15.75" x14ac:dyDescent="0.25">
      <c r="B6" s="52" t="s">
        <v>9</v>
      </c>
      <c r="C6" s="6"/>
      <c r="D6" s="6"/>
      <c r="E6" s="36">
        <v>12531</v>
      </c>
      <c r="F6" s="36">
        <v>13671</v>
      </c>
      <c r="G6" s="36">
        <v>14677</v>
      </c>
      <c r="H6" s="36">
        <v>15284</v>
      </c>
      <c r="I6" s="36">
        <v>16160</v>
      </c>
      <c r="J6" s="36"/>
      <c r="K6" s="52" t="s">
        <v>9</v>
      </c>
      <c r="L6" s="36"/>
      <c r="M6" s="36">
        <v>2286.9074999999998</v>
      </c>
      <c r="N6" s="36">
        <v>2494.9575</v>
      </c>
      <c r="O6" s="36">
        <v>2641.86</v>
      </c>
      <c r="P6" s="36">
        <v>2751.12</v>
      </c>
      <c r="Q6" s="36">
        <v>2908.8</v>
      </c>
      <c r="R6" s="36"/>
      <c r="W6" s="52" t="s">
        <v>9</v>
      </c>
      <c r="X6" s="36">
        <v>201892.09</v>
      </c>
      <c r="Y6" s="502">
        <v>91779.75</v>
      </c>
      <c r="Z6" s="502">
        <v>33160.93</v>
      </c>
      <c r="AA6" s="36">
        <v>30864.22</v>
      </c>
      <c r="AB6" s="531">
        <v>44006.11</v>
      </c>
      <c r="AD6" s="562" t="s">
        <v>9</v>
      </c>
      <c r="AJ6" s="1">
        <v>924</v>
      </c>
      <c r="AK6" s="1">
        <v>943</v>
      </c>
      <c r="AL6" s="621">
        <v>978</v>
      </c>
      <c r="AM6" s="621">
        <v>960</v>
      </c>
      <c r="AN6" s="621">
        <v>947</v>
      </c>
      <c r="AO6" s="626">
        <v>932</v>
      </c>
    </row>
    <row r="7" spans="2:41" ht="15.75" x14ac:dyDescent="0.25">
      <c r="B7" s="52" t="s">
        <v>10</v>
      </c>
      <c r="C7" s="6"/>
      <c r="D7" s="6"/>
      <c r="E7" s="36">
        <v>38056</v>
      </c>
      <c r="F7" s="36">
        <v>40748</v>
      </c>
      <c r="G7" s="36">
        <v>42333</v>
      </c>
      <c r="H7" s="36">
        <v>43306</v>
      </c>
      <c r="I7" s="36">
        <v>46000</v>
      </c>
      <c r="J7" s="36"/>
      <c r="K7" s="52" t="s">
        <v>10</v>
      </c>
      <c r="L7" s="36"/>
      <c r="M7" s="36">
        <v>7420.92</v>
      </c>
      <c r="N7" s="36">
        <v>7945.86</v>
      </c>
      <c r="O7" s="36">
        <v>8254.9349999999995</v>
      </c>
      <c r="P7" s="36">
        <v>8444.67</v>
      </c>
      <c r="Q7" s="36">
        <v>8970</v>
      </c>
      <c r="R7" s="36"/>
      <c r="W7" s="52" t="s">
        <v>10</v>
      </c>
      <c r="X7" s="36">
        <v>168202.21</v>
      </c>
      <c r="Y7" s="502">
        <v>118430.2</v>
      </c>
      <c r="Z7" s="502">
        <v>164328.98000000001</v>
      </c>
      <c r="AA7" s="36">
        <v>174074.21</v>
      </c>
      <c r="AB7" s="531">
        <v>296455.96000000002</v>
      </c>
      <c r="AD7" s="562" t="s">
        <v>10</v>
      </c>
      <c r="AJ7" s="1">
        <v>2486</v>
      </c>
      <c r="AK7" s="1">
        <v>2502</v>
      </c>
      <c r="AL7" s="621">
        <v>2527</v>
      </c>
      <c r="AM7" s="621">
        <v>2531</v>
      </c>
      <c r="AN7" s="621">
        <v>2520</v>
      </c>
      <c r="AO7" s="626">
        <v>2534</v>
      </c>
    </row>
    <row r="8" spans="2:41" ht="15.75" x14ac:dyDescent="0.25">
      <c r="B8" s="52" t="s">
        <v>11</v>
      </c>
      <c r="C8" s="6"/>
      <c r="D8" s="6"/>
      <c r="E8" s="36">
        <v>8157</v>
      </c>
      <c r="F8" s="36">
        <v>8751</v>
      </c>
      <c r="G8" s="36">
        <v>9578</v>
      </c>
      <c r="H8" s="36">
        <v>9838</v>
      </c>
      <c r="I8" s="36">
        <v>10168</v>
      </c>
      <c r="J8" s="36"/>
      <c r="K8" s="52" t="s">
        <v>11</v>
      </c>
      <c r="L8" s="36"/>
      <c r="M8" s="36">
        <v>1386.69</v>
      </c>
      <c r="N8" s="36">
        <v>1487.67</v>
      </c>
      <c r="O8" s="36">
        <v>1652.2049999999999</v>
      </c>
      <c r="P8" s="36">
        <v>1697.0550000000001</v>
      </c>
      <c r="Q8" s="36">
        <v>1753.98</v>
      </c>
      <c r="R8" s="36"/>
      <c r="W8" s="52" t="s">
        <v>11</v>
      </c>
      <c r="X8" s="36">
        <v>179764.1</v>
      </c>
      <c r="Y8" s="502">
        <v>107773.96</v>
      </c>
      <c r="Z8" s="502">
        <v>127690.03</v>
      </c>
      <c r="AA8" s="36">
        <v>147121.51999999999</v>
      </c>
      <c r="AB8" s="531">
        <v>198279.13</v>
      </c>
      <c r="AD8" s="562" t="s">
        <v>11</v>
      </c>
      <c r="AJ8" s="1">
        <v>561</v>
      </c>
      <c r="AK8" s="1">
        <v>580</v>
      </c>
      <c r="AL8" s="621">
        <v>577</v>
      </c>
      <c r="AM8" s="621">
        <v>578</v>
      </c>
      <c r="AN8" s="621">
        <v>572</v>
      </c>
      <c r="AO8" s="626">
        <v>568</v>
      </c>
    </row>
    <row r="9" spans="2:41" ht="15.75" x14ac:dyDescent="0.25">
      <c r="B9" s="52" t="s">
        <v>12</v>
      </c>
      <c r="C9" s="6"/>
      <c r="D9" s="6"/>
      <c r="E9" s="36">
        <v>5629</v>
      </c>
      <c r="F9" s="36">
        <v>6221</v>
      </c>
      <c r="G9" s="36">
        <v>6915</v>
      </c>
      <c r="H9" s="36">
        <v>6970</v>
      </c>
      <c r="I9" s="36">
        <v>6978</v>
      </c>
      <c r="J9" s="36"/>
      <c r="K9" s="52" t="s">
        <v>12</v>
      </c>
      <c r="L9" s="36"/>
      <c r="M9" s="36">
        <v>1041.365</v>
      </c>
      <c r="N9" s="36">
        <v>1150.885</v>
      </c>
      <c r="O9" s="36">
        <v>1227.4124999999999</v>
      </c>
      <c r="P9" s="36">
        <v>1219.75</v>
      </c>
      <c r="Q9" s="36">
        <v>1221.1500000000001</v>
      </c>
      <c r="R9" s="36"/>
      <c r="W9" s="52" t="s">
        <v>12</v>
      </c>
      <c r="X9" s="36">
        <v>8075.81</v>
      </c>
      <c r="Y9" s="502">
        <v>5729.07</v>
      </c>
      <c r="Z9" s="502">
        <v>3990.84</v>
      </c>
      <c r="AA9" s="36">
        <v>3528.61</v>
      </c>
      <c r="AB9" s="531">
        <v>5519.64</v>
      </c>
      <c r="AD9" s="562" t="s">
        <v>12</v>
      </c>
      <c r="AJ9" s="1">
        <v>457</v>
      </c>
      <c r="AK9" s="1">
        <v>475</v>
      </c>
      <c r="AL9" s="621">
        <v>492</v>
      </c>
      <c r="AM9" s="621">
        <v>495</v>
      </c>
      <c r="AN9" s="621">
        <v>500</v>
      </c>
      <c r="AO9" s="626">
        <v>494</v>
      </c>
    </row>
    <row r="10" spans="2:41" ht="15.75" x14ac:dyDescent="0.25">
      <c r="B10" s="52" t="s">
        <v>13</v>
      </c>
      <c r="C10" s="6"/>
      <c r="D10" s="6"/>
      <c r="E10" s="36">
        <v>21527</v>
      </c>
      <c r="F10" s="36">
        <v>23664</v>
      </c>
      <c r="G10" s="36">
        <v>24971</v>
      </c>
      <c r="H10" s="36">
        <v>26103</v>
      </c>
      <c r="I10" s="36">
        <v>27141</v>
      </c>
      <c r="J10" s="36"/>
      <c r="K10" s="52" t="s">
        <v>13</v>
      </c>
      <c r="L10" s="36"/>
      <c r="M10" s="36">
        <v>3551.9549999999999</v>
      </c>
      <c r="N10" s="36">
        <v>3904.56</v>
      </c>
      <c r="O10" s="36">
        <v>4120.2150000000001</v>
      </c>
      <c r="P10" s="36">
        <v>4306.9949999999999</v>
      </c>
      <c r="Q10" s="36">
        <v>4478.2650000000003</v>
      </c>
      <c r="R10" s="36"/>
      <c r="W10" s="52" t="s">
        <v>13</v>
      </c>
      <c r="X10" s="36">
        <v>59736.82</v>
      </c>
      <c r="Y10" s="502">
        <v>99653.75</v>
      </c>
      <c r="Z10" s="502">
        <v>93632.71</v>
      </c>
      <c r="AA10" s="36">
        <v>79555.42</v>
      </c>
      <c r="AB10" s="531">
        <v>87945.23</v>
      </c>
      <c r="AD10" s="562" t="s">
        <v>13</v>
      </c>
      <c r="AJ10" s="1">
        <v>1463</v>
      </c>
      <c r="AK10" s="1">
        <v>1508</v>
      </c>
      <c r="AL10" s="621">
        <v>1526</v>
      </c>
      <c r="AM10" s="621">
        <v>1522</v>
      </c>
      <c r="AN10" s="621">
        <v>1540</v>
      </c>
      <c r="AO10" s="626">
        <v>1532</v>
      </c>
    </row>
    <row r="11" spans="2:41" ht="15.75" x14ac:dyDescent="0.25">
      <c r="B11" s="52" t="s">
        <v>14</v>
      </c>
      <c r="C11" s="6"/>
      <c r="D11" s="6"/>
      <c r="E11" s="36">
        <v>64500</v>
      </c>
      <c r="F11" s="36">
        <v>71111</v>
      </c>
      <c r="G11" s="36">
        <v>76448</v>
      </c>
      <c r="H11" s="36">
        <v>81817</v>
      </c>
      <c r="I11" s="36">
        <v>88070</v>
      </c>
      <c r="J11" s="36"/>
      <c r="K11" s="52" t="s">
        <v>14</v>
      </c>
      <c r="L11" s="36"/>
      <c r="M11" s="36">
        <v>10965</v>
      </c>
      <c r="N11" s="36">
        <v>12088.87</v>
      </c>
      <c r="O11" s="36">
        <v>12996.16</v>
      </c>
      <c r="P11" s="36">
        <v>13908.89</v>
      </c>
      <c r="Q11" s="36">
        <v>14971.9</v>
      </c>
      <c r="R11" s="36"/>
      <c r="W11" s="52" t="s">
        <v>14</v>
      </c>
      <c r="X11" s="36">
        <v>681604.15</v>
      </c>
      <c r="Y11" s="502">
        <v>713716.77</v>
      </c>
      <c r="Z11" s="502">
        <v>591525.92000000004</v>
      </c>
      <c r="AA11" s="36">
        <v>633517.21</v>
      </c>
      <c r="AB11" s="531">
        <v>932338.45</v>
      </c>
      <c r="AD11" s="562" t="s">
        <v>14</v>
      </c>
      <c r="AJ11" s="1">
        <v>4022</v>
      </c>
      <c r="AK11" s="1">
        <v>4098</v>
      </c>
      <c r="AL11" s="621">
        <v>4249</v>
      </c>
      <c r="AM11" s="621">
        <v>4355</v>
      </c>
      <c r="AN11" s="621">
        <v>4424</v>
      </c>
      <c r="AO11" s="626">
        <v>4560</v>
      </c>
    </row>
    <row r="12" spans="2:41" ht="15.75" x14ac:dyDescent="0.25">
      <c r="B12" s="52" t="s">
        <v>15</v>
      </c>
      <c r="C12" s="6"/>
      <c r="D12" s="6"/>
      <c r="E12" s="36">
        <v>5990</v>
      </c>
      <c r="F12" s="36">
        <v>6398</v>
      </c>
      <c r="G12" s="36">
        <v>6261</v>
      </c>
      <c r="H12" s="36">
        <v>6430</v>
      </c>
      <c r="I12" s="36">
        <v>6422</v>
      </c>
      <c r="J12" s="36"/>
      <c r="K12" s="52" t="s">
        <v>15</v>
      </c>
      <c r="L12" s="36"/>
      <c r="M12" s="36">
        <v>1108.1500000000001</v>
      </c>
      <c r="N12" s="36">
        <v>1183.6300000000001</v>
      </c>
      <c r="O12" s="36">
        <v>1158.2850000000001</v>
      </c>
      <c r="P12" s="36">
        <v>1189.55</v>
      </c>
      <c r="Q12" s="36">
        <v>1188.07</v>
      </c>
      <c r="R12" s="36"/>
      <c r="W12" s="52" t="s">
        <v>15</v>
      </c>
      <c r="X12" s="36">
        <v>24207.64</v>
      </c>
      <c r="Y12" s="502">
        <v>12490.93</v>
      </c>
      <c r="Z12" s="502">
        <v>6184.55</v>
      </c>
      <c r="AA12" s="36">
        <v>8182.98</v>
      </c>
      <c r="AB12" s="531">
        <v>12112.73</v>
      </c>
      <c r="AD12" s="562" t="s">
        <v>15</v>
      </c>
      <c r="AJ12" s="1">
        <v>372</v>
      </c>
      <c r="AK12" s="1">
        <v>364</v>
      </c>
      <c r="AL12" s="621">
        <v>361</v>
      </c>
      <c r="AM12" s="621">
        <v>338</v>
      </c>
      <c r="AN12" s="621">
        <v>330</v>
      </c>
      <c r="AO12" s="626">
        <v>328</v>
      </c>
    </row>
    <row r="13" spans="2:41" ht="15.75" x14ac:dyDescent="0.25">
      <c r="B13" s="52" t="s">
        <v>16</v>
      </c>
      <c r="C13" s="6"/>
      <c r="D13" s="6"/>
      <c r="E13" s="36">
        <v>3695</v>
      </c>
      <c r="F13" s="36">
        <v>4212</v>
      </c>
      <c r="G13" s="36">
        <v>4305</v>
      </c>
      <c r="H13" s="36">
        <v>4532</v>
      </c>
      <c r="I13" s="36">
        <v>4548</v>
      </c>
      <c r="J13" s="36"/>
      <c r="K13" s="52" t="s">
        <v>16</v>
      </c>
      <c r="L13" s="36"/>
      <c r="M13" s="36">
        <v>683.57500000000005</v>
      </c>
      <c r="N13" s="36">
        <v>779.22</v>
      </c>
      <c r="O13" s="36">
        <v>796.42499999999995</v>
      </c>
      <c r="P13" s="36">
        <v>883.74</v>
      </c>
      <c r="Q13" s="36">
        <v>886.86</v>
      </c>
      <c r="R13" s="36"/>
      <c r="W13" s="52" t="s">
        <v>16</v>
      </c>
      <c r="X13" s="36">
        <v>9196.25</v>
      </c>
      <c r="Y13" s="502">
        <v>9115.4500000000007</v>
      </c>
      <c r="Z13" s="502">
        <v>6836.75</v>
      </c>
      <c r="AA13" s="36">
        <v>7057.38</v>
      </c>
      <c r="AB13" s="531">
        <v>10905.57</v>
      </c>
      <c r="AD13" s="562" t="s">
        <v>16</v>
      </c>
      <c r="AJ13" s="1">
        <v>261</v>
      </c>
      <c r="AK13" s="1">
        <v>259</v>
      </c>
      <c r="AL13" s="621">
        <v>249</v>
      </c>
      <c r="AM13" s="621">
        <v>245</v>
      </c>
      <c r="AN13" s="621">
        <v>251</v>
      </c>
      <c r="AO13" s="626">
        <v>253</v>
      </c>
    </row>
    <row r="14" spans="2:41" ht="15.75" x14ac:dyDescent="0.25">
      <c r="B14" s="52" t="s">
        <v>17</v>
      </c>
      <c r="C14" s="6"/>
      <c r="D14" s="6"/>
      <c r="E14" s="36">
        <v>29368</v>
      </c>
      <c r="F14" s="36">
        <v>32048</v>
      </c>
      <c r="G14" s="36">
        <v>34349</v>
      </c>
      <c r="H14" s="36">
        <v>35413</v>
      </c>
      <c r="I14" s="36">
        <v>38149</v>
      </c>
      <c r="J14" s="36"/>
      <c r="K14" s="52" t="s">
        <v>17</v>
      </c>
      <c r="L14" s="36"/>
      <c r="M14" s="36">
        <v>4845.72</v>
      </c>
      <c r="N14" s="36">
        <v>5287.92</v>
      </c>
      <c r="O14" s="36">
        <v>5667.585</v>
      </c>
      <c r="P14" s="36">
        <v>5754.6125000000002</v>
      </c>
      <c r="Q14" s="36">
        <v>6199.2124999999996</v>
      </c>
      <c r="R14" s="36"/>
      <c r="W14" s="52" t="s">
        <v>17</v>
      </c>
      <c r="X14" s="36">
        <v>77975.37</v>
      </c>
      <c r="Y14" s="502">
        <v>65709.399999999994</v>
      </c>
      <c r="Z14" s="502">
        <v>32351.53</v>
      </c>
      <c r="AA14" s="36">
        <v>30052.1</v>
      </c>
      <c r="AB14" s="531">
        <v>50634.879999999997</v>
      </c>
      <c r="AD14" s="562" t="s">
        <v>17</v>
      </c>
      <c r="AJ14" s="1">
        <v>1782</v>
      </c>
      <c r="AK14" s="1">
        <v>1814</v>
      </c>
      <c r="AL14" s="621">
        <v>1860</v>
      </c>
      <c r="AM14" s="621">
        <v>1883</v>
      </c>
      <c r="AN14" s="621">
        <v>1926</v>
      </c>
      <c r="AO14" s="626">
        <v>1943</v>
      </c>
    </row>
    <row r="15" spans="2:41" ht="15.75" x14ac:dyDescent="0.25">
      <c r="B15" s="52" t="s">
        <v>18</v>
      </c>
      <c r="C15" s="6"/>
      <c r="D15" s="6"/>
      <c r="E15" s="36">
        <v>6108</v>
      </c>
      <c r="F15" s="36">
        <v>6606</v>
      </c>
      <c r="G15" s="36">
        <v>7152</v>
      </c>
      <c r="H15" s="36">
        <v>7609</v>
      </c>
      <c r="I15" s="36">
        <v>7830</v>
      </c>
      <c r="J15" s="36"/>
      <c r="K15" s="52" t="s">
        <v>18</v>
      </c>
      <c r="L15" s="36"/>
      <c r="M15" s="36">
        <v>1129.98</v>
      </c>
      <c r="N15" s="36">
        <v>1222.1099999999999</v>
      </c>
      <c r="O15" s="36">
        <v>1323.12</v>
      </c>
      <c r="P15" s="36">
        <v>1407.665</v>
      </c>
      <c r="Q15" s="36">
        <v>1448.55</v>
      </c>
      <c r="R15" s="36"/>
      <c r="W15" s="52" t="s">
        <v>18</v>
      </c>
      <c r="X15" s="36">
        <v>50376.36</v>
      </c>
      <c r="Y15" s="502">
        <v>39922.160000000003</v>
      </c>
      <c r="Z15" s="502">
        <v>31210.880000000001</v>
      </c>
      <c r="AA15" s="36">
        <v>31596.14</v>
      </c>
      <c r="AB15" s="531">
        <v>45145.440000000002</v>
      </c>
      <c r="AD15" s="562" t="s">
        <v>18</v>
      </c>
      <c r="AJ15" s="1">
        <v>391</v>
      </c>
      <c r="AK15" s="1">
        <v>394</v>
      </c>
      <c r="AL15" s="621">
        <v>399</v>
      </c>
      <c r="AM15" s="621">
        <v>392</v>
      </c>
      <c r="AN15" s="621">
        <v>413</v>
      </c>
      <c r="AO15" s="626">
        <v>418</v>
      </c>
    </row>
    <row r="16" spans="2:41" ht="15.75" x14ac:dyDescent="0.25">
      <c r="B16" s="52" t="s">
        <v>19</v>
      </c>
      <c r="C16" s="6"/>
      <c r="D16" s="6"/>
      <c r="E16" s="36">
        <v>26221</v>
      </c>
      <c r="F16" s="36">
        <v>28353</v>
      </c>
      <c r="G16" s="36">
        <v>30452</v>
      </c>
      <c r="H16" s="36">
        <v>31196</v>
      </c>
      <c r="I16" s="36">
        <v>32575</v>
      </c>
      <c r="J16" s="36"/>
      <c r="K16" s="52" t="s">
        <v>19</v>
      </c>
      <c r="L16" s="36"/>
      <c r="M16" s="36">
        <v>4326.4650000000001</v>
      </c>
      <c r="N16" s="36">
        <v>4607.3625000000002</v>
      </c>
      <c r="O16" s="36">
        <v>4948.45</v>
      </c>
      <c r="P16" s="36">
        <v>5069.3500000000004</v>
      </c>
      <c r="Q16" s="36">
        <v>5293.4375</v>
      </c>
      <c r="R16" s="36"/>
      <c r="W16" s="52" t="s">
        <v>19</v>
      </c>
      <c r="X16" s="36">
        <v>487437.67</v>
      </c>
      <c r="Y16" s="502">
        <v>549176.93000000005</v>
      </c>
      <c r="Z16" s="502">
        <v>438529.56</v>
      </c>
      <c r="AA16" s="36">
        <v>430115.87</v>
      </c>
      <c r="AB16" s="531">
        <v>591330.37</v>
      </c>
      <c r="AD16" s="562" t="s">
        <v>19</v>
      </c>
      <c r="AJ16" s="1">
        <v>1792</v>
      </c>
      <c r="AK16" s="1">
        <v>1802</v>
      </c>
      <c r="AL16" s="621">
        <v>1810</v>
      </c>
      <c r="AM16" s="621">
        <v>1823</v>
      </c>
      <c r="AN16" s="621">
        <v>1813</v>
      </c>
      <c r="AO16" s="626">
        <v>1825</v>
      </c>
    </row>
    <row r="17" spans="2:41" ht="15.75" x14ac:dyDescent="0.25">
      <c r="B17" s="52" t="s">
        <v>20</v>
      </c>
      <c r="C17" s="6"/>
      <c r="D17" s="6"/>
      <c r="E17" s="36">
        <v>1793</v>
      </c>
      <c r="F17" s="36">
        <v>2013</v>
      </c>
      <c r="G17" s="36">
        <v>2088</v>
      </c>
      <c r="H17" s="36">
        <v>1852</v>
      </c>
      <c r="I17" s="36">
        <v>2000</v>
      </c>
      <c r="J17" s="36"/>
      <c r="K17" s="52" t="s">
        <v>20</v>
      </c>
      <c r="L17" s="36"/>
      <c r="M17" s="36">
        <v>313.77499999999998</v>
      </c>
      <c r="N17" s="36">
        <v>352.27499999999998</v>
      </c>
      <c r="O17" s="36">
        <v>375.84</v>
      </c>
      <c r="P17" s="36">
        <v>333.36</v>
      </c>
      <c r="Q17" s="36">
        <v>360</v>
      </c>
      <c r="R17" s="36"/>
      <c r="W17" s="52" t="s">
        <v>20</v>
      </c>
      <c r="X17" s="36">
        <v>1226.75</v>
      </c>
      <c r="Y17" s="502">
        <v>4180.95</v>
      </c>
      <c r="Z17" s="502">
        <v>4992.46</v>
      </c>
      <c r="AA17" s="36">
        <v>5599.93</v>
      </c>
      <c r="AB17" s="531">
        <v>6929.59</v>
      </c>
      <c r="AD17" s="562" t="s">
        <v>20</v>
      </c>
      <c r="AJ17" s="1">
        <v>125</v>
      </c>
      <c r="AK17" s="1">
        <v>119</v>
      </c>
      <c r="AL17" s="621">
        <v>103</v>
      </c>
      <c r="AM17" s="621">
        <v>101</v>
      </c>
      <c r="AN17" s="621">
        <v>100</v>
      </c>
      <c r="AO17" s="626">
        <v>101</v>
      </c>
    </row>
    <row r="18" spans="2:41" ht="15.75" x14ac:dyDescent="0.25">
      <c r="B18" s="52" t="s">
        <v>21</v>
      </c>
      <c r="C18" s="6"/>
      <c r="D18" s="6"/>
      <c r="E18" s="36">
        <v>15507</v>
      </c>
      <c r="F18" s="36">
        <v>16504</v>
      </c>
      <c r="G18" s="36">
        <v>17138</v>
      </c>
      <c r="H18" s="36">
        <v>17313</v>
      </c>
      <c r="I18" s="36">
        <v>18852</v>
      </c>
      <c r="J18" s="36"/>
      <c r="K18" s="52" t="s">
        <v>21</v>
      </c>
      <c r="L18" s="36"/>
      <c r="M18" s="36">
        <v>2868.7950000000001</v>
      </c>
      <c r="N18" s="36">
        <v>3053.24</v>
      </c>
      <c r="O18" s="36">
        <v>3170.53</v>
      </c>
      <c r="P18" s="36">
        <v>3289.47</v>
      </c>
      <c r="Q18" s="36">
        <v>3581.88</v>
      </c>
      <c r="R18" s="36"/>
      <c r="W18" s="52" t="s">
        <v>21</v>
      </c>
      <c r="X18" s="36">
        <v>8951.25</v>
      </c>
      <c r="Y18" s="502">
        <v>9650.2999999999993</v>
      </c>
      <c r="Z18" s="502">
        <v>10117.56</v>
      </c>
      <c r="AA18" s="36">
        <v>12099.48</v>
      </c>
      <c r="AB18" s="531">
        <v>20575.03</v>
      </c>
      <c r="AD18" s="562" t="s">
        <v>21</v>
      </c>
      <c r="AJ18" s="1">
        <v>1032</v>
      </c>
      <c r="AK18" s="1">
        <v>1019</v>
      </c>
      <c r="AL18" s="621">
        <v>1032</v>
      </c>
      <c r="AM18" s="621">
        <v>1035</v>
      </c>
      <c r="AN18" s="621">
        <v>1029</v>
      </c>
      <c r="AO18" s="626">
        <v>1035</v>
      </c>
    </row>
    <row r="19" spans="2:41" ht="15.75" x14ac:dyDescent="0.25">
      <c r="B19" s="52" t="s">
        <v>22</v>
      </c>
      <c r="C19" s="6"/>
      <c r="D19" s="6"/>
      <c r="E19" s="36">
        <v>5777</v>
      </c>
      <c r="F19" s="36">
        <v>6371</v>
      </c>
      <c r="G19" s="36">
        <v>6709</v>
      </c>
      <c r="H19" s="36">
        <v>6603</v>
      </c>
      <c r="I19" s="36">
        <v>6947</v>
      </c>
      <c r="J19" s="36"/>
      <c r="K19" s="52" t="s">
        <v>22</v>
      </c>
      <c r="L19" s="36"/>
      <c r="M19" s="36">
        <v>1010.975</v>
      </c>
      <c r="N19" s="36">
        <v>1114.925</v>
      </c>
      <c r="O19" s="36">
        <v>1174.075</v>
      </c>
      <c r="P19" s="36">
        <v>1188.54</v>
      </c>
      <c r="Q19" s="36">
        <v>1250.46</v>
      </c>
      <c r="R19" s="36"/>
      <c r="W19" s="52" t="s">
        <v>22</v>
      </c>
      <c r="X19" s="36">
        <v>4266.38</v>
      </c>
      <c r="Y19" s="502">
        <v>4220.3900000000003</v>
      </c>
      <c r="Z19" s="502">
        <v>3964.83</v>
      </c>
      <c r="AA19" s="36">
        <v>5026.93</v>
      </c>
      <c r="AB19" s="531">
        <v>7747.31</v>
      </c>
      <c r="AD19" s="562" t="s">
        <v>22</v>
      </c>
      <c r="AJ19" s="1">
        <v>445</v>
      </c>
      <c r="AK19" s="1">
        <v>452</v>
      </c>
      <c r="AL19" s="621">
        <v>449</v>
      </c>
      <c r="AM19" s="621">
        <v>422</v>
      </c>
      <c r="AN19" s="621">
        <v>433</v>
      </c>
      <c r="AO19" s="626">
        <v>439</v>
      </c>
    </row>
    <row r="20" spans="2:41" ht="16.5" thickBot="1" x14ac:dyDescent="0.3">
      <c r="B20" s="504" t="s">
        <v>23</v>
      </c>
      <c r="C20" s="282"/>
      <c r="D20" s="282"/>
      <c r="E20" s="506">
        <v>210939</v>
      </c>
      <c r="F20" s="506">
        <v>224602</v>
      </c>
      <c r="G20" s="506">
        <v>234491</v>
      </c>
      <c r="H20" s="506">
        <v>242628</v>
      </c>
      <c r="I20" s="506">
        <v>253690</v>
      </c>
      <c r="J20" s="36"/>
      <c r="K20" s="504" t="s">
        <v>23</v>
      </c>
      <c r="L20" s="506"/>
      <c r="M20" s="506">
        <v>34804.934999999998</v>
      </c>
      <c r="N20" s="506">
        <v>37059.33</v>
      </c>
      <c r="O20" s="506">
        <v>38691.014999999999</v>
      </c>
      <c r="P20" s="506">
        <v>40033.620000000003</v>
      </c>
      <c r="Q20" s="506">
        <v>41858.85</v>
      </c>
      <c r="R20" s="506"/>
      <c r="W20" s="504" t="s">
        <v>23</v>
      </c>
      <c r="X20" s="36">
        <v>8985874.8000000007</v>
      </c>
      <c r="Y20" s="502">
        <v>7442181.0700000003</v>
      </c>
      <c r="Z20" s="502">
        <v>4228020.12</v>
      </c>
      <c r="AA20" s="36">
        <v>3962625.54</v>
      </c>
      <c r="AB20" s="531">
        <v>4532547.21</v>
      </c>
      <c r="AD20" s="593" t="s">
        <v>23</v>
      </c>
      <c r="AJ20" s="1">
        <v>11123</v>
      </c>
      <c r="AK20" s="1">
        <v>11190</v>
      </c>
      <c r="AL20" s="622">
        <v>11263</v>
      </c>
      <c r="AM20" s="622">
        <v>11346</v>
      </c>
      <c r="AN20" s="622">
        <v>11393</v>
      </c>
      <c r="AO20" s="627">
        <v>11480</v>
      </c>
    </row>
    <row r="21" spans="2:41" ht="19.5" thickBot="1" x14ac:dyDescent="0.35">
      <c r="B21" s="493" t="s">
        <v>81</v>
      </c>
      <c r="C21" s="494"/>
      <c r="D21" s="494"/>
      <c r="E21" s="511">
        <v>463949</v>
      </c>
      <c r="F21" s="511">
        <v>499518</v>
      </c>
      <c r="G21" s="511">
        <v>526014</v>
      </c>
      <c r="H21" s="511">
        <v>545852</v>
      </c>
      <c r="I21" s="511">
        <v>574772</v>
      </c>
      <c r="J21" s="222"/>
      <c r="K21" s="435" t="s">
        <v>81</v>
      </c>
      <c r="L21" s="511"/>
      <c r="M21" s="511">
        <v>79130.877499999988</v>
      </c>
      <c r="N21" s="511">
        <v>85134.465000000011</v>
      </c>
      <c r="O21" s="511">
        <v>89583.102499999994</v>
      </c>
      <c r="P21" s="511">
        <v>93001.247499999998</v>
      </c>
      <c r="Q21" s="511">
        <v>97919.450000000012</v>
      </c>
      <c r="R21" s="511"/>
      <c r="W21" s="493" t="s">
        <v>247</v>
      </c>
      <c r="X21" s="511">
        <v>11050790.76</v>
      </c>
      <c r="Y21" s="510">
        <v>9389914.2699999996</v>
      </c>
      <c r="Z21" s="510">
        <v>5858800.3000000007</v>
      </c>
      <c r="AA21" s="511">
        <v>5637023.3300000001</v>
      </c>
      <c r="AB21" s="539">
        <v>6928132.3599999994</v>
      </c>
      <c r="AD21" s="594" t="s">
        <v>24</v>
      </c>
      <c r="AI21" s="623"/>
      <c r="AJ21" s="623">
        <v>27734</v>
      </c>
      <c r="AK21" s="623">
        <v>28007</v>
      </c>
      <c r="AL21" s="623">
        <v>28355</v>
      </c>
      <c r="AM21" s="623">
        <v>28502</v>
      </c>
      <c r="AN21" s="623">
        <v>28666</v>
      </c>
      <c r="AO21" s="624">
        <v>28916</v>
      </c>
    </row>
    <row r="22" spans="2:41" ht="15.75" x14ac:dyDescent="0.25">
      <c r="B22" s="6"/>
      <c r="C22" s="6"/>
      <c r="D22" s="6"/>
      <c r="E22" s="222"/>
      <c r="F22" s="222"/>
      <c r="G22" s="222"/>
      <c r="H22" s="222"/>
      <c r="I22" s="222"/>
      <c r="J22" s="222"/>
      <c r="K22" s="6"/>
      <c r="L22" s="222"/>
      <c r="M22" s="222"/>
      <c r="N22" s="222"/>
      <c r="O22" s="222"/>
      <c r="P22" s="222"/>
      <c r="Q22" s="222"/>
      <c r="R22" s="222"/>
    </row>
    <row r="23" spans="2:41" x14ac:dyDescent="0.2">
      <c r="B23" s="1" t="s">
        <v>456</v>
      </c>
      <c r="I23" s="986"/>
      <c r="K23" s="815"/>
      <c r="L23" s="815"/>
      <c r="M23" s="815"/>
      <c r="N23" s="517"/>
      <c r="O23" s="218"/>
      <c r="P23" s="218"/>
    </row>
    <row r="24" spans="2:41" ht="15.75" thickBot="1" x14ac:dyDescent="0.25">
      <c r="B24" s="1" t="s">
        <v>471</v>
      </c>
      <c r="S24" s="1" t="s">
        <v>455</v>
      </c>
      <c r="U24" s="1" t="s">
        <v>398</v>
      </c>
      <c r="W24" s="1" t="s">
        <v>787</v>
      </c>
      <c r="AE24" s="1" t="s">
        <v>397</v>
      </c>
    </row>
    <row r="25" spans="2:41" ht="16.5" thickBot="1" x14ac:dyDescent="0.3">
      <c r="B25" s="493" t="s">
        <v>243</v>
      </c>
      <c r="C25" s="493">
        <v>2010</v>
      </c>
      <c r="D25" s="493">
        <v>2011</v>
      </c>
      <c r="E25" s="494">
        <v>2012</v>
      </c>
      <c r="F25" s="495">
        <v>2013</v>
      </c>
      <c r="G25" s="495">
        <v>2014</v>
      </c>
      <c r="H25" s="496" t="s">
        <v>244</v>
      </c>
      <c r="J25" s="493" t="s">
        <v>246</v>
      </c>
      <c r="K25" s="493">
        <v>2010</v>
      </c>
      <c r="L25" s="493">
        <v>2011</v>
      </c>
      <c r="M25" s="494">
        <v>2012</v>
      </c>
      <c r="N25" s="495">
        <v>2013</v>
      </c>
      <c r="O25" s="495">
        <v>2014</v>
      </c>
      <c r="P25" s="496" t="s">
        <v>244</v>
      </c>
      <c r="S25" s="435" t="s">
        <v>801</v>
      </c>
      <c r="U25" s="435" t="s">
        <v>392</v>
      </c>
      <c r="W25" s="493" t="s">
        <v>393</v>
      </c>
      <c r="X25" s="494">
        <v>2010</v>
      </c>
      <c r="Y25" s="494">
        <v>2011</v>
      </c>
      <c r="Z25" s="494">
        <v>2012</v>
      </c>
      <c r="AA25" s="495">
        <v>2013</v>
      </c>
      <c r="AB25" s="495">
        <v>2014</v>
      </c>
      <c r="AE25" s="592">
        <v>2010</v>
      </c>
      <c r="AF25" s="592">
        <v>2011</v>
      </c>
      <c r="AG25" s="592">
        <v>2012</v>
      </c>
      <c r="AH25" s="592">
        <v>2013</v>
      </c>
      <c r="AI25" s="592">
        <v>2014</v>
      </c>
      <c r="AJ25" s="496" t="s">
        <v>394</v>
      </c>
    </row>
    <row r="26" spans="2:41" ht="16.5" thickBot="1" x14ac:dyDescent="0.3">
      <c r="B26" s="496" t="s">
        <v>8</v>
      </c>
      <c r="C26" s="498">
        <v>14613.715922513582</v>
      </c>
      <c r="D26" s="497">
        <v>14440.050385728064</v>
      </c>
      <c r="E26" s="498">
        <v>16289.063235294119</v>
      </c>
      <c r="F26" s="525">
        <v>16717.083155650318</v>
      </c>
      <c r="G26" s="525">
        <v>16815.177501963866</v>
      </c>
      <c r="H26" s="526">
        <f>AVERAGE(C26:G26)</f>
        <v>15775.018040229992</v>
      </c>
      <c r="I26" s="22"/>
      <c r="J26" s="496" t="s">
        <v>8</v>
      </c>
      <c r="K26" s="1">
        <v>0.17</v>
      </c>
      <c r="L26" s="811">
        <v>0.17</v>
      </c>
      <c r="M26" s="812">
        <v>0.17</v>
      </c>
      <c r="N26" s="812">
        <v>0.16750000000000001</v>
      </c>
      <c r="O26" s="812">
        <v>0.16750000000000001</v>
      </c>
      <c r="P26" s="829">
        <f>AVERAGE(K26:O26)</f>
        <v>0.16899999999999998</v>
      </c>
      <c r="S26" s="496">
        <v>474</v>
      </c>
      <c r="U26" s="563">
        <f>AJ26</f>
        <v>991.28393216698441</v>
      </c>
      <c r="W26" s="496" t="s">
        <v>8</v>
      </c>
      <c r="X26" s="498">
        <f>X5/AJ5</f>
        <v>204.82552208835341</v>
      </c>
      <c r="Y26" s="498">
        <f t="shared" ref="Y26:AB41" si="0">Y5/AK5</f>
        <v>238.08030737704919</v>
      </c>
      <c r="Z26" s="498">
        <f t="shared" si="0"/>
        <v>171.38052083333332</v>
      </c>
      <c r="AA26" s="498">
        <f t="shared" si="0"/>
        <v>159.67602941176469</v>
      </c>
      <c r="AB26" s="498">
        <f t="shared" si="0"/>
        <v>180.33623157894738</v>
      </c>
      <c r="AE26" s="497">
        <f>X26/$K$42</f>
        <v>1202.1823116263706</v>
      </c>
      <c r="AF26" s="498">
        <f>Y26/$L$42</f>
        <v>1398.0344946709474</v>
      </c>
      <c r="AG26" s="498">
        <f t="shared" ref="AG26:AG42" si="1">Z26/$M$42</f>
        <v>1006.3448081816401</v>
      </c>
      <c r="AH26" s="498">
        <f t="shared" ref="AH26:AH42" si="2">AA26/$N$42</f>
        <v>937.60275314542787</v>
      </c>
      <c r="AI26" s="498">
        <f t="shared" ref="AI26:AI41" si="3">AB26/$O$42</f>
        <v>1029.9042351738856</v>
      </c>
      <c r="AJ26" s="563">
        <f>AVERAGE(AG26:AI26)</f>
        <v>991.28393216698441</v>
      </c>
    </row>
    <row r="27" spans="2:41" ht="16.5" thickBot="1" x14ac:dyDescent="0.3">
      <c r="B27" s="52" t="s">
        <v>9</v>
      </c>
      <c r="C27" s="36">
        <v>12881.417600664177</v>
      </c>
      <c r="D27" s="502">
        <v>13275.795569694827</v>
      </c>
      <c r="E27" s="36">
        <v>13441.957452851624</v>
      </c>
      <c r="F27" s="531">
        <v>14431.577430555559</v>
      </c>
      <c r="G27" s="531">
        <v>14667.834298924055</v>
      </c>
      <c r="H27" s="526">
        <f t="shared" ref="H27:H41" si="4">AVERAGE(C27:G27)</f>
        <v>13739.716470538051</v>
      </c>
      <c r="J27" s="52" t="s">
        <v>9</v>
      </c>
      <c r="K27" s="1">
        <v>0.1825</v>
      </c>
      <c r="L27" s="814">
        <v>0.18</v>
      </c>
      <c r="M27" s="815">
        <v>0.18</v>
      </c>
      <c r="N27" s="815">
        <v>0.18</v>
      </c>
      <c r="O27" s="815">
        <v>0.185</v>
      </c>
      <c r="P27" s="829">
        <f t="shared" ref="P27:P42" si="5">AVERAGE(K27:O27)</f>
        <v>0.18149999999999999</v>
      </c>
      <c r="S27" s="52">
        <v>932</v>
      </c>
      <c r="U27" s="563">
        <f t="shared" ref="U27:U42" si="6">AJ27</f>
        <v>217.7564437525003</v>
      </c>
      <c r="W27" s="52" t="s">
        <v>9</v>
      </c>
      <c r="X27" s="498">
        <f t="shared" ref="X27:X42" si="7">X6/AJ6</f>
        <v>218.49793290043289</v>
      </c>
      <c r="Y27" s="498">
        <f t="shared" si="0"/>
        <v>97.327412513255567</v>
      </c>
      <c r="Z27" s="498">
        <f t="shared" si="0"/>
        <v>33.90688139059305</v>
      </c>
      <c r="AA27" s="498">
        <f t="shared" si="0"/>
        <v>32.150229166666669</v>
      </c>
      <c r="AB27" s="498">
        <f t="shared" si="0"/>
        <v>46.4689651531151</v>
      </c>
      <c r="AE27" s="502">
        <f>X27/$K$42</f>
        <v>1282.429784050637</v>
      </c>
      <c r="AF27" s="36">
        <f>Y27/$L$42</f>
        <v>571.51757518151157</v>
      </c>
      <c r="AG27" s="36">
        <f t="shared" si="1"/>
        <v>199.10088896414004</v>
      </c>
      <c r="AH27" s="36">
        <f t="shared" si="2"/>
        <v>188.78314730127005</v>
      </c>
      <c r="AI27" s="36">
        <f t="shared" si="3"/>
        <v>265.38529499209079</v>
      </c>
      <c r="AJ27" s="563">
        <f t="shared" ref="AJ27:AJ42" si="8">AVERAGE(AG27:AI27)</f>
        <v>217.7564437525003</v>
      </c>
    </row>
    <row r="28" spans="2:41" ht="16.5" thickBot="1" x14ac:dyDescent="0.3">
      <c r="B28" s="52" t="s">
        <v>10</v>
      </c>
      <c r="C28" s="36">
        <v>14859.903521257504</v>
      </c>
      <c r="D28" s="502">
        <v>15019.080919879481</v>
      </c>
      <c r="E28" s="36">
        <v>15260.400434284093</v>
      </c>
      <c r="F28" s="531">
        <v>16204.840065242279</v>
      </c>
      <c r="G28" s="531">
        <v>16547.439682539687</v>
      </c>
      <c r="H28" s="526">
        <f t="shared" si="4"/>
        <v>15578.33292464061</v>
      </c>
      <c r="J28" s="52" t="s">
        <v>10</v>
      </c>
      <c r="K28" s="1">
        <v>0.19500000000000001</v>
      </c>
      <c r="L28" s="814">
        <v>0.19500000000000001</v>
      </c>
      <c r="M28" s="815">
        <v>0.19500000000000001</v>
      </c>
      <c r="N28" s="815">
        <v>0.19500000000000001</v>
      </c>
      <c r="O28" s="815">
        <v>0.19500000000000001</v>
      </c>
      <c r="P28" s="829">
        <f t="shared" si="5"/>
        <v>0.19500000000000001</v>
      </c>
      <c r="S28" s="52">
        <v>2534</v>
      </c>
      <c r="U28" s="563">
        <f t="shared" si="6"/>
        <v>485.85145781281443</v>
      </c>
      <c r="W28" s="52" t="s">
        <v>10</v>
      </c>
      <c r="X28" s="498">
        <f t="shared" si="7"/>
        <v>67.659778761061943</v>
      </c>
      <c r="Y28" s="498">
        <f t="shared" si="0"/>
        <v>47.334212629896079</v>
      </c>
      <c r="Z28" s="498">
        <f t="shared" si="0"/>
        <v>65.029275821131776</v>
      </c>
      <c r="AA28" s="498">
        <f t="shared" si="0"/>
        <v>68.77685104701699</v>
      </c>
      <c r="AB28" s="498">
        <f t="shared" si="0"/>
        <v>117.64125396825398</v>
      </c>
      <c r="AE28" s="502">
        <f t="shared" ref="AE28:AE42" si="9">X28/$K$42</f>
        <v>397.11549813609531</v>
      </c>
      <c r="AF28" s="36">
        <f t="shared" ref="AF28:AF42" si="10">Y28/$L$42</f>
        <v>277.95185063283049</v>
      </c>
      <c r="AG28" s="36">
        <f t="shared" si="1"/>
        <v>381.85129665961114</v>
      </c>
      <c r="AH28" s="36">
        <f t="shared" si="2"/>
        <v>403.85125514402944</v>
      </c>
      <c r="AI28" s="36">
        <f t="shared" si="3"/>
        <v>671.85182163480283</v>
      </c>
      <c r="AJ28" s="563">
        <f t="shared" si="8"/>
        <v>485.85145781281443</v>
      </c>
    </row>
    <row r="29" spans="2:41" ht="16.5" thickBot="1" x14ac:dyDescent="0.3">
      <c r="B29" s="52" t="s">
        <v>11</v>
      </c>
      <c r="C29" s="36">
        <v>14112.415854042152</v>
      </c>
      <c r="D29" s="502">
        <v>14600.60539730135</v>
      </c>
      <c r="E29" s="36">
        <v>14927.662522291716</v>
      </c>
      <c r="F29" s="531">
        <v>15346.192467779952</v>
      </c>
      <c r="G29" s="531">
        <v>15172.326238978414</v>
      </c>
      <c r="H29" s="526">
        <f t="shared" si="4"/>
        <v>14831.840496078716</v>
      </c>
      <c r="J29" s="52" t="s">
        <v>11</v>
      </c>
      <c r="K29" s="1">
        <v>0.17</v>
      </c>
      <c r="L29" s="814">
        <v>0.17249999999999999</v>
      </c>
      <c r="M29" s="815">
        <v>0.17249999999999999</v>
      </c>
      <c r="N29" s="815">
        <v>0.17249999999999999</v>
      </c>
      <c r="O29" s="815">
        <v>0.17249999999999999</v>
      </c>
      <c r="P29" s="829">
        <f t="shared" si="5"/>
        <v>0.17199999999999999</v>
      </c>
      <c r="S29" s="52">
        <v>568</v>
      </c>
      <c r="U29" s="563">
        <f t="shared" si="6"/>
        <v>1591.2529268671387</v>
      </c>
      <c r="W29" s="52" t="s">
        <v>11</v>
      </c>
      <c r="X29" s="498">
        <f t="shared" si="7"/>
        <v>320.43511586452763</v>
      </c>
      <c r="Y29" s="498">
        <f t="shared" si="0"/>
        <v>185.81717241379312</v>
      </c>
      <c r="Z29" s="498">
        <f t="shared" si="0"/>
        <v>221.29987868284229</v>
      </c>
      <c r="AA29" s="498">
        <f t="shared" si="0"/>
        <v>254.53550173010379</v>
      </c>
      <c r="AB29" s="498">
        <f t="shared" si="0"/>
        <v>346.64183566433564</v>
      </c>
      <c r="AE29" s="502">
        <f t="shared" si="9"/>
        <v>1880.7296297290181</v>
      </c>
      <c r="AF29" s="36">
        <f t="shared" si="10"/>
        <v>1091.1394545760911</v>
      </c>
      <c r="AG29" s="36">
        <f t="shared" si="1"/>
        <v>1299.4708084723563</v>
      </c>
      <c r="AH29" s="36">
        <f t="shared" si="2"/>
        <v>1494.6087279009864</v>
      </c>
      <c r="AI29" s="36">
        <f t="shared" si="3"/>
        <v>1979.6792442280732</v>
      </c>
      <c r="AJ29" s="563">
        <f t="shared" si="8"/>
        <v>1591.2529268671387</v>
      </c>
    </row>
    <row r="30" spans="2:41" ht="16.5" thickBot="1" x14ac:dyDescent="0.3">
      <c r="B30" s="52" t="s">
        <v>12</v>
      </c>
      <c r="C30" s="36">
        <v>10696.366077236977</v>
      </c>
      <c r="D30" s="502">
        <v>11655.825055596739</v>
      </c>
      <c r="E30" s="36">
        <v>11553.919976771198</v>
      </c>
      <c r="F30" s="531">
        <v>11638.021702741704</v>
      </c>
      <c r="G30" s="531">
        <v>11979.646742857143</v>
      </c>
      <c r="H30" s="526">
        <f t="shared" si="4"/>
        <v>11504.755911040751</v>
      </c>
      <c r="J30" s="52" t="s">
        <v>12</v>
      </c>
      <c r="K30" s="1">
        <v>0.185</v>
      </c>
      <c r="L30" s="814">
        <v>0.17749999999999999</v>
      </c>
      <c r="M30" s="815">
        <v>0.17499999999999999</v>
      </c>
      <c r="N30" s="815">
        <v>0.17499999999999999</v>
      </c>
      <c r="O30" s="815">
        <v>0.17499999999999999</v>
      </c>
      <c r="P30" s="829">
        <f t="shared" si="5"/>
        <v>0.17749999999999999</v>
      </c>
      <c r="S30" s="52">
        <v>494</v>
      </c>
      <c r="U30" s="563">
        <f t="shared" si="6"/>
        <v>50.844642588063287</v>
      </c>
      <c r="W30" s="52" t="s">
        <v>12</v>
      </c>
      <c r="X30" s="498">
        <f t="shared" si="7"/>
        <v>17.671356673960613</v>
      </c>
      <c r="Y30" s="498">
        <f t="shared" si="0"/>
        <v>12.061199999999999</v>
      </c>
      <c r="Z30" s="498">
        <f t="shared" si="0"/>
        <v>8.1114634146341462</v>
      </c>
      <c r="AA30" s="498">
        <f t="shared" si="0"/>
        <v>7.1285050505050505</v>
      </c>
      <c r="AB30" s="498">
        <f t="shared" si="0"/>
        <v>11.039280000000002</v>
      </c>
      <c r="AE30" s="502">
        <f t="shared" si="9"/>
        <v>103.71848292768993</v>
      </c>
      <c r="AF30" s="36">
        <f t="shared" si="10"/>
        <v>70.824730667122424</v>
      </c>
      <c r="AG30" s="36">
        <f t="shared" si="1"/>
        <v>47.630436962032569</v>
      </c>
      <c r="AH30" s="36">
        <f t="shared" si="2"/>
        <v>41.857916844418838</v>
      </c>
      <c r="AI30" s="36">
        <f t="shared" si="3"/>
        <v>63.045573957738441</v>
      </c>
      <c r="AJ30" s="563">
        <f t="shared" si="8"/>
        <v>50.844642588063287</v>
      </c>
    </row>
    <row r="31" spans="2:41" ht="16.5" thickBot="1" x14ac:dyDescent="0.3">
      <c r="B31" s="52" t="s">
        <v>13</v>
      </c>
      <c r="C31" s="36">
        <v>13975.399407609933</v>
      </c>
      <c r="D31" s="502">
        <v>14050.480548187446</v>
      </c>
      <c r="E31" s="36">
        <v>14348.477342229635</v>
      </c>
      <c r="F31" s="531">
        <v>15259.456377175165</v>
      </c>
      <c r="G31" s="531">
        <v>15186.525465838509</v>
      </c>
      <c r="H31" s="526">
        <f t="shared" si="4"/>
        <v>14564.067828208139</v>
      </c>
      <c r="J31" s="52" t="s">
        <v>13</v>
      </c>
      <c r="K31" s="1">
        <v>0.16500000000000001</v>
      </c>
      <c r="L31" s="814">
        <v>0.16500000000000001</v>
      </c>
      <c r="M31" s="815">
        <v>0.16500000000000001</v>
      </c>
      <c r="N31" s="815">
        <v>0.16500000000000001</v>
      </c>
      <c r="O31" s="815">
        <v>0.17249999999999999</v>
      </c>
      <c r="P31" s="829">
        <f t="shared" si="5"/>
        <v>0.16650000000000001</v>
      </c>
      <c r="S31" s="52">
        <v>1532</v>
      </c>
      <c r="U31" s="563">
        <f t="shared" si="6"/>
        <v>331.12086041744755</v>
      </c>
      <c r="W31" s="52" t="s">
        <v>13</v>
      </c>
      <c r="X31" s="498">
        <f t="shared" si="7"/>
        <v>40.831729323308274</v>
      </c>
      <c r="Y31" s="498">
        <f t="shared" si="0"/>
        <v>66.083388594164461</v>
      </c>
      <c r="Z31" s="498">
        <f t="shared" si="0"/>
        <v>61.358263433813896</v>
      </c>
      <c r="AA31" s="498">
        <f t="shared" si="0"/>
        <v>52.270315374507227</v>
      </c>
      <c r="AB31" s="498">
        <f t="shared" si="0"/>
        <v>57.107292207792206</v>
      </c>
      <c r="AE31" s="502">
        <f t="shared" si="9"/>
        <v>239.653643965437</v>
      </c>
      <c r="AF31" s="36">
        <f t="shared" si="10"/>
        <v>388.04913265284455</v>
      </c>
      <c r="AG31" s="36">
        <f t="shared" si="1"/>
        <v>360.29514641112092</v>
      </c>
      <c r="AH31" s="36">
        <f t="shared" si="2"/>
        <v>306.92641709255122</v>
      </c>
      <c r="AI31" s="36">
        <f t="shared" si="3"/>
        <v>326.14101774867049</v>
      </c>
      <c r="AJ31" s="563">
        <f t="shared" si="8"/>
        <v>331.12086041744755</v>
      </c>
    </row>
    <row r="32" spans="2:41" ht="16.5" thickBot="1" x14ac:dyDescent="0.3">
      <c r="B32" s="52" t="s">
        <v>14</v>
      </c>
      <c r="C32" s="36">
        <v>16073.146181296985</v>
      </c>
      <c r="D32" s="502">
        <v>16800.346194700429</v>
      </c>
      <c r="E32" s="36">
        <v>17314.539601013388</v>
      </c>
      <c r="F32" s="531">
        <v>18337.882015263051</v>
      </c>
      <c r="G32" s="531">
        <v>19022.034171896608</v>
      </c>
      <c r="H32" s="526">
        <f t="shared" si="4"/>
        <v>17509.589632834093</v>
      </c>
      <c r="J32" s="52" t="s">
        <v>14</v>
      </c>
      <c r="K32" s="1">
        <v>0.17</v>
      </c>
      <c r="L32" s="814">
        <v>0.17</v>
      </c>
      <c r="M32" s="815">
        <v>0.17</v>
      </c>
      <c r="N32" s="815">
        <v>0.17</v>
      </c>
      <c r="O32" s="815">
        <v>0.17</v>
      </c>
      <c r="P32" s="829">
        <f t="shared" si="5"/>
        <v>0.17</v>
      </c>
      <c r="S32" s="52">
        <v>4560</v>
      </c>
      <c r="U32" s="563">
        <f t="shared" si="6"/>
        <v>958.40793659714143</v>
      </c>
      <c r="W32" s="52" t="s">
        <v>14</v>
      </c>
      <c r="X32" s="498">
        <f t="shared" si="7"/>
        <v>169.46895822973644</v>
      </c>
      <c r="Y32" s="498">
        <f t="shared" si="0"/>
        <v>174.16221815519765</v>
      </c>
      <c r="Z32" s="498">
        <f t="shared" si="0"/>
        <v>139.21532595904921</v>
      </c>
      <c r="AA32" s="498">
        <f t="shared" si="0"/>
        <v>145.46893455797934</v>
      </c>
      <c r="AB32" s="498">
        <f t="shared" si="0"/>
        <v>210.74558092224231</v>
      </c>
      <c r="AE32" s="502">
        <f t="shared" si="9"/>
        <v>994.66405297702806</v>
      </c>
      <c r="AF32" s="36">
        <f t="shared" si="10"/>
        <v>1022.7002448537869</v>
      </c>
      <c r="AG32" s="36">
        <f t="shared" si="1"/>
        <v>817.47108607779921</v>
      </c>
      <c r="AH32" s="36">
        <f t="shared" si="2"/>
        <v>854.18001713314356</v>
      </c>
      <c r="AI32" s="36">
        <f t="shared" si="3"/>
        <v>1203.5727065804815</v>
      </c>
      <c r="AJ32" s="563">
        <f t="shared" si="8"/>
        <v>958.40793659714143</v>
      </c>
    </row>
    <row r="33" spans="2:36" ht="16.5" thickBot="1" x14ac:dyDescent="0.3">
      <c r="B33" s="52" t="s">
        <v>15</v>
      </c>
      <c r="C33" s="36">
        <v>15029.913978494626</v>
      </c>
      <c r="D33" s="502">
        <v>14831.871398871399</v>
      </c>
      <c r="E33" s="36">
        <v>15152.498465224226</v>
      </c>
      <c r="F33" s="531">
        <v>16100.796577642732</v>
      </c>
      <c r="G33" s="531">
        <v>16106.151515151516</v>
      </c>
      <c r="H33" s="526">
        <f t="shared" si="4"/>
        <v>15444.246387076899</v>
      </c>
      <c r="J33" s="52" t="s">
        <v>15</v>
      </c>
      <c r="K33" s="1">
        <v>0.185</v>
      </c>
      <c r="L33" s="814">
        <v>0.185</v>
      </c>
      <c r="M33" s="815">
        <v>0.185</v>
      </c>
      <c r="N33" s="815">
        <v>0.185</v>
      </c>
      <c r="O33" s="815">
        <v>0.185</v>
      </c>
      <c r="P33" s="829">
        <f t="shared" si="5"/>
        <v>0.185</v>
      </c>
      <c r="S33" s="52">
        <v>328</v>
      </c>
      <c r="U33" s="563">
        <f t="shared" si="6"/>
        <v>150.7935343629828</v>
      </c>
      <c r="W33" s="52" t="s">
        <v>15</v>
      </c>
      <c r="X33" s="498">
        <f t="shared" si="7"/>
        <v>65.074301075268821</v>
      </c>
      <c r="Y33" s="498">
        <f t="shared" si="0"/>
        <v>34.315741758241757</v>
      </c>
      <c r="Z33" s="498">
        <f t="shared" si="0"/>
        <v>17.131717451523546</v>
      </c>
      <c r="AA33" s="498">
        <f t="shared" si="0"/>
        <v>24.209999999999997</v>
      </c>
      <c r="AB33" s="498">
        <f t="shared" si="0"/>
        <v>36.705242424242421</v>
      </c>
      <c r="AE33" s="502">
        <f t="shared" si="9"/>
        <v>381.94055553482895</v>
      </c>
      <c r="AF33" s="36">
        <f t="shared" si="10"/>
        <v>201.50591712847799</v>
      </c>
      <c r="AG33" s="36">
        <f t="shared" si="1"/>
        <v>100.59728391969199</v>
      </c>
      <c r="AH33" s="36">
        <f t="shared" si="2"/>
        <v>142.15886214902554</v>
      </c>
      <c r="AI33" s="36">
        <f t="shared" si="3"/>
        <v>209.62445702023084</v>
      </c>
      <c r="AJ33" s="563">
        <f t="shared" si="8"/>
        <v>150.7935343629828</v>
      </c>
    </row>
    <row r="34" spans="2:36" ht="16.5" thickBot="1" x14ac:dyDescent="0.3">
      <c r="B34" s="52" t="s">
        <v>16</v>
      </c>
      <c r="C34" s="36">
        <v>13401.663042352699</v>
      </c>
      <c r="D34" s="502">
        <v>13502.271105081914</v>
      </c>
      <c r="E34" s="36">
        <v>14523.792812274742</v>
      </c>
      <c r="F34" s="531">
        <v>14770.399790685506</v>
      </c>
      <c r="G34" s="531">
        <v>15666.213525644258</v>
      </c>
      <c r="H34" s="526">
        <f t="shared" si="4"/>
        <v>14372.868055207824</v>
      </c>
      <c r="J34" s="52" t="s">
        <v>16</v>
      </c>
      <c r="K34" s="1">
        <v>0.185</v>
      </c>
      <c r="L34" s="814">
        <v>0.185</v>
      </c>
      <c r="M34" s="815">
        <v>0.19500000000000001</v>
      </c>
      <c r="N34" s="815">
        <v>0.19500000000000001</v>
      </c>
      <c r="O34" s="815">
        <v>0.19750000000000001</v>
      </c>
      <c r="P34" s="829">
        <f t="shared" si="5"/>
        <v>0.1915</v>
      </c>
      <c r="S34" s="52">
        <v>253</v>
      </c>
      <c r="U34" s="563">
        <f t="shared" si="6"/>
        <v>192.83516402802084</v>
      </c>
      <c r="W34" s="52" t="s">
        <v>16</v>
      </c>
      <c r="X34" s="498">
        <f t="shared" si="7"/>
        <v>35.234674329501914</v>
      </c>
      <c r="Y34" s="498">
        <f t="shared" si="0"/>
        <v>35.194787644787645</v>
      </c>
      <c r="Z34" s="498">
        <f t="shared" si="0"/>
        <v>27.456827309236949</v>
      </c>
      <c r="AA34" s="498">
        <f t="shared" si="0"/>
        <v>28.805632653061224</v>
      </c>
      <c r="AB34" s="498">
        <f t="shared" si="0"/>
        <v>43.44848605577689</v>
      </c>
      <c r="AE34" s="502">
        <f t="shared" si="9"/>
        <v>206.80285251059294</v>
      </c>
      <c r="AF34" s="36">
        <f t="shared" si="10"/>
        <v>206.66777400496247</v>
      </c>
      <c r="AG34" s="36">
        <f t="shared" si="1"/>
        <v>161.22623199786815</v>
      </c>
      <c r="AH34" s="36">
        <f t="shared" si="2"/>
        <v>169.14398849409335</v>
      </c>
      <c r="AI34" s="36">
        <f t="shared" si="3"/>
        <v>248.13527159210102</v>
      </c>
      <c r="AJ34" s="563">
        <f t="shared" si="8"/>
        <v>192.83516402802084</v>
      </c>
    </row>
    <row r="35" spans="2:36" ht="16.5" thickBot="1" x14ac:dyDescent="0.3">
      <c r="B35" s="52" t="s">
        <v>17</v>
      </c>
      <c r="C35" s="36">
        <v>16053.454647484949</v>
      </c>
      <c r="D35" s="502">
        <v>16692.817714075707</v>
      </c>
      <c r="E35" s="36">
        <v>16891.604301075269</v>
      </c>
      <c r="F35" s="531">
        <v>18075.730577229464</v>
      </c>
      <c r="G35" s="531">
        <v>17983.990948683375</v>
      </c>
      <c r="H35" s="526">
        <f t="shared" si="4"/>
        <v>17139.519637709753</v>
      </c>
      <c r="J35" s="52" t="s">
        <v>17</v>
      </c>
      <c r="K35" s="1">
        <v>0.16500000000000001</v>
      </c>
      <c r="L35" s="814">
        <v>0.16500000000000001</v>
      </c>
      <c r="M35" s="815">
        <v>0.16250000000000001</v>
      </c>
      <c r="N35" s="815">
        <v>0.16250000000000001</v>
      </c>
      <c r="O35" s="815">
        <v>0.16750000000000001</v>
      </c>
      <c r="P35" s="829">
        <f t="shared" si="5"/>
        <v>0.16450000000000001</v>
      </c>
      <c r="S35" s="52">
        <v>1943</v>
      </c>
      <c r="U35" s="563">
        <f t="shared" si="6"/>
        <v>115.33029185248874</v>
      </c>
      <c r="W35" s="52" t="s">
        <v>17</v>
      </c>
      <c r="X35" s="498">
        <f t="shared" si="7"/>
        <v>43.757222222222218</v>
      </c>
      <c r="Y35" s="498">
        <f t="shared" si="0"/>
        <v>36.223484013230426</v>
      </c>
      <c r="Z35" s="498">
        <f t="shared" si="0"/>
        <v>17.393295698924732</v>
      </c>
      <c r="AA35" s="498">
        <f t="shared" si="0"/>
        <v>15.959691980881571</v>
      </c>
      <c r="AB35" s="498">
        <f t="shared" si="0"/>
        <v>26.290176531671857</v>
      </c>
      <c r="AE35" s="502">
        <f t="shared" si="9"/>
        <v>256.82423764929354</v>
      </c>
      <c r="AF35" s="36">
        <f t="shared" si="10"/>
        <v>212.70839543841907</v>
      </c>
      <c r="AG35" s="36">
        <f t="shared" si="1"/>
        <v>102.13326893085573</v>
      </c>
      <c r="AH35" s="36">
        <f t="shared" si="2"/>
        <v>93.713822893475921</v>
      </c>
      <c r="AI35" s="36">
        <f t="shared" si="3"/>
        <v>150.14378373313454</v>
      </c>
      <c r="AJ35" s="563">
        <f t="shared" si="8"/>
        <v>115.33029185248874</v>
      </c>
    </row>
    <row r="36" spans="2:36" ht="16.5" thickBot="1" x14ac:dyDescent="0.3">
      <c r="B36" s="52" t="s">
        <v>18</v>
      </c>
      <c r="C36" s="36">
        <v>15475.618027234395</v>
      </c>
      <c r="D36" s="502">
        <v>16150.293318699409</v>
      </c>
      <c r="E36" s="36">
        <v>16875.3468807153</v>
      </c>
      <c r="F36" s="531">
        <v>17619.191947049087</v>
      </c>
      <c r="G36" s="531">
        <v>17036.55118892407</v>
      </c>
      <c r="H36" s="526">
        <f t="shared" si="4"/>
        <v>16631.400272524454</v>
      </c>
      <c r="J36" s="52" t="s">
        <v>18</v>
      </c>
      <c r="K36" s="1">
        <v>0.185</v>
      </c>
      <c r="L36" s="814">
        <v>0.185</v>
      </c>
      <c r="M36" s="815">
        <v>0.185</v>
      </c>
      <c r="N36" s="815">
        <v>0.185</v>
      </c>
      <c r="O36" s="815">
        <v>0.19500000000000001</v>
      </c>
      <c r="P36" s="829">
        <f t="shared" si="5"/>
        <v>0.187</v>
      </c>
      <c r="S36" s="52">
        <v>418</v>
      </c>
      <c r="U36" s="563">
        <f t="shared" si="6"/>
        <v>518.96352383361216</v>
      </c>
      <c r="W36" s="52" t="s">
        <v>18</v>
      </c>
      <c r="X36" s="498">
        <f t="shared" si="7"/>
        <v>128.83979539641945</v>
      </c>
      <c r="Y36" s="498">
        <f t="shared" si="0"/>
        <v>101.32527918781727</v>
      </c>
      <c r="Z36" s="498">
        <f t="shared" si="0"/>
        <v>78.222756892230578</v>
      </c>
      <c r="AA36" s="498">
        <f t="shared" si="0"/>
        <v>80.602397959183676</v>
      </c>
      <c r="AB36" s="498">
        <f t="shared" si="0"/>
        <v>109.31099273607748</v>
      </c>
      <c r="AE36" s="502">
        <f t="shared" si="9"/>
        <v>756.19933238751059</v>
      </c>
      <c r="AF36" s="36">
        <f t="shared" si="10"/>
        <v>594.99350050145461</v>
      </c>
      <c r="AG36" s="36">
        <f t="shared" si="1"/>
        <v>459.32329355390823</v>
      </c>
      <c r="AH36" s="36">
        <f t="shared" si="2"/>
        <v>473.28976374888441</v>
      </c>
      <c r="AI36" s="36">
        <f t="shared" si="3"/>
        <v>624.27751419804383</v>
      </c>
      <c r="AJ36" s="563">
        <f t="shared" si="8"/>
        <v>518.96352383361216</v>
      </c>
    </row>
    <row r="37" spans="2:36" ht="16.5" thickBot="1" x14ac:dyDescent="0.3">
      <c r="B37" s="52" t="s">
        <v>19</v>
      </c>
      <c r="C37" s="36">
        <v>14087.736538461539</v>
      </c>
      <c r="D37" s="502">
        <v>14864.889917186032</v>
      </c>
      <c r="E37" s="36">
        <v>15033.088040798977</v>
      </c>
      <c r="F37" s="531">
        <v>15703.416684248283</v>
      </c>
      <c r="G37" s="531">
        <v>16169.135612615357</v>
      </c>
      <c r="H37" s="526">
        <f t="shared" si="4"/>
        <v>15171.653358662039</v>
      </c>
      <c r="J37" s="52" t="s">
        <v>19</v>
      </c>
      <c r="K37" s="1">
        <v>0.16250000000000001</v>
      </c>
      <c r="L37" s="814">
        <v>0.16250000000000001</v>
      </c>
      <c r="M37" s="815">
        <v>0.16250000000000001</v>
      </c>
      <c r="N37" s="815">
        <v>0.16250000000000001</v>
      </c>
      <c r="O37" s="815">
        <v>0.16750000000000001</v>
      </c>
      <c r="P37" s="829">
        <f t="shared" si="5"/>
        <v>0.16350000000000001</v>
      </c>
      <c r="S37" s="52">
        <v>1825</v>
      </c>
      <c r="U37" s="563">
        <f t="shared" si="6"/>
        <v>1556.9326313502168</v>
      </c>
      <c r="W37" s="52" t="s">
        <v>19</v>
      </c>
      <c r="X37" s="498">
        <f t="shared" si="7"/>
        <v>272.00762834821427</v>
      </c>
      <c r="Y37" s="498">
        <f t="shared" si="0"/>
        <v>304.75967258601554</v>
      </c>
      <c r="Z37" s="498">
        <f t="shared" si="0"/>
        <v>242.28152486187844</v>
      </c>
      <c r="AA37" s="498">
        <f t="shared" si="0"/>
        <v>235.93849149753154</v>
      </c>
      <c r="AB37" s="498">
        <f t="shared" si="0"/>
        <v>326.16126309983451</v>
      </c>
      <c r="AE37" s="502">
        <f t="shared" si="9"/>
        <v>1596.4942068430671</v>
      </c>
      <c r="AF37" s="36">
        <f t="shared" si="10"/>
        <v>1789.5832694180485</v>
      </c>
      <c r="AG37" s="36">
        <f t="shared" si="1"/>
        <v>1422.6748377092099</v>
      </c>
      <c r="AH37" s="36">
        <f t="shared" si="2"/>
        <v>1385.4088181927561</v>
      </c>
      <c r="AI37" s="36">
        <f t="shared" si="3"/>
        <v>1862.7142381486835</v>
      </c>
      <c r="AJ37" s="563">
        <f t="shared" si="8"/>
        <v>1556.9326313502168</v>
      </c>
    </row>
    <row r="38" spans="2:36" ht="16.5" thickBot="1" x14ac:dyDescent="0.3">
      <c r="B38" s="52" t="s">
        <v>20</v>
      </c>
      <c r="C38" s="36">
        <v>15415.710171428571</v>
      </c>
      <c r="D38" s="502">
        <v>17001.843604108308</v>
      </c>
      <c r="E38" s="36">
        <v>17202.742718446603</v>
      </c>
      <c r="F38" s="531">
        <v>19051.536853685368</v>
      </c>
      <c r="G38" s="531">
        <v>19306.344444444447</v>
      </c>
      <c r="H38" s="526">
        <f t="shared" si="4"/>
        <v>17595.635558422659</v>
      </c>
      <c r="J38" s="52" t="s">
        <v>20</v>
      </c>
      <c r="K38" s="1">
        <v>0.17499999999999999</v>
      </c>
      <c r="L38" s="814">
        <v>0.18</v>
      </c>
      <c r="M38" s="815">
        <v>0.18</v>
      </c>
      <c r="N38" s="815">
        <v>0.18</v>
      </c>
      <c r="O38" s="815">
        <v>0.18</v>
      </c>
      <c r="P38" s="829">
        <f t="shared" si="5"/>
        <v>0.17899999999999996</v>
      </c>
      <c r="S38" s="52">
        <v>101</v>
      </c>
      <c r="U38" s="563">
        <f t="shared" si="6"/>
        <v>335.31188683215737</v>
      </c>
      <c r="W38" s="52" t="s">
        <v>20</v>
      </c>
      <c r="X38" s="498">
        <f t="shared" si="7"/>
        <v>9.8140000000000001</v>
      </c>
      <c r="Y38" s="498">
        <f t="shared" si="0"/>
        <v>35.134033613445375</v>
      </c>
      <c r="Z38" s="498">
        <f t="shared" si="0"/>
        <v>48.470485436893206</v>
      </c>
      <c r="AA38" s="498">
        <f t="shared" si="0"/>
        <v>55.444851485148519</v>
      </c>
      <c r="AB38" s="498">
        <f t="shared" si="0"/>
        <v>69.295900000000003</v>
      </c>
      <c r="AE38" s="502">
        <f t="shared" si="9"/>
        <v>57.601304202763991</v>
      </c>
      <c r="AF38" s="36">
        <f t="shared" si="10"/>
        <v>206.31101946090729</v>
      </c>
      <c r="AG38" s="36">
        <f t="shared" si="1"/>
        <v>284.61823509626072</v>
      </c>
      <c r="AH38" s="36">
        <f t="shared" si="2"/>
        <v>325.56699707354085</v>
      </c>
      <c r="AI38" s="36">
        <f t="shared" si="3"/>
        <v>395.75042832667049</v>
      </c>
      <c r="AJ38" s="563">
        <f t="shared" si="8"/>
        <v>335.31188683215737</v>
      </c>
    </row>
    <row r="39" spans="2:36" ht="16.5" thickBot="1" x14ac:dyDescent="0.3">
      <c r="B39" s="52" t="s">
        <v>21</v>
      </c>
      <c r="C39" s="36">
        <v>14142.106851037081</v>
      </c>
      <c r="D39" s="502">
        <v>14899.455693180915</v>
      </c>
      <c r="E39" s="36">
        <v>14715.752447980418</v>
      </c>
      <c r="F39" s="531">
        <v>15881.277803203662</v>
      </c>
      <c r="G39" s="531">
        <v>15826.009319478706</v>
      </c>
      <c r="H39" s="526">
        <f t="shared" si="4"/>
        <v>15092.920422976156</v>
      </c>
      <c r="J39" s="52" t="s">
        <v>21</v>
      </c>
      <c r="K39" s="1">
        <v>0.185</v>
      </c>
      <c r="L39" s="814">
        <v>0.185</v>
      </c>
      <c r="M39" s="815">
        <v>0.19</v>
      </c>
      <c r="N39" s="815">
        <v>0.19</v>
      </c>
      <c r="O39" s="815">
        <v>0.19500000000000001</v>
      </c>
      <c r="P39" s="829">
        <f t="shared" si="5"/>
        <v>0.189</v>
      </c>
      <c r="S39" s="52">
        <v>1035</v>
      </c>
      <c r="U39" s="563">
        <f t="shared" si="6"/>
        <v>80.135121191612157</v>
      </c>
      <c r="W39" s="52" t="s">
        <v>21</v>
      </c>
      <c r="X39" s="498">
        <f t="shared" si="7"/>
        <v>8.6736918604651159</v>
      </c>
      <c r="Y39" s="498">
        <f t="shared" si="0"/>
        <v>9.4703631010794886</v>
      </c>
      <c r="Z39" s="498">
        <f t="shared" si="0"/>
        <v>9.8038372093023245</v>
      </c>
      <c r="AA39" s="498">
        <f t="shared" si="0"/>
        <v>11.69031884057971</v>
      </c>
      <c r="AB39" s="498">
        <f t="shared" si="0"/>
        <v>19.99517006802721</v>
      </c>
      <c r="AE39" s="502">
        <f t="shared" si="9"/>
        <v>50.908494336222653</v>
      </c>
      <c r="AF39" s="36">
        <f t="shared" si="10"/>
        <v>55.611043341774383</v>
      </c>
      <c r="AG39" s="36">
        <f t="shared" si="1"/>
        <v>57.56803998415927</v>
      </c>
      <c r="AH39" s="36">
        <f t="shared" si="2"/>
        <v>68.644461980013531</v>
      </c>
      <c r="AI39" s="36">
        <f t="shared" si="3"/>
        <v>114.19286161066367</v>
      </c>
      <c r="AJ39" s="563">
        <f t="shared" si="8"/>
        <v>80.135121191612157</v>
      </c>
    </row>
    <row r="40" spans="2:36" ht="16.5" thickBot="1" x14ac:dyDescent="0.3">
      <c r="B40" s="52" t="s">
        <v>22</v>
      </c>
      <c r="C40" s="36">
        <v>11997.971621187802</v>
      </c>
      <c r="D40" s="502">
        <v>12419.850442477877</v>
      </c>
      <c r="E40" s="36">
        <v>12266.160975006187</v>
      </c>
      <c r="F40" s="531">
        <v>13688.936413902053</v>
      </c>
      <c r="G40" s="531">
        <v>13983.016291117907</v>
      </c>
      <c r="H40" s="526">
        <f t="shared" si="4"/>
        <v>12871.187148738365</v>
      </c>
      <c r="J40" s="52" t="s">
        <v>22</v>
      </c>
      <c r="K40" s="1">
        <v>0.17499999999999999</v>
      </c>
      <c r="L40" s="814">
        <v>0.17499999999999999</v>
      </c>
      <c r="M40" s="815">
        <v>0.18</v>
      </c>
      <c r="N40" s="815">
        <v>0.18</v>
      </c>
      <c r="O40" s="815">
        <v>0.185</v>
      </c>
      <c r="P40" s="829">
        <f t="shared" si="5"/>
        <v>0.17899999999999999</v>
      </c>
      <c r="S40" s="52">
        <v>439</v>
      </c>
      <c r="U40" s="563">
        <f t="shared" si="6"/>
        <v>74.66047582141961</v>
      </c>
      <c r="W40" s="52" t="s">
        <v>22</v>
      </c>
      <c r="X40" s="498">
        <f t="shared" si="7"/>
        <v>9.5873707865168534</v>
      </c>
      <c r="Y40" s="498">
        <f t="shared" si="0"/>
        <v>9.3371460176991157</v>
      </c>
      <c r="Z40" s="498">
        <f t="shared" si="0"/>
        <v>8.8303563474387534</v>
      </c>
      <c r="AA40" s="498">
        <f t="shared" si="0"/>
        <v>11.912156398104266</v>
      </c>
      <c r="AB40" s="498">
        <f t="shared" si="0"/>
        <v>17.892170900692843</v>
      </c>
      <c r="AE40" s="502">
        <f t="shared" si="9"/>
        <v>56.271149498558181</v>
      </c>
      <c r="AF40" s="36">
        <f t="shared" si="10"/>
        <v>54.828777559706715</v>
      </c>
      <c r="AG40" s="36">
        <f t="shared" si="1"/>
        <v>51.851769509329145</v>
      </c>
      <c r="AH40" s="36">
        <f t="shared" si="2"/>
        <v>69.947071428985424</v>
      </c>
      <c r="AI40" s="36">
        <f t="shared" si="3"/>
        <v>102.18258652594427</v>
      </c>
      <c r="AJ40" s="563">
        <f t="shared" si="8"/>
        <v>74.66047582141961</v>
      </c>
    </row>
    <row r="41" spans="2:36" ht="16.5" thickBot="1" x14ac:dyDescent="0.3">
      <c r="B41" s="504" t="s">
        <v>23</v>
      </c>
      <c r="C41" s="36">
        <v>18166.806927496669</v>
      </c>
      <c r="D41" s="502">
        <v>18694.468221084844</v>
      </c>
      <c r="E41" s="36">
        <v>19257.874929710855</v>
      </c>
      <c r="F41" s="531">
        <v>20023.735562926999</v>
      </c>
      <c r="G41" s="531">
        <v>20253.023354029996</v>
      </c>
      <c r="H41" s="526">
        <f t="shared" si="4"/>
        <v>19279.181799049875</v>
      </c>
      <c r="J41" s="504" t="s">
        <v>23</v>
      </c>
      <c r="K41" s="1">
        <v>0.16500000000000001</v>
      </c>
      <c r="L41" s="814">
        <v>0.16500000000000001</v>
      </c>
      <c r="M41" s="815">
        <v>0.16500000000000001</v>
      </c>
      <c r="N41" s="815">
        <v>0.16500000000000001</v>
      </c>
      <c r="O41" s="815">
        <v>0.17249999999999999</v>
      </c>
      <c r="P41" s="829">
        <f t="shared" si="5"/>
        <v>0.16650000000000001</v>
      </c>
      <c r="S41" s="435">
        <v>11480</v>
      </c>
      <c r="U41" s="563">
        <f t="shared" si="6"/>
        <v>2175.706845185035</v>
      </c>
      <c r="W41" s="504" t="s">
        <v>23</v>
      </c>
      <c r="X41" s="498">
        <f t="shared" si="7"/>
        <v>807.86431718061681</v>
      </c>
      <c r="Y41" s="498">
        <f t="shared" si="0"/>
        <v>665.0742689901698</v>
      </c>
      <c r="Z41" s="498">
        <f t="shared" si="0"/>
        <v>375.39022640504305</v>
      </c>
      <c r="AA41" s="498">
        <f t="shared" si="0"/>
        <v>349.25308831306188</v>
      </c>
      <c r="AB41" s="498">
        <f>AB20/AN20</f>
        <v>397.83614587904856</v>
      </c>
      <c r="AE41" s="502">
        <f t="shared" si="9"/>
        <v>4741.5975431504921</v>
      </c>
      <c r="AF41" s="36">
        <f t="shared" si="10"/>
        <v>3905.3913354278275</v>
      </c>
      <c r="AG41" s="36">
        <f t="shared" si="1"/>
        <v>2204.2878825898006</v>
      </c>
      <c r="AH41" s="36">
        <f t="shared" si="2"/>
        <v>2050.781562850806</v>
      </c>
      <c r="AI41" s="36">
        <f t="shared" si="3"/>
        <v>2272.0510901144976</v>
      </c>
      <c r="AJ41" s="563">
        <f t="shared" si="8"/>
        <v>2175.706845185035</v>
      </c>
    </row>
    <row r="42" spans="2:36" ht="16.5" thickBot="1" x14ac:dyDescent="0.3">
      <c r="B42" s="493" t="s">
        <v>247</v>
      </c>
      <c r="C42" s="511">
        <v>16115.302734596999</v>
      </c>
      <c r="D42" s="510">
        <v>16621.609460050826</v>
      </c>
      <c r="E42" s="511">
        <v>17037.791059249827</v>
      </c>
      <c r="F42" s="539">
        <v>17911.101579959399</v>
      </c>
      <c r="G42" s="539">
        <v>18176.041742761601</v>
      </c>
      <c r="H42" s="540">
        <f>AVERAGE(C42:G42)</f>
        <v>17172.369315323733</v>
      </c>
      <c r="J42" s="493" t="s">
        <v>247</v>
      </c>
      <c r="K42" s="493">
        <v>0.17037808667410478</v>
      </c>
      <c r="L42" s="817">
        <v>0.17029644710811351</v>
      </c>
      <c r="M42" s="818">
        <v>0.17030000000000001</v>
      </c>
      <c r="N42" s="819">
        <v>0.17030243232124764</v>
      </c>
      <c r="O42" s="819">
        <v>0.17510000000000001</v>
      </c>
      <c r="P42" s="829">
        <f t="shared" si="5"/>
        <v>0.17127539322069318</v>
      </c>
      <c r="S42" s="435">
        <v>28916</v>
      </c>
      <c r="U42" s="563">
        <f t="shared" si="6"/>
        <v>1264.5879314456326</v>
      </c>
      <c r="W42" s="493" t="s">
        <v>247</v>
      </c>
      <c r="X42" s="498">
        <f t="shared" si="7"/>
        <v>398.45643470108888</v>
      </c>
      <c r="Y42" s="498">
        <f t="shared" ref="Y42" si="11">Y21/AK21</f>
        <v>335.27026350555218</v>
      </c>
      <c r="Z42" s="498">
        <f t="shared" ref="Z42" si="12">Z21/AL21</f>
        <v>206.62318109680834</v>
      </c>
      <c r="AA42" s="498">
        <f t="shared" ref="AA42" si="13">AA21/AM21</f>
        <v>197.77641323415901</v>
      </c>
      <c r="AB42" s="498">
        <f t="shared" ref="AB42" si="14">AB21/AN21</f>
        <v>241.68465638735782</v>
      </c>
      <c r="AE42" s="510">
        <f t="shared" si="9"/>
        <v>2338.6601086984092</v>
      </c>
      <c r="AF42" s="511">
        <f t="shared" si="10"/>
        <v>1968.7449104132177</v>
      </c>
      <c r="AG42" s="510">
        <f t="shared" si="1"/>
        <v>1213.2893781374535</v>
      </c>
      <c r="AH42" s="1208">
        <f t="shared" si="2"/>
        <v>1161.3246536672254</v>
      </c>
      <c r="AI42" s="1342">
        <f>AB42/$N$42</f>
        <v>1419.1497625322186</v>
      </c>
      <c r="AJ42" s="563">
        <f t="shared" si="8"/>
        <v>1264.5879314456326</v>
      </c>
    </row>
    <row r="43" spans="2:36" x14ac:dyDescent="0.2">
      <c r="S43" s="9"/>
      <c r="T43" s="9"/>
      <c r="U43" s="9"/>
      <c r="V43" s="9"/>
      <c r="X43" s="1">
        <v>11770504.43</v>
      </c>
      <c r="Y43" s="1">
        <v>11050790.76</v>
      </c>
      <c r="Z43" s="219">
        <v>9389914.2699999996</v>
      </c>
      <c r="AA43" s="21">
        <v>5858800.3000000007</v>
      </c>
      <c r="AB43" s="21">
        <v>5637023.3300000001</v>
      </c>
      <c r="AE43" s="1">
        <f>X42/K42</f>
        <v>2338.6601086984092</v>
      </c>
      <c r="AF43" s="1">
        <f t="shared" ref="AF43:AI43" si="15">Y42/L42</f>
        <v>1968.7449104132177</v>
      </c>
      <c r="AG43" s="1">
        <f t="shared" si="15"/>
        <v>1213.2893781374535</v>
      </c>
      <c r="AH43" s="1">
        <f t="shared" si="15"/>
        <v>1161.3246536672254</v>
      </c>
      <c r="AI43" s="1">
        <f t="shared" si="15"/>
        <v>1380.2664556673776</v>
      </c>
    </row>
    <row r="44" spans="2:36" ht="15.75" thickBot="1" x14ac:dyDescent="0.25">
      <c r="E44" s="24" t="s">
        <v>549</v>
      </c>
      <c r="J44" s="24" t="s">
        <v>549</v>
      </c>
      <c r="S44" s="24" t="s">
        <v>549</v>
      </c>
      <c r="T44" s="9"/>
      <c r="U44" s="9"/>
      <c r="V44" s="9"/>
      <c r="W44" s="24" t="s">
        <v>550</v>
      </c>
      <c r="AA44" s="9"/>
      <c r="AB44" s="9"/>
      <c r="AG44" s="24" t="s">
        <v>550</v>
      </c>
      <c r="AI44" s="9"/>
      <c r="AJ44" s="9"/>
    </row>
    <row r="45" spans="2:36" ht="15.75" thickBot="1" x14ac:dyDescent="0.25">
      <c r="B45" s="544"/>
      <c r="C45" s="3"/>
      <c r="D45" s="3"/>
      <c r="E45" s="3"/>
      <c r="F45" s="3"/>
      <c r="G45" s="3"/>
      <c r="H45" s="3"/>
      <c r="I45" s="3"/>
      <c r="J45" s="499"/>
      <c r="S45" s="9"/>
      <c r="T45" s="9"/>
      <c r="U45" s="9"/>
      <c r="V45" s="9"/>
      <c r="AI45" s="9"/>
      <c r="AJ45" s="9"/>
    </row>
    <row r="46" spans="2:36" ht="16.5" thickBot="1" x14ac:dyDescent="0.3">
      <c r="B46" s="40" t="s">
        <v>248</v>
      </c>
      <c r="C46" s="733"/>
      <c r="D46" s="733"/>
      <c r="E46" s="733"/>
      <c r="F46" s="733"/>
      <c r="G46" s="1008">
        <f>AVERAGE(C42:G42)</f>
        <v>17172.369315323733</v>
      </c>
      <c r="H46" s="9" t="s">
        <v>249</v>
      </c>
      <c r="I46" s="9"/>
      <c r="J46" s="419"/>
      <c r="S46" s="9"/>
      <c r="T46" s="9"/>
      <c r="U46" s="9">
        <f>AJ46/S37</f>
        <v>0.86220044103505533</v>
      </c>
      <c r="V46" s="9"/>
      <c r="AG46" s="1">
        <f>Z37/0.1704</f>
        <v>1421.839934635437</v>
      </c>
      <c r="AH46" s="1">
        <f>AA37/0.1704</f>
        <v>1384.6155604315231</v>
      </c>
      <c r="AI46" s="1">
        <f>AB37/0.1704</f>
        <v>1914.0919195999679</v>
      </c>
      <c r="AJ46" s="570">
        <f>AVERAGE(AG46:AI46)</f>
        <v>1573.5158048889759</v>
      </c>
    </row>
    <row r="47" spans="2:36" ht="16.5" thickBot="1" x14ac:dyDescent="0.3">
      <c r="B47" s="40" t="s">
        <v>250</v>
      </c>
      <c r="C47" s="733"/>
      <c r="D47" s="733"/>
      <c r="E47" s="733"/>
      <c r="F47" s="733"/>
      <c r="G47" s="1008">
        <f>G46*1.1</f>
        <v>18889.606246856107</v>
      </c>
      <c r="H47" s="9"/>
      <c r="I47" s="9"/>
      <c r="J47" s="419"/>
      <c r="S47" s="9"/>
      <c r="T47" s="9"/>
      <c r="U47" s="9"/>
      <c r="V47" s="9"/>
      <c r="AI47" s="9"/>
      <c r="AJ47" s="9"/>
    </row>
    <row r="48" spans="2:36" x14ac:dyDescent="0.2">
      <c r="B48" s="418"/>
      <c r="C48" s="9"/>
      <c r="D48" s="9"/>
      <c r="E48" s="9"/>
      <c r="F48" s="9"/>
      <c r="G48" s="9"/>
      <c r="H48" s="9"/>
      <c r="I48" s="9"/>
      <c r="J48" s="419"/>
      <c r="S48" s="9"/>
      <c r="T48" s="9"/>
      <c r="U48" s="9">
        <f>50*0.9*0.1704*1.1</f>
        <v>8.434800000000001</v>
      </c>
      <c r="V48" s="9"/>
      <c r="AG48" s="1">
        <f>Z28/0.1704</f>
        <v>381.62720552307383</v>
      </c>
      <c r="AH48" s="1">
        <f>AA28/0.1704</f>
        <v>403.6200178815551</v>
      </c>
      <c r="AI48" s="1">
        <f>AB28/0.1704</f>
        <v>690.38294582308674</v>
      </c>
      <c r="AJ48" s="570">
        <f>AVERAGE(AG48:AI48)</f>
        <v>491.8767230759052</v>
      </c>
    </row>
    <row r="49" spans="1:30" ht="15.75" thickBot="1" x14ac:dyDescent="0.25">
      <c r="B49" s="418"/>
      <c r="C49" s="9"/>
      <c r="D49" s="9"/>
      <c r="E49" s="9"/>
      <c r="F49" s="9"/>
      <c r="G49" s="9"/>
      <c r="H49" s="9"/>
      <c r="I49" s="9"/>
      <c r="J49" s="419"/>
      <c r="P49" s="9"/>
      <c r="Q49" s="9"/>
      <c r="R49" s="9"/>
      <c r="S49" s="9"/>
      <c r="AA49" s="9"/>
      <c r="AB49" s="9"/>
      <c r="AC49" s="9"/>
      <c r="AD49" s="9"/>
    </row>
    <row r="50" spans="1:30" ht="16.5" thickBot="1" x14ac:dyDescent="0.3">
      <c r="B50" s="40" t="s">
        <v>251</v>
      </c>
      <c r="C50" s="733"/>
      <c r="D50" s="733"/>
      <c r="E50" s="733"/>
      <c r="F50" s="733"/>
      <c r="G50" s="1008">
        <f>U42</f>
        <v>1264.5879314456326</v>
      </c>
      <c r="H50" s="9" t="s">
        <v>249</v>
      </c>
      <c r="I50" s="9"/>
      <c r="J50" s="419"/>
      <c r="P50" s="9"/>
      <c r="Q50" s="9"/>
      <c r="R50" s="9"/>
      <c r="S50" s="9"/>
    </row>
    <row r="51" spans="1:30" ht="15.75" thickBot="1" x14ac:dyDescent="0.25">
      <c r="B51" s="418"/>
      <c r="C51" s="9"/>
      <c r="D51" s="9"/>
      <c r="E51" s="9"/>
      <c r="F51" s="9"/>
      <c r="G51" s="9"/>
      <c r="H51" s="9"/>
      <c r="I51" s="9"/>
      <c r="J51" s="419"/>
      <c r="P51" s="9"/>
      <c r="Q51" s="9"/>
      <c r="R51" s="9"/>
      <c r="S51" s="9"/>
    </row>
    <row r="52" spans="1:30" ht="16.5" thickBot="1" x14ac:dyDescent="0.3">
      <c r="B52" s="40" t="s">
        <v>252</v>
      </c>
      <c r="C52" s="733"/>
      <c r="D52" s="733"/>
      <c r="E52" s="733"/>
      <c r="F52" s="733"/>
      <c r="G52" s="1009">
        <f>P42</f>
        <v>0.17127539322069318</v>
      </c>
      <c r="H52" s="9" t="s">
        <v>249</v>
      </c>
      <c r="I52" s="9"/>
      <c r="J52" s="419"/>
      <c r="P52" s="9"/>
      <c r="Q52" s="9"/>
      <c r="R52" s="9"/>
      <c r="S52" s="9"/>
    </row>
    <row r="53" spans="1:30" ht="15.75" thickBot="1" x14ac:dyDescent="0.25">
      <c r="B53" s="418"/>
      <c r="C53" s="9"/>
      <c r="D53" s="9"/>
      <c r="E53" s="9"/>
      <c r="F53" s="9"/>
      <c r="G53" s="9"/>
      <c r="H53" s="9"/>
      <c r="I53" s="9"/>
      <c r="J53" s="419"/>
      <c r="P53" s="9"/>
      <c r="Q53" s="9"/>
      <c r="R53" s="9"/>
      <c r="S53" s="9"/>
    </row>
    <row r="54" spans="1:30" ht="16.5" thickBot="1" x14ac:dyDescent="0.3">
      <c r="B54" s="40" t="s">
        <v>253</v>
      </c>
      <c r="C54" s="733"/>
      <c r="D54" s="733"/>
      <c r="E54" s="733"/>
      <c r="F54" s="733"/>
      <c r="G54" s="1010">
        <f>H42+U42</f>
        <v>18436.957246769365</v>
      </c>
      <c r="H54" s="9"/>
      <c r="I54" s="9"/>
      <c r="J54" s="419"/>
      <c r="P54" s="9"/>
      <c r="Q54" s="9"/>
      <c r="R54" s="9"/>
      <c r="S54" s="9"/>
    </row>
    <row r="55" spans="1:30" ht="16.5" thickBot="1" x14ac:dyDescent="0.3">
      <c r="B55" s="40" t="s">
        <v>254</v>
      </c>
      <c r="C55" s="733"/>
      <c r="D55" s="733"/>
      <c r="E55" s="733"/>
      <c r="F55" s="733"/>
      <c r="G55" s="1010">
        <f>G54*1.163</f>
        <v>21442.181277992771</v>
      </c>
      <c r="H55" s="9"/>
      <c r="I55" s="9"/>
      <c r="J55" s="419"/>
      <c r="P55" s="9"/>
      <c r="Q55" s="9"/>
      <c r="R55" s="9"/>
      <c r="S55" s="9"/>
    </row>
    <row r="56" spans="1:30" ht="16.5" thickBot="1" x14ac:dyDescent="0.3">
      <c r="B56" s="42" t="s">
        <v>509</v>
      </c>
      <c r="C56" s="1007"/>
      <c r="D56" s="1007"/>
      <c r="E56" s="1007"/>
      <c r="F56" s="1007"/>
      <c r="G56" s="1011">
        <f>Kontrollpanel!P16</f>
        <v>0.9</v>
      </c>
      <c r="H56" s="424"/>
      <c r="I56" s="424"/>
      <c r="J56" s="507"/>
      <c r="P56" s="9"/>
      <c r="Q56" s="9"/>
      <c r="R56" s="9"/>
      <c r="S56" s="9"/>
    </row>
    <row r="57" spans="1:30" ht="15.75" thickBot="1" x14ac:dyDescent="0.25">
      <c r="A57" s="9"/>
      <c r="P57" s="9"/>
      <c r="Q57" s="9"/>
      <c r="R57" s="9"/>
      <c r="S57" s="9"/>
    </row>
    <row r="58" spans="1:30" ht="15.75" thickBot="1" x14ac:dyDescent="0.25">
      <c r="A58" s="9"/>
      <c r="F58" s="553" t="s">
        <v>255</v>
      </c>
      <c r="G58" s="554"/>
      <c r="H58" s="554"/>
      <c r="I58" s="554"/>
      <c r="J58" s="554"/>
      <c r="K58" s="554"/>
      <c r="L58" s="554"/>
      <c r="M58" s="554"/>
      <c r="N58" s="554"/>
      <c r="O58" s="555"/>
      <c r="P58" s="9"/>
      <c r="Q58" s="553" t="s">
        <v>256</v>
      </c>
      <c r="R58" s="554"/>
      <c r="S58" s="554"/>
      <c r="T58" s="554"/>
      <c r="U58" s="554"/>
      <c r="V58" s="555"/>
      <c r="W58" s="554"/>
      <c r="X58" s="554"/>
      <c r="Y58" s="555"/>
    </row>
    <row r="59" spans="1:30" ht="15" customHeight="1" x14ac:dyDescent="0.25">
      <c r="A59" s="556"/>
      <c r="B59" s="1371" t="s">
        <v>556</v>
      </c>
      <c r="C59" s="1408"/>
      <c r="D59" s="1408"/>
      <c r="E59" s="1372"/>
      <c r="F59" s="544"/>
      <c r="G59" s="499"/>
      <c r="H59" s="3"/>
      <c r="I59" s="3"/>
      <c r="J59" s="2"/>
      <c r="K59" s="3"/>
      <c r="L59" s="3"/>
      <c r="M59" s="544"/>
      <c r="N59" s="499"/>
      <c r="O59" s="2"/>
      <c r="Q59" s="1410" t="s">
        <v>258</v>
      </c>
      <c r="R59" s="1411"/>
      <c r="S59" s="1416" t="s">
        <v>259</v>
      </c>
      <c r="T59" s="1417"/>
      <c r="U59" s="1410" t="s">
        <v>260</v>
      </c>
      <c r="V59" s="1411"/>
      <c r="W59" s="1416" t="s">
        <v>261</v>
      </c>
      <c r="X59" s="499"/>
      <c r="Y59" s="499"/>
    </row>
    <row r="60" spans="1:30" ht="15" customHeight="1" x14ac:dyDescent="0.25">
      <c r="A60" s="556"/>
      <c r="B60" s="1366"/>
      <c r="C60" s="1364"/>
      <c r="D60" s="1364"/>
      <c r="E60" s="1367"/>
      <c r="F60" s="1366" t="s">
        <v>262</v>
      </c>
      <c r="G60" s="1367"/>
      <c r="H60" s="1364" t="s">
        <v>263</v>
      </c>
      <c r="I60" s="1364"/>
      <c r="J60" s="1368" t="s">
        <v>264</v>
      </c>
      <c r="K60" s="1365" t="s">
        <v>265</v>
      </c>
      <c r="L60" s="1365"/>
      <c r="M60" s="418"/>
      <c r="N60" s="1369" t="s">
        <v>266</v>
      </c>
      <c r="O60" s="1368" t="s">
        <v>267</v>
      </c>
      <c r="Q60" s="1412"/>
      <c r="R60" s="1413"/>
      <c r="S60" s="1418"/>
      <c r="T60" s="1419"/>
      <c r="U60" s="1412"/>
      <c r="V60" s="1413"/>
      <c r="W60" s="1418"/>
      <c r="X60" s="419"/>
      <c r="Y60" s="419"/>
    </row>
    <row r="61" spans="1:30" ht="16.5" customHeight="1" x14ac:dyDescent="0.25">
      <c r="A61" s="556"/>
      <c r="B61" s="1366"/>
      <c r="C61" s="1364"/>
      <c r="D61" s="1364"/>
      <c r="E61" s="1367"/>
      <c r="F61" s="1366"/>
      <c r="G61" s="1367"/>
      <c r="H61" s="1364"/>
      <c r="I61" s="1364"/>
      <c r="J61" s="1368"/>
      <c r="K61" s="1365"/>
      <c r="L61" s="1365"/>
      <c r="M61" s="418"/>
      <c r="N61" s="1369"/>
      <c r="O61" s="1368"/>
      <c r="Q61" s="1412"/>
      <c r="R61" s="1413"/>
      <c r="S61" s="1418"/>
      <c r="T61" s="1419"/>
      <c r="U61" s="1412"/>
      <c r="V61" s="1413"/>
      <c r="W61" s="1418"/>
      <c r="X61" s="1369" t="s">
        <v>268</v>
      </c>
      <c r="Y61" s="1369" t="s">
        <v>269</v>
      </c>
    </row>
    <row r="62" spans="1:30" ht="16.5" customHeight="1" x14ac:dyDescent="0.25">
      <c r="A62" s="138"/>
      <c r="B62" s="1366"/>
      <c r="C62" s="1364"/>
      <c r="D62" s="1364"/>
      <c r="E62" s="1367"/>
      <c r="F62" s="1366"/>
      <c r="G62" s="1367"/>
      <c r="H62" s="1364"/>
      <c r="I62" s="1364"/>
      <c r="J62" s="1368"/>
      <c r="K62" s="1338"/>
      <c r="L62" s="1338"/>
      <c r="M62" s="418"/>
      <c r="N62" s="1369"/>
      <c r="O62" s="1368"/>
      <c r="Q62" s="1412"/>
      <c r="R62" s="1413"/>
      <c r="S62" s="1418"/>
      <c r="T62" s="1419"/>
      <c r="U62" s="1412"/>
      <c r="V62" s="1413"/>
      <c r="W62" s="1418"/>
      <c r="X62" s="1369"/>
      <c r="Y62" s="1369"/>
    </row>
    <row r="63" spans="1:30" ht="16.5" customHeight="1" thickBot="1" x14ac:dyDescent="0.3">
      <c r="A63" s="138"/>
      <c r="B63" s="1373"/>
      <c r="C63" s="1409"/>
      <c r="D63" s="1409"/>
      <c r="E63" s="1374"/>
      <c r="F63" s="1366"/>
      <c r="G63" s="1367"/>
      <c r="H63" s="1364"/>
      <c r="I63" s="1364"/>
      <c r="J63" s="1368"/>
      <c r="K63" s="1338"/>
      <c r="L63" s="1338"/>
      <c r="M63" s="418"/>
      <c r="N63" s="1369"/>
      <c r="O63" s="1368"/>
      <c r="Q63" s="1414"/>
      <c r="R63" s="1415"/>
      <c r="S63" s="1420"/>
      <c r="T63" s="1421"/>
      <c r="U63" s="1414"/>
      <c r="V63" s="1415"/>
      <c r="W63" s="557"/>
      <c r="X63" s="1422"/>
      <c r="Y63" s="1422"/>
    </row>
    <row r="64" spans="1:30" ht="16.5" thickBot="1" x14ac:dyDescent="0.3">
      <c r="A64" s="9"/>
      <c r="B64" s="493"/>
      <c r="C64" s="738"/>
      <c r="D64" s="738"/>
      <c r="E64" s="4">
        <v>2014</v>
      </c>
      <c r="F64" s="558"/>
      <c r="G64" s="559"/>
      <c r="H64" s="560"/>
      <c r="I64" s="560"/>
      <c r="J64" s="561"/>
      <c r="K64" s="421"/>
      <c r="L64" s="421"/>
      <c r="M64" s="420"/>
      <c r="N64" s="422"/>
      <c r="O64" s="561"/>
      <c r="Q64" s="420"/>
      <c r="R64" s="422"/>
      <c r="S64" s="420"/>
      <c r="T64" s="422"/>
      <c r="U64" s="544"/>
      <c r="V64" s="499"/>
      <c r="W64" s="420"/>
      <c r="X64" s="422"/>
      <c r="Y64" s="422"/>
    </row>
    <row r="65" spans="2:29" ht="15.75" x14ac:dyDescent="0.25">
      <c r="B65" s="562" t="s">
        <v>8</v>
      </c>
      <c r="C65" s="6"/>
      <c r="D65" s="6"/>
      <c r="E65" s="739">
        <f t="shared" ref="E65:E81" si="16">H26+U26</f>
        <v>16766.301972396977</v>
      </c>
      <c r="F65" s="566"/>
      <c r="G65" s="565">
        <f t="shared" ref="G65:G81" si="17">$G$54-E65</f>
        <v>1670.6552743723878</v>
      </c>
      <c r="H65" s="566"/>
      <c r="I65" s="567">
        <f>$G$55-E65</f>
        <v>4675.879305595794</v>
      </c>
      <c r="J65" s="568">
        <f t="shared" ref="J65:J80" si="18">IF(G65&gt;0,IF(P26&lt;$P$42,P26,$P$42)*G65*0.9,0)</f>
        <v>254.10666723204014</v>
      </c>
      <c r="K65" s="9"/>
      <c r="L65" s="569">
        <f t="shared" ref="L65:L80" si="19">IF(I65&gt;0,IF(P26&lt;$P$42,P26,$P$42)*I65*$G$56,0)</f>
        <v>711.20124238112021</v>
      </c>
      <c r="M65" s="418"/>
      <c r="N65" s="531">
        <f t="shared" ref="N65:N80" si="20">J65*S26</f>
        <v>120446.56026798702</v>
      </c>
      <c r="O65" s="711">
        <f t="shared" ref="O65:O80" si="21">L65*S26</f>
        <v>337109.38888865098</v>
      </c>
      <c r="P65" s="711">
        <v>241872.6787369551</v>
      </c>
      <c r="Q65" s="544"/>
      <c r="R65" s="525">
        <f t="shared" ref="R65:R81" si="22">H26-$H$42</f>
        <v>-1397.3512750937407</v>
      </c>
      <c r="T65" s="22">
        <f>H26-$G$47</f>
        <v>-3114.5882066261147</v>
      </c>
      <c r="U65" s="544"/>
      <c r="V65" s="525">
        <f t="shared" ref="V65:V80" si="23">IF(R65&lt;0,R65*-1*IF(P26&lt;$P$42,P26,$P$42),0)</f>
        <v>236.15236549084216</v>
      </c>
      <c r="W65" s="525">
        <f t="shared" ref="W65:W80" si="24">IF(T65&lt;0,T65*-1*IF(P26&lt;$P$42,P26,$P$42),0)</f>
        <v>526.36540691981338</v>
      </c>
      <c r="X65" s="531">
        <f t="shared" ref="X65:X80" si="25">V65*S26</f>
        <v>111936.22124265919</v>
      </c>
      <c r="Y65" s="563">
        <f t="shared" ref="Y65:Y80" si="26">W65*S26</f>
        <v>249497.20287999156</v>
      </c>
      <c r="AA65" s="711">
        <v>415186.48995389394</v>
      </c>
      <c r="AB65" s="1340">
        <f>AA65-O65</f>
        <v>78077.101065242954</v>
      </c>
      <c r="AC65" s="1343">
        <f>AB65/S26</f>
        <v>164.71962250051257</v>
      </c>
    </row>
    <row r="66" spans="2:29" ht="15.75" x14ac:dyDescent="0.25">
      <c r="B66" s="562" t="s">
        <v>9</v>
      </c>
      <c r="C66" s="6"/>
      <c r="D66" s="6"/>
      <c r="E66" s="740">
        <f t="shared" si="16"/>
        <v>13957.472914290551</v>
      </c>
      <c r="F66" s="566"/>
      <c r="G66" s="565">
        <f t="shared" si="17"/>
        <v>4479.4843324788144</v>
      </c>
      <c r="H66" s="566"/>
      <c r="I66" s="567">
        <f t="shared" ref="I66:I81" si="27">$G$55-E66</f>
        <v>7484.7083637022206</v>
      </c>
      <c r="J66" s="568">
        <f t="shared" si="18"/>
        <v>690.50289642411894</v>
      </c>
      <c r="K66" s="9"/>
      <c r="L66" s="569">
        <f t="shared" si="19"/>
        <v>1153.7517313217779</v>
      </c>
      <c r="M66" s="418"/>
      <c r="N66" s="531">
        <f t="shared" si="20"/>
        <v>643548.6994672789</v>
      </c>
      <c r="O66" s="711">
        <f t="shared" si="21"/>
        <v>1075296.6135918971</v>
      </c>
      <c r="P66" s="711">
        <v>907903.14577119774</v>
      </c>
      <c r="Q66" s="418"/>
      <c r="R66" s="531">
        <f t="shared" si="22"/>
        <v>-3432.6528447856817</v>
      </c>
      <c r="T66" s="22">
        <f t="shared" ref="T66:T80" si="28">H27-$G$47</f>
        <v>-5149.8897763180557</v>
      </c>
      <c r="U66" s="418"/>
      <c r="V66" s="531">
        <f t="shared" si="23"/>
        <v>587.92896578079876</v>
      </c>
      <c r="W66" s="531">
        <f t="shared" si="24"/>
        <v>882.04939648210268</v>
      </c>
      <c r="X66" s="531">
        <f t="shared" si="25"/>
        <v>547949.7961077044</v>
      </c>
      <c r="Y66" s="570">
        <f t="shared" si="26"/>
        <v>822070.0375213197</v>
      </c>
      <c r="AA66" s="711">
        <v>1187062.7095225423</v>
      </c>
      <c r="AB66" s="1340">
        <f t="shared" ref="AB66:AB80" si="29">AA66-O66</f>
        <v>111766.09593064524</v>
      </c>
      <c r="AC66" s="1343">
        <f t="shared" ref="AC66:AC80" si="30">AB66/S27</f>
        <v>119.92070378824597</v>
      </c>
    </row>
    <row r="67" spans="2:29" ht="15.75" x14ac:dyDescent="0.25">
      <c r="B67" s="562" t="s">
        <v>10</v>
      </c>
      <c r="C67" s="6"/>
      <c r="D67" s="6"/>
      <c r="E67" s="740">
        <f t="shared" si="16"/>
        <v>16064.184382453424</v>
      </c>
      <c r="F67" s="566"/>
      <c r="G67" s="565">
        <f t="shared" si="17"/>
        <v>2372.7728643159408</v>
      </c>
      <c r="H67" s="566"/>
      <c r="I67" s="567">
        <f t="shared" si="27"/>
        <v>5377.996895539347</v>
      </c>
      <c r="J67" s="568">
        <f t="shared" si="18"/>
        <v>365.7578448231929</v>
      </c>
      <c r="K67" s="9"/>
      <c r="L67" s="569">
        <f t="shared" si="19"/>
        <v>829.00667972085205</v>
      </c>
      <c r="M67" s="418"/>
      <c r="N67" s="531">
        <f t="shared" si="20"/>
        <v>926830.37878197082</v>
      </c>
      <c r="O67" s="711">
        <f t="shared" si="21"/>
        <v>2100702.9264126392</v>
      </c>
      <c r="P67" s="711">
        <v>1716227.8092105556</v>
      </c>
      <c r="Q67" s="418"/>
      <c r="R67" s="531">
        <f t="shared" si="22"/>
        <v>-1594.0363906831226</v>
      </c>
      <c r="T67" s="22">
        <f t="shared" si="28"/>
        <v>-3311.2733222154966</v>
      </c>
      <c r="U67" s="418"/>
      <c r="V67" s="531">
        <f t="shared" si="23"/>
        <v>273.01920962234635</v>
      </c>
      <c r="W67" s="531">
        <f t="shared" si="24"/>
        <v>567.13964032365027</v>
      </c>
      <c r="X67" s="531">
        <f t="shared" si="25"/>
        <v>691830.67718302563</v>
      </c>
      <c r="Y67" s="570">
        <f t="shared" si="26"/>
        <v>1437131.8485801297</v>
      </c>
      <c r="AA67" s="711">
        <v>2550050.914572312</v>
      </c>
      <c r="AB67" s="1340">
        <f t="shared" si="29"/>
        <v>449347.98815967282</v>
      </c>
      <c r="AC67" s="1343">
        <f t="shared" si="30"/>
        <v>177.32754071021026</v>
      </c>
    </row>
    <row r="68" spans="2:29" ht="15.75" x14ac:dyDescent="0.25">
      <c r="B68" s="562" t="s">
        <v>11</v>
      </c>
      <c r="C68" s="6"/>
      <c r="D68" s="6"/>
      <c r="E68" s="740">
        <f t="shared" si="16"/>
        <v>16423.093422945854</v>
      </c>
      <c r="F68" s="566"/>
      <c r="G68" s="565">
        <f t="shared" si="17"/>
        <v>2013.8638238235108</v>
      </c>
      <c r="H68" s="566"/>
      <c r="I68" s="567">
        <f t="shared" si="27"/>
        <v>5019.087855046917</v>
      </c>
      <c r="J68" s="568">
        <f t="shared" si="18"/>
        <v>310.43278648647055</v>
      </c>
      <c r="K68" s="9"/>
      <c r="L68" s="569">
        <f t="shared" si="19"/>
        <v>773.68162138412958</v>
      </c>
      <c r="M68" s="418"/>
      <c r="N68" s="531">
        <f t="shared" si="20"/>
        <v>176325.82272431528</v>
      </c>
      <c r="O68" s="711">
        <f t="shared" si="21"/>
        <v>439451.16094618558</v>
      </c>
      <c r="P68" s="711">
        <v>352924.06917053333</v>
      </c>
      <c r="Q68" s="418"/>
      <c r="R68" s="531">
        <f t="shared" si="22"/>
        <v>-2340.5288192450171</v>
      </c>
      <c r="T68" s="22">
        <f t="shared" si="28"/>
        <v>-4057.7657507773911</v>
      </c>
      <c r="U68" s="418"/>
      <c r="V68" s="531">
        <f t="shared" si="23"/>
        <v>400.87499386055504</v>
      </c>
      <c r="W68" s="531">
        <f t="shared" si="24"/>
        <v>694.99542456185895</v>
      </c>
      <c r="X68" s="531">
        <f t="shared" si="25"/>
        <v>227696.99651279527</v>
      </c>
      <c r="Y68" s="570">
        <f t="shared" si="26"/>
        <v>394757.40115113591</v>
      </c>
      <c r="AA68" s="711">
        <v>530574.66802968038</v>
      </c>
      <c r="AB68" s="1340">
        <f t="shared" si="29"/>
        <v>91123.507083494798</v>
      </c>
      <c r="AC68" s="1343">
        <f t="shared" si="30"/>
        <v>160.42870965404015</v>
      </c>
    </row>
    <row r="69" spans="2:29" ht="15.75" x14ac:dyDescent="0.25">
      <c r="B69" s="562" t="s">
        <v>12</v>
      </c>
      <c r="C69" s="6"/>
      <c r="D69" s="6"/>
      <c r="E69" s="740">
        <f t="shared" si="16"/>
        <v>11555.600553628814</v>
      </c>
      <c r="F69" s="566"/>
      <c r="G69" s="565">
        <f t="shared" si="17"/>
        <v>6881.3566931405512</v>
      </c>
      <c r="H69" s="566"/>
      <c r="I69" s="567">
        <f t="shared" si="27"/>
        <v>9886.5807243639574</v>
      </c>
      <c r="J69" s="568">
        <f t="shared" si="18"/>
        <v>1060.7463661585471</v>
      </c>
      <c r="K69" s="9"/>
      <c r="L69" s="569">
        <f t="shared" si="19"/>
        <v>1523.9952010562063</v>
      </c>
      <c r="M69" s="418"/>
      <c r="N69" s="531">
        <f t="shared" si="20"/>
        <v>524008.70488232223</v>
      </c>
      <c r="O69" s="711">
        <f t="shared" si="21"/>
        <v>752853.62932176585</v>
      </c>
      <c r="P69" s="711">
        <v>661088.0333440532</v>
      </c>
      <c r="Q69" s="418"/>
      <c r="R69" s="531">
        <f t="shared" si="22"/>
        <v>-5667.6134042829817</v>
      </c>
      <c r="T69" s="22">
        <f t="shared" si="28"/>
        <v>-7384.8503358153557</v>
      </c>
      <c r="U69" s="418"/>
      <c r="V69" s="531">
        <f t="shared" si="23"/>
        <v>970.72271444143928</v>
      </c>
      <c r="W69" s="531">
        <f t="shared" si="24"/>
        <v>1264.8431451427432</v>
      </c>
      <c r="X69" s="531">
        <f t="shared" si="25"/>
        <v>479537.02093407098</v>
      </c>
      <c r="Y69" s="570">
        <f t="shared" si="26"/>
        <v>624832.51370051515</v>
      </c>
      <c r="AA69" s="711">
        <v>835716.94650352444</v>
      </c>
      <c r="AB69" s="1340">
        <f t="shared" si="29"/>
        <v>82863.317181758583</v>
      </c>
      <c r="AC69" s="1343">
        <f t="shared" si="30"/>
        <v>167.73950846509834</v>
      </c>
    </row>
    <row r="70" spans="2:29" ht="15.75" x14ac:dyDescent="0.25">
      <c r="B70" s="562" t="s">
        <v>13</v>
      </c>
      <c r="C70" s="6"/>
      <c r="D70" s="6"/>
      <c r="E70" s="740">
        <f t="shared" si="16"/>
        <v>14895.188688625587</v>
      </c>
      <c r="F70" s="566"/>
      <c r="G70" s="565">
        <f t="shared" si="17"/>
        <v>3541.7685581437781</v>
      </c>
      <c r="H70" s="566"/>
      <c r="I70" s="567">
        <f t="shared" si="27"/>
        <v>6546.9925893671843</v>
      </c>
      <c r="J70" s="568">
        <f t="shared" si="18"/>
        <v>530.73401843784529</v>
      </c>
      <c r="K70" s="9"/>
      <c r="L70" s="569">
        <f t="shared" si="19"/>
        <v>981.06683951667264</v>
      </c>
      <c r="M70" s="418"/>
      <c r="N70" s="531">
        <f t="shared" si="20"/>
        <v>813084.51624677901</v>
      </c>
      <c r="O70" s="711">
        <f t="shared" si="21"/>
        <v>1502994.3981395424</v>
      </c>
      <c r="P70" s="711">
        <v>1233130.4330766911</v>
      </c>
      <c r="Q70" s="418"/>
      <c r="R70" s="531">
        <f t="shared" si="22"/>
        <v>-2608.3014871155938</v>
      </c>
      <c r="T70" s="22">
        <f t="shared" si="28"/>
        <v>-4325.5384186479678</v>
      </c>
      <c r="U70" s="418"/>
      <c r="V70" s="531">
        <f t="shared" si="23"/>
        <v>434.28219760474639</v>
      </c>
      <c r="W70" s="531">
        <f t="shared" si="24"/>
        <v>720.20214670488667</v>
      </c>
      <c r="X70" s="531">
        <f t="shared" si="25"/>
        <v>665320.32673047145</v>
      </c>
      <c r="Y70" s="570">
        <f t="shared" si="26"/>
        <v>1103349.6887518864</v>
      </c>
      <c r="AA70" s="711">
        <v>1743767.5993359976</v>
      </c>
      <c r="AB70" s="1340">
        <f t="shared" si="29"/>
        <v>240773.20119645516</v>
      </c>
      <c r="AC70" s="1343">
        <f t="shared" si="30"/>
        <v>157.16266396635456</v>
      </c>
    </row>
    <row r="71" spans="2:29" ht="15.75" x14ac:dyDescent="0.25">
      <c r="B71" s="562" t="s">
        <v>14</v>
      </c>
      <c r="C71" s="6"/>
      <c r="D71" s="6"/>
      <c r="E71" s="740">
        <f t="shared" si="16"/>
        <v>18467.997569431234</v>
      </c>
      <c r="F71" s="566"/>
      <c r="G71" s="565">
        <f t="shared" si="17"/>
        <v>-31.040322661869141</v>
      </c>
      <c r="H71" s="566"/>
      <c r="I71" s="567">
        <f t="shared" si="27"/>
        <v>2974.1837085615371</v>
      </c>
      <c r="J71" s="568">
        <f t="shared" si="18"/>
        <v>0</v>
      </c>
      <c r="K71" s="9"/>
      <c r="L71" s="569">
        <f t="shared" si="19"/>
        <v>455.0501074099152</v>
      </c>
      <c r="M71" s="418"/>
      <c r="N71" s="531">
        <f t="shared" si="20"/>
        <v>0</v>
      </c>
      <c r="O71" s="711">
        <f t="shared" si="21"/>
        <v>2075028.4897892133</v>
      </c>
      <c r="P71" s="711">
        <v>1319698.6503318304</v>
      </c>
      <c r="Q71" s="418"/>
      <c r="R71" s="531">
        <f t="shared" si="22"/>
        <v>337.22031751036047</v>
      </c>
      <c r="T71" s="22">
        <f t="shared" si="28"/>
        <v>-1380.0166140220135</v>
      </c>
      <c r="U71" s="418"/>
      <c r="V71" s="531">
        <f t="shared" si="23"/>
        <v>0</v>
      </c>
      <c r="W71" s="531">
        <f t="shared" si="24"/>
        <v>234.60282438374233</v>
      </c>
      <c r="X71" s="531">
        <f t="shared" si="25"/>
        <v>0</v>
      </c>
      <c r="Y71" s="570">
        <f t="shared" si="26"/>
        <v>1069788.879189865</v>
      </c>
      <c r="AA71" s="711">
        <v>3027756.4549490428</v>
      </c>
      <c r="AB71" s="1340">
        <f t="shared" si="29"/>
        <v>952727.96515982947</v>
      </c>
      <c r="AC71" s="1343">
        <f t="shared" si="30"/>
        <v>208.93157130698015</v>
      </c>
    </row>
    <row r="72" spans="2:29" ht="15.75" x14ac:dyDescent="0.25">
      <c r="B72" s="562" t="s">
        <v>15</v>
      </c>
      <c r="C72" s="6"/>
      <c r="D72" s="6"/>
      <c r="E72" s="740">
        <f t="shared" si="16"/>
        <v>15595.039921439882</v>
      </c>
      <c r="F72" s="566"/>
      <c r="G72" s="565">
        <f t="shared" si="17"/>
        <v>2841.917325329483</v>
      </c>
      <c r="H72" s="566"/>
      <c r="I72" s="567">
        <f t="shared" si="27"/>
        <v>5847.1413565528892</v>
      </c>
      <c r="J72" s="568">
        <f t="shared" si="18"/>
        <v>438.07545665685706</v>
      </c>
      <c r="K72" s="9"/>
      <c r="L72" s="569">
        <f t="shared" si="19"/>
        <v>901.32429155451609</v>
      </c>
      <c r="M72" s="418"/>
      <c r="N72" s="531">
        <f t="shared" si="20"/>
        <v>143688.74978344911</v>
      </c>
      <c r="O72" s="711">
        <f t="shared" si="21"/>
        <v>295634.36762988125</v>
      </c>
      <c r="P72" s="711">
        <v>241368.01644203655</v>
      </c>
      <c r="Q72" s="418"/>
      <c r="R72" s="531">
        <f t="shared" si="22"/>
        <v>-1728.1229282468339</v>
      </c>
      <c r="T72" s="22">
        <f t="shared" si="28"/>
        <v>-3445.3598597792079</v>
      </c>
      <c r="U72" s="418"/>
      <c r="V72" s="531">
        <f t="shared" si="23"/>
        <v>295.98493406917225</v>
      </c>
      <c r="W72" s="531">
        <f t="shared" si="24"/>
        <v>590.10536477047617</v>
      </c>
      <c r="X72" s="531">
        <f t="shared" si="25"/>
        <v>97083.058374688495</v>
      </c>
      <c r="Y72" s="570">
        <f t="shared" si="26"/>
        <v>193554.55964471618</v>
      </c>
      <c r="AA72" s="711">
        <v>333148.86448317376</v>
      </c>
      <c r="AB72" s="1340">
        <f t="shared" si="29"/>
        <v>37514.496853292512</v>
      </c>
      <c r="AC72" s="1343">
        <f t="shared" si="30"/>
        <v>114.37346601613571</v>
      </c>
    </row>
    <row r="73" spans="2:29" ht="15.75" x14ac:dyDescent="0.25">
      <c r="B73" s="562" t="s">
        <v>16</v>
      </c>
      <c r="C73" s="6"/>
      <c r="D73" s="6"/>
      <c r="E73" s="740">
        <f t="shared" si="16"/>
        <v>14565.703219235846</v>
      </c>
      <c r="F73" s="566"/>
      <c r="G73" s="565">
        <f t="shared" si="17"/>
        <v>3871.2540275335195</v>
      </c>
      <c r="H73" s="566"/>
      <c r="I73" s="567">
        <f t="shared" si="27"/>
        <v>6876.4780587569257</v>
      </c>
      <c r="J73" s="568">
        <f t="shared" si="18"/>
        <v>596.74550024069617</v>
      </c>
      <c r="K73" s="9"/>
      <c r="L73" s="569">
        <f t="shared" si="19"/>
        <v>1059.9943351383554</v>
      </c>
      <c r="M73" s="418"/>
      <c r="N73" s="531">
        <f t="shared" si="20"/>
        <v>150976.61156089613</v>
      </c>
      <c r="O73" s="711">
        <f t="shared" si="21"/>
        <v>268178.56679000391</v>
      </c>
      <c r="P73" s="711">
        <v>224996.70532946571</v>
      </c>
      <c r="Q73" s="418"/>
      <c r="R73" s="531">
        <f t="shared" si="22"/>
        <v>-2799.5012601159087</v>
      </c>
      <c r="T73" s="22">
        <f t="shared" si="28"/>
        <v>-4516.7381916482827</v>
      </c>
      <c r="U73" s="418"/>
      <c r="V73" s="531">
        <f t="shared" si="23"/>
        <v>479.48567914817835</v>
      </c>
      <c r="W73" s="531">
        <f t="shared" si="24"/>
        <v>773.60610984948232</v>
      </c>
      <c r="X73" s="531">
        <f t="shared" si="25"/>
        <v>121309.87682448913</v>
      </c>
      <c r="Y73" s="570">
        <f t="shared" si="26"/>
        <v>195722.34579191904</v>
      </c>
      <c r="AA73" s="711">
        <v>317511.99304765981</v>
      </c>
      <c r="AB73" s="1340">
        <f t="shared" si="29"/>
        <v>49333.426257655898</v>
      </c>
      <c r="AC73" s="1343">
        <f t="shared" si="30"/>
        <v>194.99377967452924</v>
      </c>
    </row>
    <row r="74" spans="2:29" ht="15.75" x14ac:dyDescent="0.25">
      <c r="B74" s="562" t="s">
        <v>17</v>
      </c>
      <c r="C74" s="6"/>
      <c r="D74" s="6"/>
      <c r="E74" s="740">
        <f t="shared" si="16"/>
        <v>17254.849929562242</v>
      </c>
      <c r="F74" s="566"/>
      <c r="G74" s="565">
        <f t="shared" si="17"/>
        <v>1182.1073172071228</v>
      </c>
      <c r="H74" s="566"/>
      <c r="I74" s="567">
        <f t="shared" si="27"/>
        <v>4187.331348430529</v>
      </c>
      <c r="J74" s="568">
        <f t="shared" si="18"/>
        <v>175.01098831251454</v>
      </c>
      <c r="K74" s="9"/>
      <c r="L74" s="569">
        <f t="shared" si="19"/>
        <v>619.93440613513985</v>
      </c>
      <c r="M74" s="418"/>
      <c r="N74" s="531">
        <f t="shared" si="20"/>
        <v>340046.35029121576</v>
      </c>
      <c r="O74" s="711">
        <f t="shared" si="21"/>
        <v>1204532.5511205767</v>
      </c>
      <c r="P74" s="711">
        <v>832607.83834419644</v>
      </c>
      <c r="Q74" s="418"/>
      <c r="R74" s="531">
        <f t="shared" si="22"/>
        <v>-32.84967761398002</v>
      </c>
      <c r="T74" s="22">
        <f t="shared" si="28"/>
        <v>-1750.086609146354</v>
      </c>
      <c r="U74" s="418"/>
      <c r="V74" s="531">
        <f t="shared" si="23"/>
        <v>5.403771967499714</v>
      </c>
      <c r="W74" s="531">
        <f t="shared" si="24"/>
        <v>287.88924720457527</v>
      </c>
      <c r="X74" s="531">
        <f t="shared" si="25"/>
        <v>10499.528932851945</v>
      </c>
      <c r="Y74" s="570">
        <f t="shared" si="26"/>
        <v>559368.80731848977</v>
      </c>
      <c r="AA74" s="711">
        <v>1535625.2136299261</v>
      </c>
      <c r="AB74" s="1340">
        <f t="shared" si="29"/>
        <v>331092.66250934941</v>
      </c>
      <c r="AC74" s="1343">
        <f t="shared" si="30"/>
        <v>170.40281137897551</v>
      </c>
    </row>
    <row r="75" spans="2:29" ht="15.75" x14ac:dyDescent="0.25">
      <c r="B75" s="562" t="s">
        <v>18</v>
      </c>
      <c r="C75" s="6"/>
      <c r="D75" s="6"/>
      <c r="E75" s="740">
        <f t="shared" si="16"/>
        <v>17150.363796358066</v>
      </c>
      <c r="F75" s="566"/>
      <c r="G75" s="565">
        <f t="shared" si="17"/>
        <v>1286.5934504112993</v>
      </c>
      <c r="H75" s="566"/>
      <c r="I75" s="567">
        <f t="shared" si="27"/>
        <v>4291.8174816347055</v>
      </c>
      <c r="J75" s="568">
        <f t="shared" si="18"/>
        <v>198.32561922092734</v>
      </c>
      <c r="K75" s="9"/>
      <c r="L75" s="569">
        <f t="shared" si="19"/>
        <v>661.57445411858646</v>
      </c>
      <c r="M75" s="418"/>
      <c r="N75" s="531">
        <f t="shared" si="20"/>
        <v>82900.108834347629</v>
      </c>
      <c r="O75" s="711">
        <f t="shared" si="21"/>
        <v>276538.12182156916</v>
      </c>
      <c r="P75" s="711">
        <v>185097.39976314269</v>
      </c>
      <c r="Q75" s="418"/>
      <c r="R75" s="531">
        <f t="shared" si="22"/>
        <v>-540.96904279927912</v>
      </c>
      <c r="T75" s="22">
        <f t="shared" si="28"/>
        <v>-2258.2059743316531</v>
      </c>
      <c r="U75" s="418"/>
      <c r="V75" s="531">
        <f t="shared" si="23"/>
        <v>92.654685525668526</v>
      </c>
      <c r="W75" s="531">
        <f t="shared" si="24"/>
        <v>386.77511622697244</v>
      </c>
      <c r="X75" s="531">
        <f t="shared" si="25"/>
        <v>38729.658549729444</v>
      </c>
      <c r="Y75" s="570">
        <f t="shared" si="26"/>
        <v>161671.99858287448</v>
      </c>
      <c r="AA75" s="711">
        <v>343668.75208810071</v>
      </c>
      <c r="AB75" s="1340">
        <f t="shared" si="29"/>
        <v>67130.630266531545</v>
      </c>
      <c r="AC75" s="1343">
        <f t="shared" si="30"/>
        <v>160.59959393907067</v>
      </c>
    </row>
    <row r="76" spans="2:29" ht="15.75" x14ac:dyDescent="0.25">
      <c r="B76" s="562" t="s">
        <v>19</v>
      </c>
      <c r="C76" s="6"/>
      <c r="D76" s="6"/>
      <c r="E76" s="740">
        <f t="shared" si="16"/>
        <v>16728.585990012256</v>
      </c>
      <c r="F76" s="566"/>
      <c r="G76" s="565">
        <f t="shared" si="17"/>
        <v>1708.3712567571092</v>
      </c>
      <c r="H76" s="566"/>
      <c r="I76" s="567">
        <f t="shared" si="27"/>
        <v>4713.5952879805154</v>
      </c>
      <c r="J76" s="568">
        <f t="shared" si="18"/>
        <v>251.38683043180865</v>
      </c>
      <c r="K76" s="9"/>
      <c r="L76" s="569">
        <f t="shared" si="19"/>
        <v>693.60554662633285</v>
      </c>
      <c r="M76" s="418"/>
      <c r="N76" s="531">
        <f t="shared" si="20"/>
        <v>458780.9655380508</v>
      </c>
      <c r="O76" s="711">
        <f t="shared" si="21"/>
        <v>1265830.1225930573</v>
      </c>
      <c r="P76" s="711">
        <v>944089.86005777167</v>
      </c>
      <c r="Q76" s="418"/>
      <c r="R76" s="531">
        <f t="shared" si="22"/>
        <v>-2000.7159566616938</v>
      </c>
      <c r="T76" s="22">
        <f t="shared" si="28"/>
        <v>-3717.9528881940678</v>
      </c>
      <c r="U76" s="418"/>
      <c r="V76" s="531">
        <f t="shared" si="23"/>
        <v>327.11705891418694</v>
      </c>
      <c r="W76" s="531">
        <f t="shared" si="24"/>
        <v>607.88529721973009</v>
      </c>
      <c r="X76" s="531">
        <f t="shared" si="25"/>
        <v>596988.63251839112</v>
      </c>
      <c r="Y76" s="570">
        <f t="shared" si="26"/>
        <v>1109390.6674260073</v>
      </c>
      <c r="AA76" s="711">
        <v>1592545.4245450576</v>
      </c>
      <c r="AB76" s="1340">
        <f t="shared" si="29"/>
        <v>326715.30195200024</v>
      </c>
      <c r="AC76" s="1343">
        <f t="shared" si="30"/>
        <v>179.02208326137</v>
      </c>
    </row>
    <row r="77" spans="2:29" ht="15.75" x14ac:dyDescent="0.25">
      <c r="B77" s="562" t="s">
        <v>20</v>
      </c>
      <c r="C77" s="6"/>
      <c r="D77" s="6"/>
      <c r="E77" s="740">
        <f t="shared" si="16"/>
        <v>17930.947445254817</v>
      </c>
      <c r="F77" s="566"/>
      <c r="G77" s="565">
        <f t="shared" si="17"/>
        <v>506.0098015145486</v>
      </c>
      <c r="H77" s="566"/>
      <c r="I77" s="567">
        <f t="shared" si="27"/>
        <v>3511.2338327379548</v>
      </c>
      <c r="J77" s="568">
        <f t="shared" si="18"/>
        <v>78.000324955136307</v>
      </c>
      <c r="K77" s="9"/>
      <c r="L77" s="569">
        <f t="shared" si="19"/>
        <v>541.2491598527954</v>
      </c>
      <c r="M77" s="418"/>
      <c r="N77" s="531">
        <f t="shared" si="20"/>
        <v>7878.0328204687667</v>
      </c>
      <c r="O77" s="711">
        <f t="shared" si="21"/>
        <v>54666.165145132334</v>
      </c>
      <c r="P77" s="711">
        <v>34503.88693583147</v>
      </c>
      <c r="Q77" s="418"/>
      <c r="R77" s="531">
        <f t="shared" si="22"/>
        <v>423.26624309892577</v>
      </c>
      <c r="T77" s="22">
        <f t="shared" si="28"/>
        <v>-1293.9706884334482</v>
      </c>
      <c r="U77" s="418"/>
      <c r="V77" s="531">
        <f t="shared" si="23"/>
        <v>0</v>
      </c>
      <c r="W77" s="531">
        <f t="shared" si="24"/>
        <v>221.62533847748992</v>
      </c>
      <c r="X77" s="531">
        <f t="shared" si="25"/>
        <v>0</v>
      </c>
      <c r="Y77" s="570">
        <f t="shared" si="26"/>
        <v>22384.159186226483</v>
      </c>
      <c r="AA77" s="711">
        <v>79185.832056386062</v>
      </c>
      <c r="AB77" s="1340">
        <f t="shared" si="29"/>
        <v>24519.666911253727</v>
      </c>
      <c r="AC77" s="1343">
        <f t="shared" si="30"/>
        <v>242.76897931934383</v>
      </c>
    </row>
    <row r="78" spans="2:29" ht="15.75" x14ac:dyDescent="0.25">
      <c r="B78" s="562" t="s">
        <v>21</v>
      </c>
      <c r="C78" s="6"/>
      <c r="D78" s="6"/>
      <c r="E78" s="740">
        <f t="shared" si="16"/>
        <v>15173.055544167768</v>
      </c>
      <c r="F78" s="566"/>
      <c r="G78" s="565">
        <f t="shared" si="17"/>
        <v>3263.9017026015972</v>
      </c>
      <c r="H78" s="566"/>
      <c r="I78" s="567">
        <f t="shared" si="27"/>
        <v>6269.1257338250034</v>
      </c>
      <c r="J78" s="568">
        <f t="shared" si="18"/>
        <v>503.12344279210066</v>
      </c>
      <c r="K78" s="9"/>
      <c r="L78" s="569">
        <f t="shared" si="19"/>
        <v>966.3722776897597</v>
      </c>
      <c r="M78" s="418"/>
      <c r="N78" s="531">
        <f t="shared" si="20"/>
        <v>520732.76328982419</v>
      </c>
      <c r="O78" s="711">
        <f t="shared" si="21"/>
        <v>1000195.3074089013</v>
      </c>
      <c r="P78" s="711">
        <v>799155.52726779284</v>
      </c>
      <c r="Q78" s="418"/>
      <c r="R78" s="531">
        <f t="shared" si="22"/>
        <v>-2079.4488923475765</v>
      </c>
      <c r="T78" s="22">
        <f t="shared" si="28"/>
        <v>-3796.6858238799505</v>
      </c>
      <c r="U78" s="418"/>
      <c r="V78" s="531">
        <f t="shared" si="23"/>
        <v>356.15842671916607</v>
      </c>
      <c r="W78" s="531">
        <f t="shared" si="24"/>
        <v>650.27885742046999</v>
      </c>
      <c r="X78" s="531">
        <f t="shared" si="25"/>
        <v>368623.9716543369</v>
      </c>
      <c r="Y78" s="570">
        <f t="shared" si="26"/>
        <v>673038.61743018648</v>
      </c>
      <c r="AA78" s="711">
        <v>1165467.107123663</v>
      </c>
      <c r="AB78" s="1340">
        <f t="shared" si="29"/>
        <v>165271.79971476167</v>
      </c>
      <c r="AC78" s="1343">
        <f t="shared" si="30"/>
        <v>159.68289827513206</v>
      </c>
    </row>
    <row r="79" spans="2:29" ht="15.75" x14ac:dyDescent="0.25">
      <c r="B79" s="562" t="s">
        <v>22</v>
      </c>
      <c r="C79" s="6"/>
      <c r="D79" s="6"/>
      <c r="E79" s="740">
        <f t="shared" si="16"/>
        <v>12945.847624559785</v>
      </c>
      <c r="F79" s="566"/>
      <c r="G79" s="565">
        <f t="shared" si="17"/>
        <v>5491.1096222095803</v>
      </c>
      <c r="H79" s="566"/>
      <c r="I79" s="567">
        <f t="shared" si="27"/>
        <v>8496.3336534329865</v>
      </c>
      <c r="J79" s="568">
        <f t="shared" si="18"/>
        <v>846.44276378569009</v>
      </c>
      <c r="K79" s="9"/>
      <c r="L79" s="569">
        <f t="shared" si="19"/>
        <v>1309.6915986833492</v>
      </c>
      <c r="M79" s="418"/>
      <c r="N79" s="531">
        <f t="shared" si="20"/>
        <v>371588.37330191798</v>
      </c>
      <c r="O79" s="711">
        <f t="shared" si="21"/>
        <v>574954.61182199034</v>
      </c>
      <c r="P79" s="711">
        <v>493929.58929159911</v>
      </c>
      <c r="Q79" s="418"/>
      <c r="R79" s="531">
        <f t="shared" si="22"/>
        <v>-4301.1821665853677</v>
      </c>
      <c r="T79" s="22">
        <f t="shared" si="28"/>
        <v>-6018.4190981177417</v>
      </c>
      <c r="U79" s="418"/>
      <c r="V79" s="531">
        <f t="shared" si="23"/>
        <v>736.68666689574195</v>
      </c>
      <c r="W79" s="531">
        <f t="shared" si="24"/>
        <v>1030.8070975970459</v>
      </c>
      <c r="X79" s="531">
        <f t="shared" si="25"/>
        <v>323405.44676723069</v>
      </c>
      <c r="Y79" s="570">
        <f t="shared" si="26"/>
        <v>452524.31584510312</v>
      </c>
      <c r="AA79" s="711">
        <v>642348.02480218967</v>
      </c>
      <c r="AB79" s="1340">
        <f t="shared" si="29"/>
        <v>67393.412980199326</v>
      </c>
      <c r="AC79" s="1343">
        <f t="shared" si="30"/>
        <v>153.51574710751555</v>
      </c>
    </row>
    <row r="80" spans="2:29" ht="16.5" thickBot="1" x14ac:dyDescent="0.3">
      <c r="B80" s="562" t="s">
        <v>23</v>
      </c>
      <c r="C80" s="6"/>
      <c r="D80" s="6"/>
      <c r="E80" s="741">
        <f t="shared" si="16"/>
        <v>21454.88864423491</v>
      </c>
      <c r="F80" s="566"/>
      <c r="G80" s="565">
        <f t="shared" si="17"/>
        <v>-3017.9313974655452</v>
      </c>
      <c r="H80" s="566"/>
      <c r="I80" s="567">
        <f t="shared" si="27"/>
        <v>-12.70736624213896</v>
      </c>
      <c r="J80" s="568">
        <f t="shared" si="18"/>
        <v>0</v>
      </c>
      <c r="K80" s="9"/>
      <c r="L80" s="569">
        <f t="shared" si="19"/>
        <v>0</v>
      </c>
      <c r="M80" s="418"/>
      <c r="N80" s="531">
        <f t="shared" si="20"/>
        <v>0</v>
      </c>
      <c r="O80" s="711">
        <f t="shared" si="21"/>
        <v>0</v>
      </c>
      <c r="P80" s="711">
        <v>0</v>
      </c>
      <c r="Q80" s="557"/>
      <c r="R80" s="571">
        <f t="shared" si="22"/>
        <v>2106.8124837261421</v>
      </c>
      <c r="T80" s="22">
        <f t="shared" si="28"/>
        <v>389.57555219376809</v>
      </c>
      <c r="U80" s="557"/>
      <c r="V80" s="571">
        <f t="shared" si="23"/>
        <v>0</v>
      </c>
      <c r="W80" s="571">
        <f t="shared" si="24"/>
        <v>0</v>
      </c>
      <c r="X80" s="531">
        <f t="shared" si="25"/>
        <v>0</v>
      </c>
      <c r="Y80" s="572">
        <f t="shared" si="26"/>
        <v>0</v>
      </c>
      <c r="AA80" s="711">
        <v>0</v>
      </c>
      <c r="AB80" s="1340">
        <f t="shared" si="29"/>
        <v>0</v>
      </c>
      <c r="AC80" s="1343">
        <f t="shared" si="30"/>
        <v>0</v>
      </c>
    </row>
    <row r="81" spans="2:27" ht="16.5" thickBot="1" x14ac:dyDescent="0.3">
      <c r="B81" s="493" t="s">
        <v>247</v>
      </c>
      <c r="C81" s="6"/>
      <c r="D81" s="6"/>
      <c r="E81" s="741">
        <f t="shared" si="16"/>
        <v>18436.957246769365</v>
      </c>
      <c r="F81" s="574"/>
      <c r="G81" s="575">
        <f t="shared" si="17"/>
        <v>0</v>
      </c>
      <c r="H81" s="576"/>
      <c r="I81" s="577">
        <f t="shared" si="27"/>
        <v>3005.2240312234062</v>
      </c>
      <c r="J81" s="435"/>
      <c r="K81" s="494"/>
      <c r="L81" s="494"/>
      <c r="M81" s="420"/>
      <c r="N81" s="539">
        <f>SUM(N65:N80)</f>
        <v>5280836.6377908234</v>
      </c>
      <c r="O81" s="714">
        <f>SUM(O65:O80)</f>
        <v>13223966.421421008</v>
      </c>
      <c r="P81" s="714">
        <v>10188593.643073654</v>
      </c>
      <c r="Q81" s="420"/>
      <c r="R81" s="579">
        <f t="shared" si="22"/>
        <v>0</v>
      </c>
      <c r="S81" s="420"/>
      <c r="T81" s="422"/>
      <c r="U81" s="557"/>
      <c r="V81" s="507"/>
      <c r="W81" s="420"/>
      <c r="X81" s="573">
        <f>SUM(X65:X80)</f>
        <v>4280911.2123324443</v>
      </c>
      <c r="Y81" s="571">
        <f>SUM(Y65:Y80)</f>
        <v>9069083.0430003665</v>
      </c>
      <c r="AA81" s="714">
        <v>16299616.99464315</v>
      </c>
    </row>
    <row r="82" spans="2:27" ht="16.5" thickBot="1" x14ac:dyDescent="0.3">
      <c r="AA82" s="714"/>
    </row>
    <row r="83" spans="2:27" ht="16.5" thickBot="1" x14ac:dyDescent="0.3">
      <c r="O83" s="714">
        <v>13106454.567731623</v>
      </c>
      <c r="P83" s="1" t="s">
        <v>567</v>
      </c>
      <c r="Q83" s="569"/>
      <c r="R83" s="37"/>
    </row>
    <row r="84" spans="2:27" x14ac:dyDescent="0.2">
      <c r="F84" s="1" t="s">
        <v>395</v>
      </c>
      <c r="Q84" s="569"/>
      <c r="R84" s="37"/>
    </row>
    <row r="85" spans="2:27" ht="15.75" thickBot="1" x14ac:dyDescent="0.25">
      <c r="Q85" s="569"/>
      <c r="R85" s="37"/>
    </row>
    <row r="86" spans="2:27" ht="15.75" thickBot="1" x14ac:dyDescent="0.25">
      <c r="F86" s="553" t="s">
        <v>255</v>
      </c>
      <c r="G86" s="554"/>
      <c r="H86" s="554"/>
      <c r="I86" s="554"/>
      <c r="J86" s="554"/>
      <c r="K86" s="554"/>
      <c r="L86" s="554"/>
      <c r="M86" s="554"/>
      <c r="N86" s="554"/>
      <c r="O86" s="555"/>
      <c r="Q86" s="569"/>
      <c r="R86" s="37"/>
    </row>
    <row r="87" spans="2:27" x14ac:dyDescent="0.2">
      <c r="B87" s="1371" t="s">
        <v>257</v>
      </c>
      <c r="C87" s="1408"/>
      <c r="D87" s="1408"/>
      <c r="E87" s="1372"/>
      <c r="F87" s="544"/>
      <c r="G87" s="499"/>
      <c r="H87" s="3"/>
      <c r="I87" s="3"/>
      <c r="J87" s="2"/>
      <c r="K87" s="3"/>
      <c r="L87" s="3"/>
      <c r="M87" s="544"/>
      <c r="N87" s="499"/>
      <c r="O87" s="2"/>
      <c r="Q87" s="569"/>
      <c r="R87" s="37"/>
    </row>
    <row r="88" spans="2:27" x14ac:dyDescent="0.2">
      <c r="B88" s="1366"/>
      <c r="C88" s="1364"/>
      <c r="D88" s="1364"/>
      <c r="E88" s="1367"/>
      <c r="F88" s="1366" t="s">
        <v>262</v>
      </c>
      <c r="G88" s="1367"/>
      <c r="H88" s="1364" t="s">
        <v>263</v>
      </c>
      <c r="I88" s="1364"/>
      <c r="J88" s="1368" t="s">
        <v>264</v>
      </c>
      <c r="K88" s="1365" t="s">
        <v>265</v>
      </c>
      <c r="L88" s="1365"/>
      <c r="M88" s="418"/>
      <c r="N88" s="1369" t="s">
        <v>266</v>
      </c>
      <c r="O88" s="1368" t="s">
        <v>267</v>
      </c>
      <c r="Q88" s="569"/>
      <c r="R88" s="37"/>
    </row>
    <row r="89" spans="2:27" x14ac:dyDescent="0.2">
      <c r="B89" s="1366"/>
      <c r="C89" s="1364"/>
      <c r="D89" s="1364"/>
      <c r="E89" s="1367"/>
      <c r="F89" s="1366"/>
      <c r="G89" s="1367"/>
      <c r="H89" s="1364"/>
      <c r="I89" s="1364"/>
      <c r="J89" s="1368"/>
      <c r="K89" s="1365"/>
      <c r="L89" s="1365"/>
      <c r="M89" s="418"/>
      <c r="N89" s="1369"/>
      <c r="O89" s="1368"/>
      <c r="Q89" s="569"/>
      <c r="R89" s="37"/>
    </row>
    <row r="90" spans="2:27" ht="15.75" x14ac:dyDescent="0.25">
      <c r="B90" s="1366"/>
      <c r="C90" s="1364"/>
      <c r="D90" s="1364"/>
      <c r="E90" s="1367"/>
      <c r="F90" s="1366"/>
      <c r="G90" s="1367"/>
      <c r="H90" s="1364"/>
      <c r="I90" s="1364"/>
      <c r="J90" s="1368"/>
      <c r="K90" s="1338"/>
      <c r="L90" s="1338"/>
      <c r="M90" s="418"/>
      <c r="N90" s="1369"/>
      <c r="O90" s="1368"/>
      <c r="Q90" s="569"/>
      <c r="R90" s="37"/>
    </row>
    <row r="91" spans="2:27" ht="16.5" thickBot="1" x14ac:dyDescent="0.3">
      <c r="B91" s="1373"/>
      <c r="C91" s="1409"/>
      <c r="D91" s="1409"/>
      <c r="E91" s="1374"/>
      <c r="F91" s="1366"/>
      <c r="G91" s="1367"/>
      <c r="H91" s="1364"/>
      <c r="I91" s="1364"/>
      <c r="J91" s="1368"/>
      <c r="K91" s="1338"/>
      <c r="L91" s="1338"/>
      <c r="M91" s="418"/>
      <c r="N91" s="1369"/>
      <c r="O91" s="1368"/>
      <c r="Q91" s="569"/>
      <c r="R91" s="37"/>
    </row>
    <row r="92" spans="2:27" ht="16.5" thickBot="1" x14ac:dyDescent="0.3">
      <c r="B92" s="493"/>
      <c r="C92" s="494"/>
      <c r="D92" s="494"/>
      <c r="E92" s="495">
        <v>2013</v>
      </c>
      <c r="F92" s="558"/>
      <c r="G92" s="559"/>
      <c r="H92" s="560"/>
      <c r="I92" s="560"/>
      <c r="J92" s="561"/>
      <c r="K92" s="421"/>
      <c r="L92" s="421"/>
      <c r="M92" s="420"/>
      <c r="N92" s="422"/>
      <c r="O92" s="561"/>
      <c r="Q92" s="569"/>
      <c r="R92" s="37"/>
    </row>
    <row r="93" spans="2:27" ht="15.75" x14ac:dyDescent="0.25">
      <c r="B93" s="562" t="s">
        <v>8</v>
      </c>
      <c r="C93" s="562"/>
      <c r="D93" s="562"/>
      <c r="E93" s="563">
        <v>2654.7680644939264</v>
      </c>
      <c r="F93" s="564"/>
      <c r="G93" s="565">
        <v>421.69273965205002</v>
      </c>
      <c r="H93" s="566"/>
      <c r="I93" s="567">
        <v>729.33882006664817</v>
      </c>
      <c r="J93" s="568">
        <v>379.52346568684504</v>
      </c>
      <c r="K93" s="9"/>
      <c r="L93" s="569">
        <v>656.40493805998335</v>
      </c>
      <c r="M93" s="418"/>
      <c r="N93" s="531">
        <v>196593.15522578574</v>
      </c>
      <c r="O93" s="568">
        <v>340017.75791507139</v>
      </c>
      <c r="Q93" s="569"/>
      <c r="R93" s="37"/>
    </row>
    <row r="94" spans="2:27" ht="15.75" x14ac:dyDescent="0.25">
      <c r="B94" s="562" t="s">
        <v>9</v>
      </c>
      <c r="C94" s="562"/>
      <c r="D94" s="562"/>
      <c r="E94" s="570">
        <v>2409.1948955682587</v>
      </c>
      <c r="F94" s="564"/>
      <c r="G94" s="565">
        <v>667.26590857771771</v>
      </c>
      <c r="H94" s="566"/>
      <c r="I94" s="567">
        <v>974.91198899231586</v>
      </c>
      <c r="J94" s="568">
        <v>600.53931771994598</v>
      </c>
      <c r="K94" s="9"/>
      <c r="L94" s="569">
        <v>877.42079009308429</v>
      </c>
      <c r="M94" s="418"/>
      <c r="N94" s="531">
        <v>553096.71162007027</v>
      </c>
      <c r="O94" s="568">
        <v>808104.54767573066</v>
      </c>
      <c r="Q94" s="569"/>
      <c r="R94" s="37"/>
    </row>
    <row r="95" spans="2:27" ht="15.75" x14ac:dyDescent="0.25">
      <c r="B95" s="562" t="s">
        <v>10</v>
      </c>
      <c r="C95" s="562"/>
      <c r="D95" s="562"/>
      <c r="E95" s="570">
        <v>2574.8580789313751</v>
      </c>
      <c r="F95" s="564"/>
      <c r="G95" s="565">
        <v>501.60272521460138</v>
      </c>
      <c r="H95" s="566"/>
      <c r="I95" s="567">
        <v>809.24880562919952</v>
      </c>
      <c r="J95" s="568">
        <v>451.44245269314126</v>
      </c>
      <c r="K95" s="9"/>
      <c r="L95" s="569">
        <v>728.32392506627957</v>
      </c>
      <c r="M95" s="418"/>
      <c r="N95" s="531">
        <v>1120931.6100370698</v>
      </c>
      <c r="O95" s="568">
        <v>1808428.3059395722</v>
      </c>
      <c r="Q95" s="569"/>
      <c r="R95" s="37"/>
    </row>
    <row r="96" spans="2:27" ht="15.75" x14ac:dyDescent="0.25">
      <c r="B96" s="562" t="s">
        <v>11</v>
      </c>
      <c r="C96" s="562"/>
      <c r="D96" s="562"/>
      <c r="E96" s="570">
        <v>2691.4098263892156</v>
      </c>
      <c r="F96" s="564"/>
      <c r="G96" s="565">
        <v>385.05097775676086</v>
      </c>
      <c r="H96" s="566"/>
      <c r="I96" s="567">
        <v>692.697058171359</v>
      </c>
      <c r="J96" s="568">
        <v>346.54587998108479</v>
      </c>
      <c r="K96" s="9"/>
      <c r="L96" s="569">
        <v>623.4273523542231</v>
      </c>
      <c r="M96" s="418"/>
      <c r="N96" s="531">
        <v>199610.42686910485</v>
      </c>
      <c r="O96" s="568">
        <v>359094.15495603252</v>
      </c>
      <c r="Q96" s="569"/>
      <c r="R96" s="37"/>
    </row>
    <row r="97" spans="2:18" ht="15.75" x14ac:dyDescent="0.25">
      <c r="B97" s="562" t="s">
        <v>12</v>
      </c>
      <c r="C97" s="562"/>
      <c r="D97" s="562"/>
      <c r="E97" s="570">
        <v>1850.7581657490268</v>
      </c>
      <c r="F97" s="564"/>
      <c r="G97" s="565">
        <v>1225.7026383969496</v>
      </c>
      <c r="H97" s="566"/>
      <c r="I97" s="567">
        <v>1533.3487188115478</v>
      </c>
      <c r="J97" s="568">
        <v>1103.1323745572547</v>
      </c>
      <c r="K97" s="9"/>
      <c r="L97" s="569">
        <v>1380.0138469303931</v>
      </c>
      <c r="M97" s="418"/>
      <c r="N97" s="531">
        <v>503028.36279810814</v>
      </c>
      <c r="O97" s="568">
        <v>629286.31420025928</v>
      </c>
      <c r="Q97" s="569"/>
      <c r="R97" s="37"/>
    </row>
    <row r="98" spans="2:18" ht="15.75" x14ac:dyDescent="0.25">
      <c r="B98" s="562" t="s">
        <v>13</v>
      </c>
      <c r="C98" s="562"/>
      <c r="D98" s="562"/>
      <c r="E98" s="570">
        <v>2389.6992850613929</v>
      </c>
      <c r="F98" s="564"/>
      <c r="G98" s="565">
        <v>686.7615190845836</v>
      </c>
      <c r="H98" s="566"/>
      <c r="I98" s="567">
        <v>994.40759949918174</v>
      </c>
      <c r="J98" s="568">
        <v>618.08536717612526</v>
      </c>
      <c r="K98" s="9"/>
      <c r="L98" s="569">
        <v>894.96683954926357</v>
      </c>
      <c r="M98" s="418"/>
      <c r="N98" s="531">
        <v>890042.92873362033</v>
      </c>
      <c r="O98" s="568">
        <v>1288752.2489509396</v>
      </c>
      <c r="Q98" s="569"/>
      <c r="R98" s="37"/>
    </row>
    <row r="99" spans="2:18" ht="15.75" x14ac:dyDescent="0.25">
      <c r="B99" s="562" t="s">
        <v>14</v>
      </c>
      <c r="C99" s="562"/>
      <c r="D99" s="562"/>
      <c r="E99" s="570">
        <v>2896.60674794125</v>
      </c>
      <c r="F99" s="564"/>
      <c r="G99" s="565">
        <v>179.85405620472648</v>
      </c>
      <c r="H99" s="566"/>
      <c r="I99" s="567">
        <v>487.50013661932462</v>
      </c>
      <c r="J99" s="568">
        <v>161.86865058425383</v>
      </c>
      <c r="K99" s="9"/>
      <c r="L99" s="569">
        <v>438.75012295739219</v>
      </c>
      <c r="M99" s="418"/>
      <c r="N99" s="531">
        <v>634039.50433852221</v>
      </c>
      <c r="O99" s="568">
        <v>1718584.2316241052</v>
      </c>
      <c r="Q99" s="736"/>
      <c r="R99" s="9"/>
    </row>
    <row r="100" spans="2:18" ht="15.75" x14ac:dyDescent="0.25">
      <c r="B100" s="562" t="s">
        <v>15</v>
      </c>
      <c r="C100" s="562"/>
      <c r="D100" s="562"/>
      <c r="E100" s="570">
        <v>2603.2971501358857</v>
      </c>
      <c r="F100" s="564"/>
      <c r="G100" s="565">
        <v>473.1636540100908</v>
      </c>
      <c r="H100" s="566"/>
      <c r="I100" s="567">
        <v>780.80973442468894</v>
      </c>
      <c r="J100" s="568">
        <v>425.84728860908172</v>
      </c>
      <c r="K100" s="9"/>
      <c r="L100" s="569">
        <v>702.72876098222002</v>
      </c>
      <c r="M100" s="418"/>
      <c r="N100" s="531">
        <v>153305.02389926941</v>
      </c>
      <c r="O100" s="568">
        <v>252982.3539535992</v>
      </c>
      <c r="Q100" s="9"/>
      <c r="R100" s="9"/>
    </row>
    <row r="101" spans="2:18" ht="15.75" x14ac:dyDescent="0.25">
      <c r="B101" s="562" t="s">
        <v>16</v>
      </c>
      <c r="C101" s="562"/>
      <c r="D101" s="562"/>
      <c r="E101" s="570">
        <v>2242.1674788031364</v>
      </c>
      <c r="F101" s="564"/>
      <c r="G101" s="565">
        <v>834.29332534284003</v>
      </c>
      <c r="H101" s="566"/>
      <c r="I101" s="567">
        <v>1141.9394057574382</v>
      </c>
      <c r="J101" s="568">
        <v>750.86399280855608</v>
      </c>
      <c r="K101" s="9"/>
      <c r="L101" s="569">
        <v>1027.7454651816945</v>
      </c>
      <c r="M101" s="418"/>
      <c r="N101" s="531">
        <v>196726.36611584169</v>
      </c>
      <c r="O101" s="568">
        <v>269269.31187760393</v>
      </c>
    </row>
    <row r="102" spans="2:18" ht="15.75" x14ac:dyDescent="0.25">
      <c r="B102" s="562" t="s">
        <v>17</v>
      </c>
      <c r="C102" s="562"/>
      <c r="D102" s="562"/>
      <c r="E102" s="570">
        <v>2738.7291126646674</v>
      </c>
      <c r="F102" s="564"/>
      <c r="G102" s="565">
        <v>337.7316914813091</v>
      </c>
      <c r="H102" s="566"/>
      <c r="I102" s="567">
        <v>645.37777189590724</v>
      </c>
      <c r="J102" s="568">
        <v>303.95852233317822</v>
      </c>
      <c r="K102" s="9"/>
      <c r="L102" s="569">
        <v>580.83999470631659</v>
      </c>
      <c r="M102" s="418"/>
      <c r="N102" s="531">
        <v>541958.04532005673</v>
      </c>
      <c r="O102" s="568">
        <v>1035637.7105613624</v>
      </c>
    </row>
    <row r="103" spans="2:18" ht="15.75" x14ac:dyDescent="0.25">
      <c r="B103" s="562" t="s">
        <v>18</v>
      </c>
      <c r="C103" s="562"/>
      <c r="D103" s="562"/>
      <c r="E103" s="570">
        <v>2743.4985147070383</v>
      </c>
      <c r="F103" s="564"/>
      <c r="G103" s="565">
        <v>332.96228943893811</v>
      </c>
      <c r="H103" s="566"/>
      <c r="I103" s="567">
        <v>640.60836985353626</v>
      </c>
      <c r="J103" s="568">
        <v>299.66606049504429</v>
      </c>
      <c r="K103" s="9"/>
      <c r="L103" s="569">
        <v>576.54753286818266</v>
      </c>
      <c r="M103" s="418"/>
      <c r="N103" s="531">
        <v>115970.76541158214</v>
      </c>
      <c r="O103" s="568">
        <v>223123.89521998668</v>
      </c>
    </row>
    <row r="104" spans="2:18" ht="15.75" x14ac:dyDescent="0.25">
      <c r="B104" s="562" t="s">
        <v>19</v>
      </c>
      <c r="C104" s="562"/>
      <c r="D104" s="562"/>
      <c r="E104" s="570">
        <v>2624.570148222665</v>
      </c>
      <c r="F104" s="564"/>
      <c r="G104" s="565">
        <v>451.89065592331144</v>
      </c>
      <c r="H104" s="566"/>
      <c r="I104" s="567">
        <v>759.53673633790959</v>
      </c>
      <c r="J104" s="568">
        <v>406.70159033098031</v>
      </c>
      <c r="K104" s="9"/>
      <c r="L104" s="569">
        <v>683.58306270411867</v>
      </c>
      <c r="M104" s="418"/>
      <c r="N104" s="531">
        <v>712947.88785020844</v>
      </c>
      <c r="O104" s="568">
        <v>1198321.1089203199</v>
      </c>
    </row>
    <row r="105" spans="2:18" ht="15.75" x14ac:dyDescent="0.25">
      <c r="B105" s="562" t="s">
        <v>20</v>
      </c>
      <c r="C105" s="562"/>
      <c r="D105" s="562"/>
      <c r="E105" s="570">
        <v>2701.8196401363634</v>
      </c>
      <c r="F105" s="564"/>
      <c r="G105" s="565">
        <v>374.64116400961302</v>
      </c>
      <c r="H105" s="566"/>
      <c r="I105" s="567">
        <v>682.28724442421117</v>
      </c>
      <c r="J105" s="568">
        <v>337.17704760865172</v>
      </c>
      <c r="K105" s="9"/>
      <c r="L105" s="569">
        <v>614.05851998179003</v>
      </c>
      <c r="M105" s="418"/>
      <c r="N105" s="531">
        <v>38775.360474994945</v>
      </c>
      <c r="O105" s="568">
        <v>70616.729797905849</v>
      </c>
    </row>
    <row r="106" spans="2:18" ht="15.75" x14ac:dyDescent="0.25">
      <c r="B106" s="562" t="s">
        <v>21</v>
      </c>
      <c r="C106" s="562"/>
      <c r="D106" s="562"/>
      <c r="E106" s="570">
        <v>2425.3222016775098</v>
      </c>
      <c r="F106" s="564"/>
      <c r="G106" s="565">
        <v>651.13860246846662</v>
      </c>
      <c r="H106" s="566"/>
      <c r="I106" s="567">
        <v>958.78468288306476</v>
      </c>
      <c r="J106" s="568">
        <v>586.02474222161993</v>
      </c>
      <c r="K106" s="9"/>
      <c r="L106" s="569">
        <v>862.90621459475835</v>
      </c>
      <c r="M106" s="418"/>
      <c r="N106" s="531">
        <v>604191.50923049019</v>
      </c>
      <c r="O106" s="568">
        <v>889656.30724719586</v>
      </c>
    </row>
    <row r="107" spans="2:18" ht="15.75" x14ac:dyDescent="0.25">
      <c r="B107" s="562" t="s">
        <v>22</v>
      </c>
      <c r="C107" s="562"/>
      <c r="D107" s="562"/>
      <c r="E107" s="570">
        <v>2038.0179225503391</v>
      </c>
      <c r="F107" s="564"/>
      <c r="G107" s="565">
        <v>1038.4428815956373</v>
      </c>
      <c r="H107" s="566"/>
      <c r="I107" s="567">
        <v>1346.0889620102355</v>
      </c>
      <c r="J107" s="568">
        <v>934.59859343607366</v>
      </c>
      <c r="K107" s="9"/>
      <c r="L107" s="569">
        <v>1211.480065809212</v>
      </c>
      <c r="M107" s="418"/>
      <c r="N107" s="531">
        <v>419634.76845279709</v>
      </c>
      <c r="O107" s="568">
        <v>543954.54954833619</v>
      </c>
    </row>
    <row r="108" spans="2:18" ht="16.5" thickBot="1" x14ac:dyDescent="0.3">
      <c r="B108" s="562" t="s">
        <v>23</v>
      </c>
      <c r="C108" s="562"/>
      <c r="D108" s="562"/>
      <c r="E108" s="570">
        <v>3770.7159936426542</v>
      </c>
      <c r="F108" s="564"/>
      <c r="G108" s="565">
        <v>-694.25518949667776</v>
      </c>
      <c r="H108" s="566"/>
      <c r="I108" s="567">
        <v>-386.60910908207961</v>
      </c>
      <c r="J108" s="568">
        <v>0</v>
      </c>
      <c r="K108" s="9"/>
      <c r="L108" s="569">
        <v>0</v>
      </c>
      <c r="M108" s="418"/>
      <c r="N108" s="531">
        <v>0</v>
      </c>
      <c r="O108" s="568">
        <v>0</v>
      </c>
    </row>
    <row r="109" spans="2:18" ht="16.5" thickBot="1" x14ac:dyDescent="0.3">
      <c r="B109" s="493" t="s">
        <v>247</v>
      </c>
      <c r="C109" s="493"/>
      <c r="D109" s="493"/>
      <c r="E109" s="573"/>
      <c r="F109" s="574"/>
      <c r="G109" s="575">
        <v>3076.4608041459765</v>
      </c>
      <c r="H109" s="576"/>
      <c r="I109" s="577">
        <v>3384.1068845605746</v>
      </c>
      <c r="J109" s="435"/>
      <c r="K109" s="494"/>
      <c r="L109" s="494"/>
      <c r="M109" s="420"/>
      <c r="N109" s="539">
        <v>6880852.4263775209</v>
      </c>
      <c r="O109" s="578">
        <v>11435829.528388018</v>
      </c>
    </row>
  </sheetData>
  <mergeCells count="20">
    <mergeCell ref="X61:X63"/>
    <mergeCell ref="Y61:Y63"/>
    <mergeCell ref="U59:V63"/>
    <mergeCell ref="W59:W62"/>
    <mergeCell ref="N88:N91"/>
    <mergeCell ref="O88:O91"/>
    <mergeCell ref="B59:E63"/>
    <mergeCell ref="Q59:R63"/>
    <mergeCell ref="S59:T63"/>
    <mergeCell ref="F60:G63"/>
    <mergeCell ref="H60:I63"/>
    <mergeCell ref="J60:J63"/>
    <mergeCell ref="K60:L61"/>
    <mergeCell ref="N60:N63"/>
    <mergeCell ref="O60:O63"/>
    <mergeCell ref="B87:E91"/>
    <mergeCell ref="F88:G91"/>
    <mergeCell ref="H88:I91"/>
    <mergeCell ref="J88:J91"/>
    <mergeCell ref="K88:L89"/>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O137"/>
  <sheetViews>
    <sheetView topLeftCell="A10" zoomScale="70" zoomScaleNormal="70" workbookViewId="0">
      <selection activeCell="I23" sqref="I23:J23"/>
    </sheetView>
  </sheetViews>
  <sheetFormatPr defaultColWidth="8.88671875" defaultRowHeight="15" x14ac:dyDescent="0.2"/>
  <cols>
    <col min="1" max="1" width="8.88671875" style="1"/>
    <col min="2" max="2" width="14.88671875" style="1" customWidth="1"/>
    <col min="3" max="3" width="17" style="1" customWidth="1"/>
    <col min="4" max="4" width="12" style="1" customWidth="1"/>
    <col min="5" max="5" width="9.44140625" style="1" bestFit="1" customWidth="1"/>
    <col min="6" max="6" width="9.77734375" style="1" bestFit="1" customWidth="1"/>
    <col min="7" max="7" width="18.6640625" style="1" customWidth="1"/>
    <col min="8" max="8" width="12.109375" style="1" customWidth="1"/>
    <col min="9" max="9" width="19.44140625" style="1" customWidth="1"/>
    <col min="10" max="10" width="22.88671875" style="1" customWidth="1"/>
    <col min="11" max="11" width="7.33203125" style="1" customWidth="1"/>
    <col min="12" max="12" width="9" style="1" customWidth="1"/>
    <col min="13" max="14" width="13.77734375" style="1" customWidth="1"/>
    <col min="15" max="19" width="10.5546875" style="1" bestFit="1" customWidth="1"/>
    <col min="20" max="20" width="9.6640625" style="1" bestFit="1" customWidth="1"/>
    <col min="21" max="22" width="8.88671875" style="1"/>
    <col min="23" max="23" width="11.109375" style="1" customWidth="1"/>
    <col min="24" max="24" width="8.88671875" style="1"/>
    <col min="25" max="25" width="8.88671875" style="235"/>
    <col min="26" max="31" width="8.88671875" style="1"/>
    <col min="32" max="32" width="13.109375" style="1" customWidth="1"/>
    <col min="33" max="16384" width="8.88671875" style="1"/>
  </cols>
  <sheetData>
    <row r="3" spans="1:41" ht="34.5" thickBot="1" x14ac:dyDescent="0.55000000000000004">
      <c r="B3" s="753" t="s">
        <v>179</v>
      </c>
      <c r="C3" s="750"/>
      <c r="D3" s="750"/>
      <c r="G3" s="1" t="s">
        <v>654</v>
      </c>
    </row>
    <row r="4" spans="1:41" ht="15.75" thickTop="1" x14ac:dyDescent="0.2"/>
    <row r="5" spans="1:41" x14ac:dyDescent="0.2">
      <c r="B5" s="751" t="s">
        <v>412</v>
      </c>
    </row>
    <row r="6" spans="1:41" x14ac:dyDescent="0.2">
      <c r="B6" s="751" t="s">
        <v>413</v>
      </c>
    </row>
    <row r="7" spans="1:41" x14ac:dyDescent="0.2">
      <c r="B7" s="751" t="s">
        <v>411</v>
      </c>
    </row>
    <row r="9" spans="1:41" x14ac:dyDescent="0.2">
      <c r="B9" s="119"/>
      <c r="C9" s="119"/>
      <c r="D9" s="119"/>
      <c r="E9" s="119"/>
      <c r="F9"/>
    </row>
    <row r="10" spans="1:41" ht="28.5" thickBot="1" x14ac:dyDescent="0.45">
      <c r="B10" s="752" t="s">
        <v>414</v>
      </c>
      <c r="C10" s="749"/>
      <c r="D10" s="749"/>
      <c r="E10" s="749"/>
    </row>
    <row r="11" spans="1:41" ht="15.75" thickTop="1" x14ac:dyDescent="0.2"/>
    <row r="12" spans="1:41" x14ac:dyDescent="0.2">
      <c r="Y12" s="235" t="s">
        <v>102</v>
      </c>
      <c r="Z12" s="1">
        <f>C24</f>
        <v>50</v>
      </c>
      <c r="AB12" s="1" t="s">
        <v>103</v>
      </c>
      <c r="AD12" s="1" t="str">
        <f>I18</f>
        <v>0-40</v>
      </c>
      <c r="AE12" s="1" t="str">
        <f t="shared" ref="AE12:AN12" si="0">J18</f>
        <v>40-60</v>
      </c>
      <c r="AF12" s="1" t="str">
        <f t="shared" si="0"/>
        <v>60-80</v>
      </c>
      <c r="AG12" s="1">
        <f t="shared" si="0"/>
        <v>0</v>
      </c>
      <c r="AH12" s="1">
        <f t="shared" si="0"/>
        <v>0</v>
      </c>
      <c r="AI12" s="1">
        <f t="shared" si="0"/>
        <v>0</v>
      </c>
      <c r="AJ12" s="1">
        <f t="shared" si="0"/>
        <v>0</v>
      </c>
      <c r="AK12" s="1">
        <f t="shared" si="0"/>
        <v>0</v>
      </c>
      <c r="AL12" s="1">
        <f t="shared" si="0"/>
        <v>0</v>
      </c>
      <c r="AM12" s="1">
        <f t="shared" si="0"/>
        <v>0</v>
      </c>
      <c r="AN12" s="1">
        <f t="shared" si="0"/>
        <v>0</v>
      </c>
    </row>
    <row r="13" spans="1:41" ht="16.5" thickBot="1" x14ac:dyDescent="0.3">
      <c r="G13" s="5" t="s">
        <v>104</v>
      </c>
      <c r="AD13" s="1">
        <f t="shared" ref="AD13:AO13" si="1">I19</f>
        <v>0</v>
      </c>
      <c r="AE13" s="1">
        <f t="shared" si="1"/>
        <v>40</v>
      </c>
      <c r="AF13" s="1">
        <f t="shared" si="1"/>
        <v>60</v>
      </c>
      <c r="AG13" s="1">
        <f t="shared" si="1"/>
        <v>0</v>
      </c>
      <c r="AH13" s="1">
        <f t="shared" si="1"/>
        <v>0</v>
      </c>
      <c r="AI13" s="1">
        <f t="shared" si="1"/>
        <v>0</v>
      </c>
      <c r="AJ13" s="1">
        <f t="shared" si="1"/>
        <v>0</v>
      </c>
      <c r="AK13" s="1">
        <f t="shared" si="1"/>
        <v>0</v>
      </c>
      <c r="AL13" s="1">
        <f t="shared" si="1"/>
        <v>0</v>
      </c>
      <c r="AM13" s="1">
        <f t="shared" si="1"/>
        <v>0</v>
      </c>
      <c r="AN13" s="1">
        <f t="shared" si="1"/>
        <v>0</v>
      </c>
      <c r="AO13" s="1">
        <f t="shared" si="1"/>
        <v>0</v>
      </c>
    </row>
    <row r="14" spans="1:41" ht="15.75" x14ac:dyDescent="0.25">
      <c r="B14" s="229" t="s">
        <v>105</v>
      </c>
      <c r="G14" s="99"/>
      <c r="H14" s="100"/>
      <c r="I14" s="100"/>
      <c r="J14" s="100"/>
      <c r="K14" s="100"/>
      <c r="L14" s="100"/>
      <c r="M14" s="100"/>
      <c r="N14" s="100"/>
      <c r="O14" s="100"/>
      <c r="P14" s="100"/>
      <c r="Q14" s="100"/>
      <c r="R14" s="100"/>
      <c r="S14" s="100"/>
      <c r="T14" s="101"/>
      <c r="Y14" s="235" t="s">
        <v>33</v>
      </c>
      <c r="Z14" s="1">
        <f>SUM(AD14:AO14)</f>
        <v>156989</v>
      </c>
      <c r="AB14" s="1" t="s">
        <v>106</v>
      </c>
      <c r="AD14" s="1">
        <f>IF($Z$12&gt;AD13,(IF($Z$12-AE13&gt;0,(AE13-AD13)*$B$16*AD16,($Z$12-AD13)*$B$16*AD16)),0)</f>
        <v>135856</v>
      </c>
      <c r="AE14" s="1">
        <f>IF($Z$12&gt;AE13,(IF($Z$12-AF13&gt;0,(AF13-AE13)*$B$17*AE16,($Z$12-AE13)*$B$17*AE16)),0)</f>
        <v>21133.000000000004</v>
      </c>
      <c r="AF14" s="1">
        <f t="shared" ref="AF14:AN14" si="2">IF($Z$12&gt;AF13,(IF($Z$12-AG13&gt;0,(AG13-AF13)*$B$16*AF16,($Z$12-AF13)*$B$16*AF16)),0)</f>
        <v>0</v>
      </c>
      <c r="AG14" s="1">
        <f t="shared" si="2"/>
        <v>0</v>
      </c>
      <c r="AH14" s="1">
        <f t="shared" si="2"/>
        <v>0</v>
      </c>
      <c r="AI14" s="1">
        <f t="shared" si="2"/>
        <v>0</v>
      </c>
      <c r="AJ14" s="1">
        <f t="shared" si="2"/>
        <v>0</v>
      </c>
      <c r="AK14" s="1">
        <f t="shared" si="2"/>
        <v>0</v>
      </c>
      <c r="AL14" s="1">
        <f t="shared" si="2"/>
        <v>0</v>
      </c>
      <c r="AM14" s="1">
        <f t="shared" si="2"/>
        <v>0</v>
      </c>
      <c r="AN14" s="1">
        <f t="shared" si="2"/>
        <v>0</v>
      </c>
    </row>
    <row r="15" spans="1:41" ht="15.75" x14ac:dyDescent="0.25">
      <c r="B15" s="236" t="s">
        <v>0</v>
      </c>
      <c r="C15" s="1">
        <v>10782</v>
      </c>
      <c r="G15" s="237"/>
      <c r="H15" s="97"/>
      <c r="I15" s="66" t="s">
        <v>107</v>
      </c>
      <c r="J15" s="97"/>
      <c r="K15" s="97"/>
      <c r="L15" s="97"/>
      <c r="M15" s="97"/>
      <c r="N15" s="97"/>
      <c r="O15" s="97"/>
      <c r="P15" s="97"/>
      <c r="Q15" s="97"/>
      <c r="R15" s="97"/>
      <c r="S15" s="97"/>
      <c r="T15" s="102"/>
    </row>
    <row r="16" spans="1:41" ht="15.75" x14ac:dyDescent="0.25">
      <c r="A16" s="1" t="s">
        <v>110</v>
      </c>
      <c r="B16" s="238">
        <f>Kontrollpanel!P42</f>
        <v>24260</v>
      </c>
      <c r="C16" s="239">
        <v>303.55799872530275</v>
      </c>
      <c r="G16" s="237"/>
      <c r="H16" s="240" t="s">
        <v>108</v>
      </c>
      <c r="I16" s="241">
        <v>1</v>
      </c>
      <c r="J16" s="97"/>
      <c r="K16" s="97"/>
      <c r="L16" s="97"/>
      <c r="M16" s="97"/>
      <c r="N16" s="97"/>
      <c r="O16" s="97"/>
      <c r="P16" s="97"/>
      <c r="Q16" s="97"/>
      <c r="R16" s="97"/>
      <c r="S16" s="97"/>
      <c r="T16" s="102"/>
      <c r="AB16" s="1" t="s">
        <v>109</v>
      </c>
      <c r="AD16" s="218">
        <f t="shared" ref="AD16:AO16" si="3">I22</f>
        <v>0.14000000000000001</v>
      </c>
      <c r="AE16" s="218">
        <f t="shared" si="3"/>
        <v>0.14000000000000001</v>
      </c>
      <c r="AF16" s="218">
        <f t="shared" si="3"/>
        <v>0</v>
      </c>
      <c r="AG16" s="218">
        <f t="shared" si="3"/>
        <v>0</v>
      </c>
      <c r="AH16" s="218">
        <f t="shared" si="3"/>
        <v>0</v>
      </c>
      <c r="AI16" s="218">
        <f t="shared" si="3"/>
        <v>0</v>
      </c>
      <c r="AJ16" s="218">
        <f t="shared" si="3"/>
        <v>0</v>
      </c>
      <c r="AK16" s="218">
        <f t="shared" si="3"/>
        <v>0</v>
      </c>
      <c r="AL16" s="218">
        <f t="shared" si="3"/>
        <v>0</v>
      </c>
      <c r="AM16" s="218">
        <f t="shared" si="3"/>
        <v>0</v>
      </c>
      <c r="AN16" s="218">
        <f t="shared" si="3"/>
        <v>0</v>
      </c>
      <c r="AO16" s="218">
        <f t="shared" si="3"/>
        <v>0</v>
      </c>
    </row>
    <row r="17" spans="1:41" ht="15.75" x14ac:dyDescent="0.25">
      <c r="A17" s="1" t="s">
        <v>111</v>
      </c>
      <c r="B17" s="238">
        <f>Kontrollpanel!P43</f>
        <v>15095</v>
      </c>
      <c r="G17" s="237"/>
      <c r="H17" s="97"/>
      <c r="I17" s="97"/>
      <c r="J17" s="97"/>
      <c r="K17" s="97"/>
      <c r="L17" s="97"/>
      <c r="M17" s="97"/>
      <c r="N17" s="97"/>
      <c r="O17" s="97"/>
      <c r="P17" s="97"/>
      <c r="Q17" s="97"/>
      <c r="R17" s="97"/>
      <c r="S17" s="97"/>
      <c r="T17" s="102"/>
    </row>
    <row r="18" spans="1:41" ht="15.75" x14ac:dyDescent="0.25">
      <c r="G18" s="242" t="s">
        <v>103</v>
      </c>
      <c r="H18" s="243"/>
      <c r="I18" s="243" t="str">
        <f>Kontrollpanel!H42</f>
        <v>0-40</v>
      </c>
      <c r="J18" s="243" t="str">
        <f>Kontrollpanel!I42</f>
        <v>40-60</v>
      </c>
      <c r="K18" s="243" t="str">
        <f>Kontrollpanel!J42</f>
        <v>60-80</v>
      </c>
      <c r="L18" s="243"/>
      <c r="M18" s="243"/>
      <c r="N18" s="243"/>
      <c r="O18" s="243"/>
      <c r="P18" s="243"/>
      <c r="Q18" s="243"/>
      <c r="R18" s="243"/>
      <c r="S18" s="243"/>
      <c r="T18" s="244"/>
      <c r="U18" s="5"/>
      <c r="V18" s="5"/>
      <c r="W18" s="5"/>
      <c r="X18" s="5"/>
      <c r="Z18" s="5"/>
      <c r="AA18" s="5"/>
      <c r="AB18" s="5"/>
      <c r="AC18" s="5"/>
      <c r="AD18" s="5"/>
    </row>
    <row r="19" spans="1:41" ht="15.75" x14ac:dyDescent="0.25">
      <c r="F19" s="245" t="s">
        <v>121</v>
      </c>
      <c r="G19" s="229" t="s">
        <v>122</v>
      </c>
      <c r="H19" s="229"/>
      <c r="I19" s="229">
        <f>Kontrollpanel!E27</f>
        <v>0</v>
      </c>
      <c r="J19" s="229">
        <f>Kontrollpanel!F27</f>
        <v>40</v>
      </c>
      <c r="K19" s="229">
        <f>Kontrollpanel!G27</f>
        <v>60</v>
      </c>
      <c r="L19" s="229"/>
      <c r="M19" s="229"/>
      <c r="N19" s="229"/>
      <c r="O19" s="229"/>
      <c r="P19" s="229"/>
      <c r="Q19" s="229"/>
      <c r="R19" s="229"/>
      <c r="S19" s="229"/>
      <c r="T19" s="229"/>
    </row>
    <row r="20" spans="1:41" ht="15.75" x14ac:dyDescent="0.25">
      <c r="G20" s="246" t="s">
        <v>106</v>
      </c>
      <c r="H20" s="97"/>
      <c r="I20" s="98">
        <f>IF($I$16&gt;I19,(IF($I$16-J19&gt;0,(J19-I19)*$B$16*I22,($I$16-I19)*$B$16*I22)),0)</f>
        <v>3396.4000000000005</v>
      </c>
      <c r="J20" s="98">
        <f>IF($I$16&gt;J19,(IF($I$16-K19&gt;0,(K19-J19)*$B$16*J22,($I$16-J19)*$B$16*J22)),0)</f>
        <v>0</v>
      </c>
      <c r="K20" s="98">
        <f>IF($I$16&gt;K19,(IF($I$16-L19&gt;0,(L19-K19)*$B$16*K22,($I$16-K19)*$B$16*K22)),0)</f>
        <v>0</v>
      </c>
      <c r="L20" s="98"/>
      <c r="M20" s="98"/>
      <c r="N20" s="98"/>
      <c r="O20" s="98"/>
      <c r="P20" s="98"/>
      <c r="Q20" s="98"/>
      <c r="R20" s="98"/>
      <c r="S20" s="98"/>
      <c r="T20" s="247"/>
      <c r="Y20" s="235" t="s">
        <v>8</v>
      </c>
      <c r="Z20" s="1">
        <f>C25</f>
        <v>46</v>
      </c>
      <c r="AB20" s="1" t="s">
        <v>103</v>
      </c>
      <c r="AD20" s="1" t="str">
        <f t="shared" ref="AD20:AO21" si="4">AD12</f>
        <v>0-40</v>
      </c>
      <c r="AE20" s="1" t="str">
        <f t="shared" si="4"/>
        <v>40-60</v>
      </c>
      <c r="AF20" s="1" t="str">
        <f t="shared" si="4"/>
        <v>60-80</v>
      </c>
      <c r="AG20" s="1">
        <f t="shared" si="4"/>
        <v>0</v>
      </c>
      <c r="AH20" s="1">
        <f t="shared" si="4"/>
        <v>0</v>
      </c>
      <c r="AI20" s="1">
        <f t="shared" si="4"/>
        <v>0</v>
      </c>
      <c r="AJ20" s="1">
        <f t="shared" si="4"/>
        <v>0</v>
      </c>
      <c r="AK20" s="1">
        <f t="shared" si="4"/>
        <v>0</v>
      </c>
      <c r="AL20" s="1">
        <f t="shared" si="4"/>
        <v>0</v>
      </c>
      <c r="AM20" s="1">
        <f t="shared" si="4"/>
        <v>0</v>
      </c>
      <c r="AN20" s="1">
        <f t="shared" si="4"/>
        <v>0</v>
      </c>
    </row>
    <row r="21" spans="1:41" ht="15.75" x14ac:dyDescent="0.25">
      <c r="A21" s="5"/>
      <c r="B21" s="5"/>
      <c r="C21" s="5"/>
      <c r="G21" s="237"/>
      <c r="H21" s="97"/>
      <c r="I21" s="97"/>
      <c r="J21" s="97"/>
      <c r="K21" s="97"/>
      <c r="L21" s="97"/>
      <c r="M21" s="97"/>
      <c r="N21" s="97"/>
      <c r="O21" s="97"/>
      <c r="P21" s="97"/>
      <c r="Q21" s="97"/>
      <c r="R21" s="97"/>
      <c r="S21" s="97"/>
      <c r="T21" s="102"/>
      <c r="AD21" s="1">
        <f t="shared" si="4"/>
        <v>0</v>
      </c>
      <c r="AE21" s="1">
        <f t="shared" si="4"/>
        <v>40</v>
      </c>
      <c r="AF21" s="1">
        <f t="shared" si="4"/>
        <v>60</v>
      </c>
      <c r="AG21" s="1">
        <f t="shared" si="4"/>
        <v>0</v>
      </c>
      <c r="AH21" s="1">
        <f t="shared" si="4"/>
        <v>0</v>
      </c>
      <c r="AI21" s="1">
        <f t="shared" si="4"/>
        <v>0</v>
      </c>
      <c r="AJ21" s="1">
        <f t="shared" si="4"/>
        <v>0</v>
      </c>
      <c r="AK21" s="1">
        <f t="shared" si="4"/>
        <v>0</v>
      </c>
      <c r="AL21" s="1">
        <f t="shared" si="4"/>
        <v>0</v>
      </c>
      <c r="AM21" s="1">
        <f t="shared" si="4"/>
        <v>0</v>
      </c>
      <c r="AN21" s="1">
        <f t="shared" si="4"/>
        <v>0</v>
      </c>
      <c r="AO21" s="1">
        <f t="shared" si="4"/>
        <v>0</v>
      </c>
    </row>
    <row r="22" spans="1:41" ht="15.75" x14ac:dyDescent="0.25">
      <c r="A22" s="5"/>
      <c r="B22" s="5" t="s">
        <v>123</v>
      </c>
      <c r="C22" s="5" t="s">
        <v>124</v>
      </c>
      <c r="E22" s="1" t="s">
        <v>784</v>
      </c>
      <c r="F22" s="245" t="s">
        <v>660</v>
      </c>
      <c r="G22" s="248" t="s">
        <v>109</v>
      </c>
      <c r="H22" s="249"/>
      <c r="I22" s="250">
        <v>0.14000000000000001</v>
      </c>
      <c r="J22" s="250">
        <v>0.14000000000000001</v>
      </c>
      <c r="K22" s="250">
        <v>0</v>
      </c>
      <c r="L22" s="250"/>
      <c r="M22" s="250"/>
      <c r="N22" s="250"/>
      <c r="O22" s="250"/>
      <c r="P22" s="250"/>
      <c r="Q22" s="250"/>
      <c r="R22" s="250"/>
      <c r="S22" s="250"/>
      <c r="T22" s="251"/>
      <c r="Y22" s="235" t="s">
        <v>33</v>
      </c>
      <c r="Z22" s="1">
        <f>SUM(AD22:AO22)</f>
        <v>201584.3</v>
      </c>
      <c r="AB22" s="1" t="s">
        <v>106</v>
      </c>
      <c r="AD22" s="1">
        <f>IF($Z$20&gt;AD21,(IF($Z$20-AE21&gt;0,(AE21-AD21)*$B$16*AD24,($Z$20-AD21)*$B$16*AD24)),0)</f>
        <v>184376</v>
      </c>
      <c r="AE22" s="1">
        <f>IF($Z$20&gt;AE21,(IF($Z$20-AF21&gt;0,(AF21-AE21)*$B$17*AE24,($Z$20-AE21)*$B$17*AE24)),0)</f>
        <v>17208.3</v>
      </c>
      <c r="AF22" s="1">
        <f t="shared" ref="AF22:AN22" si="5">IF($Z$20&gt;AF21,(IF($Z$20-AG21&gt;0,(AG21-AF21)*$B$16*AF24,($Z$20-AF21)*$B$16*AF24)),0)</f>
        <v>0</v>
      </c>
      <c r="AG22" s="1">
        <f t="shared" si="5"/>
        <v>0</v>
      </c>
      <c r="AH22" s="1">
        <f t="shared" si="5"/>
        <v>0</v>
      </c>
      <c r="AI22" s="1">
        <f t="shared" si="5"/>
        <v>0</v>
      </c>
      <c r="AJ22" s="1">
        <f t="shared" si="5"/>
        <v>0</v>
      </c>
      <c r="AK22" s="1">
        <f t="shared" si="5"/>
        <v>0</v>
      </c>
      <c r="AL22" s="1">
        <f t="shared" si="5"/>
        <v>0</v>
      </c>
      <c r="AM22" s="1">
        <f t="shared" si="5"/>
        <v>0</v>
      </c>
      <c r="AN22" s="1">
        <f t="shared" si="5"/>
        <v>0</v>
      </c>
    </row>
    <row r="23" spans="1:41" ht="15.75" x14ac:dyDescent="0.25">
      <c r="A23" s="252" t="s">
        <v>126</v>
      </c>
      <c r="B23" s="5"/>
      <c r="C23" s="5" t="s">
        <v>127</v>
      </c>
      <c r="E23" s="1" t="s">
        <v>785</v>
      </c>
      <c r="F23" s="1" t="s">
        <v>783</v>
      </c>
      <c r="G23" s="248" t="s">
        <v>109</v>
      </c>
      <c r="H23" s="97"/>
      <c r="I23" s="250">
        <v>0.19</v>
      </c>
      <c r="J23" s="250">
        <v>0.19</v>
      </c>
      <c r="K23" s="97"/>
      <c r="L23" s="97"/>
      <c r="M23" s="97"/>
      <c r="N23" s="97"/>
      <c r="O23" s="97"/>
      <c r="P23" s="97"/>
      <c r="Q23" s="97"/>
      <c r="R23" s="97"/>
      <c r="S23" s="97"/>
      <c r="T23" s="102"/>
    </row>
    <row r="24" spans="1:41" ht="16.5" thickBot="1" x14ac:dyDescent="0.3">
      <c r="B24" s="229" t="s">
        <v>102</v>
      </c>
      <c r="C24" s="229">
        <v>50</v>
      </c>
      <c r="G24" s="253"/>
      <c r="H24" s="105"/>
      <c r="I24" s="105"/>
      <c r="J24" s="105"/>
      <c r="K24" s="105"/>
      <c r="L24" s="105"/>
      <c r="M24" s="105"/>
      <c r="N24" s="105"/>
      <c r="O24" s="105"/>
      <c r="P24" s="105"/>
      <c r="Q24" s="105"/>
      <c r="R24" s="105"/>
      <c r="S24" s="105"/>
      <c r="T24" s="106"/>
      <c r="AB24" s="1" t="s">
        <v>109</v>
      </c>
      <c r="AD24" s="218">
        <f>I23</f>
        <v>0.19</v>
      </c>
      <c r="AE24" s="218">
        <f>J23</f>
        <v>0.19</v>
      </c>
      <c r="AF24" s="218">
        <f t="shared" ref="AF24:AO24" si="6">AF16</f>
        <v>0</v>
      </c>
      <c r="AG24" s="218">
        <f t="shared" si="6"/>
        <v>0</v>
      </c>
      <c r="AH24" s="218">
        <f t="shared" si="6"/>
        <v>0</v>
      </c>
      <c r="AI24" s="218">
        <f t="shared" si="6"/>
        <v>0</v>
      </c>
      <c r="AJ24" s="218">
        <f t="shared" si="6"/>
        <v>0</v>
      </c>
      <c r="AK24" s="218">
        <f t="shared" si="6"/>
        <v>0</v>
      </c>
      <c r="AL24" s="218">
        <f t="shared" si="6"/>
        <v>0</v>
      </c>
      <c r="AM24" s="218">
        <f t="shared" si="6"/>
        <v>0</v>
      </c>
      <c r="AN24" s="218">
        <f t="shared" si="6"/>
        <v>0</v>
      </c>
      <c r="AO24" s="218">
        <f t="shared" si="6"/>
        <v>0</v>
      </c>
    </row>
    <row r="25" spans="1:41" ht="16.5" thickBot="1" x14ac:dyDescent="0.3">
      <c r="B25" s="229" t="s">
        <v>8</v>
      </c>
      <c r="C25" s="229">
        <v>46</v>
      </c>
    </row>
    <row r="26" spans="1:41" ht="16.5" thickBot="1" x14ac:dyDescent="0.3">
      <c r="B26" s="229" t="s">
        <v>11</v>
      </c>
      <c r="C26" s="229">
        <v>65</v>
      </c>
      <c r="I26" s="1233" t="s">
        <v>656</v>
      </c>
      <c r="L26" s="22"/>
    </row>
    <row r="27" spans="1:41" ht="18.75" thickBot="1" x14ac:dyDescent="0.3">
      <c r="B27" s="254" t="s">
        <v>22</v>
      </c>
      <c r="C27" s="255">
        <v>44</v>
      </c>
      <c r="G27" s="1231" t="s">
        <v>653</v>
      </c>
      <c r="H27" s="1231"/>
      <c r="I27" s="1232">
        <f>Kontrollpanel!M44</f>
        <v>0.05</v>
      </c>
      <c r="Y27" s="235" t="s">
        <v>11</v>
      </c>
      <c r="Z27" s="1">
        <f>C26</f>
        <v>65</v>
      </c>
      <c r="AB27" s="1" t="s">
        <v>103</v>
      </c>
      <c r="AD27" s="1" t="str">
        <f t="shared" ref="AD27:AN27" si="7">AD20</f>
        <v>0-40</v>
      </c>
      <c r="AE27" s="1" t="str">
        <f t="shared" si="7"/>
        <v>40-60</v>
      </c>
      <c r="AF27" s="1" t="str">
        <f t="shared" si="7"/>
        <v>60-80</v>
      </c>
      <c r="AG27" s="1">
        <f t="shared" si="7"/>
        <v>0</v>
      </c>
      <c r="AH27" s="1">
        <f t="shared" si="7"/>
        <v>0</v>
      </c>
      <c r="AI27" s="1">
        <f t="shared" si="7"/>
        <v>0</v>
      </c>
      <c r="AJ27" s="1">
        <f t="shared" si="7"/>
        <v>0</v>
      </c>
      <c r="AK27" s="1">
        <f t="shared" si="7"/>
        <v>0</v>
      </c>
      <c r="AL27" s="1">
        <f t="shared" si="7"/>
        <v>0</v>
      </c>
      <c r="AM27" s="1">
        <f t="shared" si="7"/>
        <v>0</v>
      </c>
      <c r="AN27" s="1">
        <f t="shared" si="7"/>
        <v>0</v>
      </c>
    </row>
    <row r="28" spans="1:41" ht="15.75" x14ac:dyDescent="0.25">
      <c r="B28" s="229" t="s">
        <v>15</v>
      </c>
      <c r="C28" s="229">
        <v>33</v>
      </c>
      <c r="AD28" s="1">
        <f t="shared" ref="AD28:AO28" si="8">AD13</f>
        <v>0</v>
      </c>
      <c r="AE28" s="1">
        <f t="shared" si="8"/>
        <v>40</v>
      </c>
      <c r="AF28" s="1">
        <f t="shared" si="8"/>
        <v>60</v>
      </c>
      <c r="AG28" s="1">
        <f t="shared" si="8"/>
        <v>0</v>
      </c>
      <c r="AH28" s="1">
        <f t="shared" si="8"/>
        <v>0</v>
      </c>
      <c r="AI28" s="1">
        <f t="shared" si="8"/>
        <v>0</v>
      </c>
      <c r="AJ28" s="1">
        <f t="shared" si="8"/>
        <v>0</v>
      </c>
      <c r="AK28" s="1">
        <f t="shared" si="8"/>
        <v>0</v>
      </c>
      <c r="AL28" s="1">
        <f t="shared" si="8"/>
        <v>0</v>
      </c>
      <c r="AM28" s="1">
        <f t="shared" si="8"/>
        <v>0</v>
      </c>
      <c r="AN28" s="1">
        <f t="shared" si="8"/>
        <v>0</v>
      </c>
      <c r="AO28" s="1">
        <f t="shared" si="8"/>
        <v>0</v>
      </c>
    </row>
    <row r="29" spans="1:41" ht="15.75" x14ac:dyDescent="0.25">
      <c r="B29" s="229" t="s">
        <v>128</v>
      </c>
      <c r="C29" s="229">
        <v>8</v>
      </c>
      <c r="G29" s="5" t="s">
        <v>33</v>
      </c>
      <c r="H29" s="5"/>
      <c r="I29" s="217">
        <f>SUM(I20:S20)</f>
        <v>3396.4000000000005</v>
      </c>
      <c r="Y29" s="235" t="s">
        <v>33</v>
      </c>
      <c r="Z29" s="1">
        <f>SUM(AD29:AO29)</f>
        <v>178122</v>
      </c>
      <c r="AB29" s="1" t="s">
        <v>106</v>
      </c>
      <c r="AD29" s="1">
        <f>IF($Z$27&gt;AD28,(IF($Z$27-AE28&gt;0,(AE28-AD28)*$B$16*AD31,($Z$27-AD28)*$B$16*AD31)),0)</f>
        <v>135856</v>
      </c>
      <c r="AE29" s="1">
        <f>IF($Z$27&gt;AE28,(IF($Z$27-AF28&gt;0,(AF28-AE28)*$B$17*AE31,($Z$27-AE28)*$B$17*AE31)),0)</f>
        <v>42266.000000000007</v>
      </c>
      <c r="AF29" s="1">
        <f t="shared" ref="AF29:AN29" si="9">IF($Z$27&gt;AF28,(IF($Z$27-AG28&gt;0,(AG28-AF28)*$B$16*AF31,($Z$27-AF28)*$B$16*AF31)),0)</f>
        <v>0</v>
      </c>
      <c r="AG29" s="1">
        <f t="shared" si="9"/>
        <v>0</v>
      </c>
      <c r="AH29" s="1">
        <f t="shared" si="9"/>
        <v>0</v>
      </c>
      <c r="AI29" s="1">
        <f t="shared" si="9"/>
        <v>0</v>
      </c>
      <c r="AJ29" s="1">
        <f t="shared" si="9"/>
        <v>0</v>
      </c>
      <c r="AK29" s="1">
        <f t="shared" si="9"/>
        <v>0</v>
      </c>
      <c r="AL29" s="1">
        <f t="shared" si="9"/>
        <v>0</v>
      </c>
      <c r="AM29" s="1">
        <f t="shared" si="9"/>
        <v>0</v>
      </c>
      <c r="AN29" s="1">
        <f t="shared" si="9"/>
        <v>0</v>
      </c>
    </row>
    <row r="30" spans="1:41" ht="15.75" x14ac:dyDescent="0.25">
      <c r="B30" s="229" t="s">
        <v>16</v>
      </c>
      <c r="C30" s="229">
        <v>30</v>
      </c>
    </row>
    <row r="31" spans="1:41" ht="15.75" x14ac:dyDescent="0.25">
      <c r="B31" s="229" t="s">
        <v>9</v>
      </c>
      <c r="C31" s="229">
        <v>89</v>
      </c>
      <c r="AB31" s="1" t="s">
        <v>109</v>
      </c>
      <c r="AD31" s="218">
        <f t="shared" ref="AD31:AO31" si="10">AD16</f>
        <v>0.14000000000000001</v>
      </c>
      <c r="AE31" s="218">
        <f t="shared" si="10"/>
        <v>0.14000000000000001</v>
      </c>
      <c r="AF31" s="218">
        <f t="shared" si="10"/>
        <v>0</v>
      </c>
      <c r="AG31" s="218">
        <f t="shared" si="10"/>
        <v>0</v>
      </c>
      <c r="AH31" s="218">
        <f t="shared" si="10"/>
        <v>0</v>
      </c>
      <c r="AI31" s="218">
        <f t="shared" si="10"/>
        <v>0</v>
      </c>
      <c r="AJ31" s="218">
        <f t="shared" si="10"/>
        <v>0</v>
      </c>
      <c r="AK31" s="218">
        <f t="shared" si="10"/>
        <v>0</v>
      </c>
      <c r="AL31" s="218">
        <f t="shared" si="10"/>
        <v>0</v>
      </c>
      <c r="AM31" s="218">
        <f t="shared" si="10"/>
        <v>0</v>
      </c>
      <c r="AN31" s="218">
        <f t="shared" si="10"/>
        <v>0</v>
      </c>
      <c r="AO31" s="218">
        <f t="shared" si="10"/>
        <v>0</v>
      </c>
    </row>
    <row r="32" spans="1:41" ht="16.5" thickBot="1" x14ac:dyDescent="0.3">
      <c r="B32" s="256" t="s">
        <v>21</v>
      </c>
      <c r="C32" s="256">
        <v>103</v>
      </c>
    </row>
    <row r="33" spans="2:41" ht="15.75" x14ac:dyDescent="0.25">
      <c r="B33" s="229" t="s">
        <v>18</v>
      </c>
      <c r="C33" s="229">
        <v>51</v>
      </c>
      <c r="G33" s="257"/>
      <c r="H33" s="258"/>
      <c r="I33" s="258"/>
      <c r="J33" s="258"/>
      <c r="K33" s="258"/>
      <c r="L33" s="258"/>
      <c r="M33" s="258"/>
      <c r="N33" s="258"/>
      <c r="O33" s="258"/>
      <c r="P33" s="258"/>
      <c r="Q33" s="258"/>
      <c r="R33" s="258"/>
      <c r="S33" s="258"/>
      <c r="T33" s="259"/>
    </row>
    <row r="34" spans="2:41" ht="15.75" x14ac:dyDescent="0.25">
      <c r="B34" s="229" t="s">
        <v>13</v>
      </c>
      <c r="C34" s="229">
        <v>173</v>
      </c>
      <c r="G34" s="260"/>
      <c r="H34" s="261" t="s">
        <v>123</v>
      </c>
      <c r="I34" s="261" t="s">
        <v>129</v>
      </c>
      <c r="J34" s="261" t="s">
        <v>130</v>
      </c>
      <c r="K34" s="262" t="s">
        <v>131</v>
      </c>
      <c r="L34" s="262"/>
      <c r="M34" s="262" t="s">
        <v>132</v>
      </c>
      <c r="N34" s="263"/>
      <c r="O34" s="263"/>
      <c r="P34" s="263"/>
      <c r="Q34" s="263"/>
      <c r="R34" s="263"/>
      <c r="S34" s="263"/>
      <c r="T34" s="264"/>
    </row>
    <row r="35" spans="2:41" ht="15.75" x14ac:dyDescent="0.25">
      <c r="B35" s="229" t="s">
        <v>17</v>
      </c>
      <c r="C35" s="229">
        <v>275</v>
      </c>
      <c r="G35" s="265"/>
      <c r="H35" s="266"/>
      <c r="I35" s="267"/>
      <c r="J35" s="268"/>
      <c r="K35" s="269"/>
      <c r="L35" s="263"/>
      <c r="M35" s="270"/>
      <c r="N35" s="263"/>
      <c r="O35" s="263"/>
      <c r="P35" s="263"/>
      <c r="Q35" s="263"/>
      <c r="R35" s="263"/>
      <c r="S35" s="263"/>
      <c r="T35" s="264"/>
      <c r="Y35" s="235" t="s">
        <v>22</v>
      </c>
      <c r="Z35" s="1">
        <f>C27</f>
        <v>44</v>
      </c>
      <c r="AB35" s="1" t="s">
        <v>103</v>
      </c>
      <c r="AD35" s="1" t="str">
        <f t="shared" ref="AD35:AN35" si="11">AD20</f>
        <v>0-40</v>
      </c>
      <c r="AE35" s="1" t="str">
        <f t="shared" si="11"/>
        <v>40-60</v>
      </c>
      <c r="AF35" s="1" t="str">
        <f t="shared" si="11"/>
        <v>60-80</v>
      </c>
      <c r="AG35" s="1">
        <f t="shared" si="11"/>
        <v>0</v>
      </c>
      <c r="AH35" s="1">
        <f t="shared" si="11"/>
        <v>0</v>
      </c>
      <c r="AI35" s="1">
        <f t="shared" si="11"/>
        <v>0</v>
      </c>
      <c r="AJ35" s="1">
        <f t="shared" si="11"/>
        <v>0</v>
      </c>
      <c r="AK35" s="1">
        <f t="shared" si="11"/>
        <v>0</v>
      </c>
      <c r="AL35" s="1">
        <f t="shared" si="11"/>
        <v>0</v>
      </c>
      <c r="AM35" s="1">
        <f t="shared" si="11"/>
        <v>0</v>
      </c>
      <c r="AN35" s="1">
        <f t="shared" si="11"/>
        <v>0</v>
      </c>
    </row>
    <row r="36" spans="2:41" ht="15.75" x14ac:dyDescent="0.25">
      <c r="B36" s="229" t="s">
        <v>19</v>
      </c>
      <c r="C36" s="229">
        <v>208</v>
      </c>
      <c r="E36" s="22">
        <f>F36-I36</f>
        <v>-12899.299999999988</v>
      </c>
      <c r="F36" s="268">
        <v>188685</v>
      </c>
      <c r="G36" s="265" t="s">
        <v>8</v>
      </c>
      <c r="H36" s="271">
        <v>46</v>
      </c>
      <c r="I36" s="268">
        <f>Z22</f>
        <v>201584.3</v>
      </c>
      <c r="J36" s="268">
        <v>351676.10343388136</v>
      </c>
      <c r="K36" s="269">
        <f t="shared" ref="K36:K41" si="12">I36/J36</f>
        <v>0.57321011587555837</v>
      </c>
      <c r="L36" s="263"/>
      <c r="M36" s="270">
        <f t="shared" ref="M36:M41" si="13">I36/H36</f>
        <v>4382.2673913043473</v>
      </c>
      <c r="N36" s="263"/>
      <c r="O36" s="263"/>
      <c r="P36" s="263"/>
      <c r="Q36" s="263"/>
      <c r="R36" s="263"/>
      <c r="S36" s="263"/>
      <c r="T36" s="264"/>
      <c r="AD36" s="1">
        <f t="shared" ref="AD36:AO36" si="14">AD13</f>
        <v>0</v>
      </c>
      <c r="AE36" s="1">
        <f t="shared" si="14"/>
        <v>40</v>
      </c>
      <c r="AF36" s="1">
        <f t="shared" si="14"/>
        <v>60</v>
      </c>
      <c r="AG36" s="1">
        <f t="shared" si="14"/>
        <v>0</v>
      </c>
      <c r="AH36" s="1">
        <f t="shared" si="14"/>
        <v>0</v>
      </c>
      <c r="AI36" s="1">
        <f t="shared" si="14"/>
        <v>0</v>
      </c>
      <c r="AJ36" s="1">
        <f t="shared" si="14"/>
        <v>0</v>
      </c>
      <c r="AK36" s="1">
        <f t="shared" si="14"/>
        <v>0</v>
      </c>
      <c r="AL36" s="1">
        <f t="shared" si="14"/>
        <v>0</v>
      </c>
      <c r="AM36" s="1">
        <f t="shared" si="14"/>
        <v>0</v>
      </c>
      <c r="AN36" s="1">
        <f t="shared" si="14"/>
        <v>0</v>
      </c>
      <c r="AO36" s="1">
        <f t="shared" si="14"/>
        <v>0</v>
      </c>
    </row>
    <row r="37" spans="2:41" ht="15.75" x14ac:dyDescent="0.25">
      <c r="B37" s="229" t="s">
        <v>133</v>
      </c>
      <c r="C37" s="229">
        <v>318</v>
      </c>
      <c r="E37" s="22">
        <f t="shared" ref="E37:E42" si="15">F37-I37</f>
        <v>15954</v>
      </c>
      <c r="F37" s="267">
        <v>194076</v>
      </c>
      <c r="G37" s="265" t="s">
        <v>11</v>
      </c>
      <c r="H37" s="266">
        <v>65</v>
      </c>
      <c r="I37" s="267">
        <f>Z29</f>
        <v>178122</v>
      </c>
      <c r="J37" s="268">
        <v>496933.62441744097</v>
      </c>
      <c r="K37" s="269">
        <f t="shared" si="12"/>
        <v>0.35844223704687678</v>
      </c>
      <c r="L37" s="263"/>
      <c r="M37" s="270">
        <f t="shared" si="13"/>
        <v>2740.3384615384616</v>
      </c>
      <c r="N37" s="263"/>
      <c r="O37" s="263"/>
      <c r="P37" s="263"/>
      <c r="Q37" s="263"/>
      <c r="R37" s="263"/>
      <c r="S37" s="263"/>
      <c r="T37" s="264"/>
      <c r="Y37" s="235" t="s">
        <v>33</v>
      </c>
      <c r="Z37" s="1">
        <f>SUM(AD37:AO37)</f>
        <v>144309.20000000001</v>
      </c>
      <c r="AB37" s="1" t="s">
        <v>106</v>
      </c>
      <c r="AD37" s="1">
        <f>IF($Z$35&gt;AD36,(IF($Z$35-AE36&gt;0,(AE36-AD36)*$B$16*AD39,($Z$35-AD36)*$B$16*AD39)),0)</f>
        <v>135856</v>
      </c>
      <c r="AE37" s="1">
        <f>IF($Z$35&gt;AE36,(IF($Z$35-AF36&gt;0,(AF36-AE36)*$B$17*AE39,($Z$35-AE36)*$B$17*AE39)),0)</f>
        <v>8453.2000000000007</v>
      </c>
      <c r="AF37" s="1">
        <f t="shared" ref="AF37:AN37" si="16">IF($Z$35&gt;AF36,(IF($Z$35-AG36&gt;0,(AG36-AF36)*$B$16*AF39,($Z$35-AF36)*$B$16*AF39)),0)</f>
        <v>0</v>
      </c>
      <c r="AG37" s="1">
        <f t="shared" si="16"/>
        <v>0</v>
      </c>
      <c r="AH37" s="1">
        <f t="shared" si="16"/>
        <v>0</v>
      </c>
      <c r="AI37" s="1">
        <f t="shared" si="16"/>
        <v>0</v>
      </c>
      <c r="AJ37" s="1">
        <f t="shared" si="16"/>
        <v>0</v>
      </c>
      <c r="AK37" s="1">
        <f t="shared" si="16"/>
        <v>0</v>
      </c>
      <c r="AL37" s="1">
        <f t="shared" si="16"/>
        <v>0</v>
      </c>
      <c r="AM37" s="1">
        <f t="shared" si="16"/>
        <v>0</v>
      </c>
      <c r="AN37" s="1">
        <f t="shared" si="16"/>
        <v>0</v>
      </c>
    </row>
    <row r="38" spans="2:41" ht="15.75" x14ac:dyDescent="0.25">
      <c r="B38" s="229" t="s">
        <v>134</v>
      </c>
      <c r="C38" s="229">
        <v>565</v>
      </c>
      <c r="E38" s="22">
        <f t="shared" si="15"/>
        <v>15264.399999999994</v>
      </c>
      <c r="F38" s="267">
        <v>159573.6</v>
      </c>
      <c r="G38" s="265" t="s">
        <v>22</v>
      </c>
      <c r="H38" s="266">
        <v>44</v>
      </c>
      <c r="I38" s="267">
        <f>Z37</f>
        <v>144309.20000000001</v>
      </c>
      <c r="J38" s="268">
        <v>336385.83806719084</v>
      </c>
      <c r="K38" s="269">
        <f t="shared" si="12"/>
        <v>0.4289990352423077</v>
      </c>
      <c r="L38" s="263"/>
      <c r="M38" s="270">
        <f t="shared" si="13"/>
        <v>3279.7545454545457</v>
      </c>
      <c r="N38" s="263"/>
      <c r="O38" s="263"/>
      <c r="P38" s="263"/>
      <c r="Q38" s="263"/>
      <c r="R38" s="263"/>
      <c r="S38" s="263"/>
      <c r="T38" s="264"/>
    </row>
    <row r="39" spans="2:41" ht="15.75" customHeight="1" x14ac:dyDescent="0.25">
      <c r="B39" s="229" t="s">
        <v>135</v>
      </c>
      <c r="C39" s="229">
        <v>1080</v>
      </c>
      <c r="E39" s="22">
        <f t="shared" si="15"/>
        <v>-9787.8000000000175</v>
      </c>
      <c r="F39" s="267">
        <v>142322.4</v>
      </c>
      <c r="G39" s="265" t="s">
        <v>15</v>
      </c>
      <c r="H39" s="266">
        <v>33</v>
      </c>
      <c r="I39" s="267">
        <f>Z44</f>
        <v>152110.20000000001</v>
      </c>
      <c r="J39" s="268">
        <v>252289.37855039316</v>
      </c>
      <c r="K39" s="269">
        <f t="shared" si="12"/>
        <v>0.60291955560712196</v>
      </c>
      <c r="L39" s="263"/>
      <c r="M39" s="270">
        <f t="shared" si="13"/>
        <v>4609.4000000000005</v>
      </c>
      <c r="N39" s="263"/>
      <c r="O39" s="263"/>
      <c r="P39" s="263"/>
      <c r="Q39" s="263"/>
      <c r="R39" s="263"/>
      <c r="S39" s="263"/>
      <c r="T39" s="264"/>
      <c r="AB39" s="1" t="s">
        <v>109</v>
      </c>
      <c r="AD39" s="218">
        <f t="shared" ref="AD39:AO39" si="17">AD16</f>
        <v>0.14000000000000001</v>
      </c>
      <c r="AE39" s="218">
        <f t="shared" si="17"/>
        <v>0.14000000000000001</v>
      </c>
      <c r="AF39" s="218">
        <f t="shared" si="17"/>
        <v>0</v>
      </c>
      <c r="AG39" s="218">
        <f t="shared" si="17"/>
        <v>0</v>
      </c>
      <c r="AH39" s="218">
        <f t="shared" si="17"/>
        <v>0</v>
      </c>
      <c r="AI39" s="218">
        <f t="shared" si="17"/>
        <v>0</v>
      </c>
      <c r="AJ39" s="218">
        <f t="shared" si="17"/>
        <v>0</v>
      </c>
      <c r="AK39" s="218">
        <f t="shared" si="17"/>
        <v>0</v>
      </c>
      <c r="AL39" s="218">
        <f t="shared" si="17"/>
        <v>0</v>
      </c>
      <c r="AM39" s="218">
        <f t="shared" si="17"/>
        <v>0</v>
      </c>
      <c r="AN39" s="218">
        <f t="shared" si="17"/>
        <v>0</v>
      </c>
      <c r="AO39" s="218">
        <f t="shared" si="17"/>
        <v>0</v>
      </c>
    </row>
    <row r="40" spans="2:41" ht="15" customHeight="1" x14ac:dyDescent="0.25">
      <c r="B40" s="229"/>
      <c r="C40" s="229"/>
      <c r="E40" s="22">
        <f t="shared" si="15"/>
        <v>-2372.7999999999956</v>
      </c>
      <c r="F40" s="267">
        <v>34502.400000000001</v>
      </c>
      <c r="G40" s="265" t="s">
        <v>128</v>
      </c>
      <c r="H40" s="266">
        <v>8</v>
      </c>
      <c r="I40" s="267">
        <f>Z52</f>
        <v>36875.199999999997</v>
      </c>
      <c r="J40" s="268">
        <v>61161.061466761974</v>
      </c>
      <c r="K40" s="269">
        <f t="shared" si="12"/>
        <v>0.60291955560712196</v>
      </c>
      <c r="L40" s="263"/>
      <c r="M40" s="270">
        <f t="shared" si="13"/>
        <v>4609.3999999999996</v>
      </c>
      <c r="N40" s="263"/>
      <c r="O40" s="263"/>
      <c r="P40" s="263"/>
      <c r="Q40" s="263"/>
      <c r="R40" s="263"/>
      <c r="S40" s="263"/>
      <c r="T40" s="264"/>
    </row>
    <row r="41" spans="2:41" ht="15.75" x14ac:dyDescent="0.25">
      <c r="B41" s="229" t="s">
        <v>32</v>
      </c>
      <c r="C41" s="229">
        <f>SUM(C24:C39)</f>
        <v>3138</v>
      </c>
      <c r="E41" s="22">
        <f t="shared" si="15"/>
        <v>-8898</v>
      </c>
      <c r="F41" s="267">
        <v>129384</v>
      </c>
      <c r="G41" s="265" t="s">
        <v>16</v>
      </c>
      <c r="H41" s="266">
        <v>30</v>
      </c>
      <c r="I41" s="267">
        <f>Z59</f>
        <v>138282</v>
      </c>
      <c r="J41" s="268">
        <v>229353.98050035737</v>
      </c>
      <c r="K41" s="269">
        <f t="shared" si="12"/>
        <v>0.60291955560712207</v>
      </c>
      <c r="L41" s="263"/>
      <c r="M41" s="270">
        <f t="shared" si="13"/>
        <v>4609.3999999999996</v>
      </c>
      <c r="N41" s="263"/>
      <c r="O41" s="263"/>
      <c r="P41" s="263"/>
      <c r="Q41" s="263"/>
      <c r="R41" s="263"/>
      <c r="S41" s="263"/>
      <c r="T41" s="264"/>
    </row>
    <row r="42" spans="2:41" ht="15.75" x14ac:dyDescent="0.25">
      <c r="B42" s="229"/>
      <c r="C42" s="229"/>
      <c r="E42" s="22">
        <f t="shared" si="15"/>
        <v>848543.4</v>
      </c>
      <c r="F42" s="22">
        <f>SUM(F36:F41)</f>
        <v>848543.4</v>
      </c>
      <c r="G42" s="265"/>
      <c r="H42" s="266"/>
      <c r="I42" s="267"/>
      <c r="J42" s="268"/>
      <c r="K42" s="269"/>
      <c r="L42" s="263"/>
      <c r="M42" s="270"/>
      <c r="N42" s="263"/>
      <c r="O42" s="263"/>
      <c r="P42" s="263"/>
      <c r="Q42" s="263"/>
      <c r="R42" s="263"/>
      <c r="S42" s="263"/>
      <c r="T42" s="264"/>
      <c r="Y42" s="235" t="s">
        <v>15</v>
      </c>
      <c r="Z42" s="1">
        <f>C28</f>
        <v>33</v>
      </c>
      <c r="AB42" s="1" t="s">
        <v>103</v>
      </c>
      <c r="AD42" s="1" t="str">
        <f t="shared" ref="AD42:AN42" si="18">AD20</f>
        <v>0-40</v>
      </c>
      <c r="AE42" s="1" t="str">
        <f t="shared" si="18"/>
        <v>40-60</v>
      </c>
      <c r="AF42" s="1" t="str">
        <f t="shared" si="18"/>
        <v>60-80</v>
      </c>
      <c r="AG42" s="1">
        <f t="shared" si="18"/>
        <v>0</v>
      </c>
      <c r="AH42" s="1">
        <f t="shared" si="18"/>
        <v>0</v>
      </c>
      <c r="AI42" s="1">
        <f t="shared" si="18"/>
        <v>0</v>
      </c>
      <c r="AJ42" s="1">
        <f t="shared" si="18"/>
        <v>0</v>
      </c>
      <c r="AK42" s="1">
        <f t="shared" si="18"/>
        <v>0</v>
      </c>
      <c r="AL42" s="1">
        <f t="shared" si="18"/>
        <v>0</v>
      </c>
      <c r="AM42" s="1">
        <f t="shared" si="18"/>
        <v>0</v>
      </c>
      <c r="AN42" s="1">
        <f t="shared" si="18"/>
        <v>0</v>
      </c>
    </row>
    <row r="43" spans="2:41" ht="15.75" x14ac:dyDescent="0.25">
      <c r="B43" s="229" t="s">
        <v>136</v>
      </c>
      <c r="C43" s="229">
        <v>3138</v>
      </c>
      <c r="G43" s="265"/>
      <c r="H43" s="266"/>
      <c r="I43" s="267"/>
      <c r="J43" s="268"/>
      <c r="K43" s="269"/>
      <c r="L43" s="263"/>
      <c r="M43" s="270"/>
      <c r="N43" s="263"/>
      <c r="O43" s="263"/>
      <c r="P43" s="263"/>
      <c r="Q43" s="263"/>
      <c r="R43" s="263"/>
      <c r="S43" s="263"/>
      <c r="T43" s="264"/>
      <c r="AD43" s="1">
        <f t="shared" ref="AD43:AO43" si="19">AD13</f>
        <v>0</v>
      </c>
      <c r="AE43" s="1">
        <f t="shared" si="19"/>
        <v>40</v>
      </c>
      <c r="AF43" s="1">
        <f t="shared" si="19"/>
        <v>60</v>
      </c>
      <c r="AG43" s="1">
        <f t="shared" si="19"/>
        <v>0</v>
      </c>
      <c r="AH43" s="1">
        <f t="shared" si="19"/>
        <v>0</v>
      </c>
      <c r="AI43" s="1">
        <f t="shared" si="19"/>
        <v>0</v>
      </c>
      <c r="AJ43" s="1">
        <f t="shared" si="19"/>
        <v>0</v>
      </c>
      <c r="AK43" s="1">
        <f t="shared" si="19"/>
        <v>0</v>
      </c>
      <c r="AL43" s="1">
        <f t="shared" si="19"/>
        <v>0</v>
      </c>
      <c r="AM43" s="1">
        <f t="shared" si="19"/>
        <v>0</v>
      </c>
      <c r="AN43" s="1">
        <f t="shared" si="19"/>
        <v>0</v>
      </c>
      <c r="AO43" s="1">
        <f t="shared" si="19"/>
        <v>0</v>
      </c>
    </row>
    <row r="44" spans="2:41" ht="15.75" x14ac:dyDescent="0.25">
      <c r="G44" s="265"/>
      <c r="H44" s="271"/>
      <c r="I44" s="268"/>
      <c r="J44" s="268"/>
      <c r="K44" s="269"/>
      <c r="L44" s="263"/>
      <c r="M44" s="270"/>
      <c r="N44" s="263"/>
      <c r="O44" s="263"/>
      <c r="P44" s="263"/>
      <c r="Q44" s="263"/>
      <c r="R44" s="263"/>
      <c r="S44" s="263"/>
      <c r="T44" s="264"/>
      <c r="Y44" s="235" t="s">
        <v>33</v>
      </c>
      <c r="Z44" s="1">
        <f>SUM(AD44:AO44)</f>
        <v>152110.20000000001</v>
      </c>
      <c r="AB44" s="1" t="s">
        <v>106</v>
      </c>
      <c r="AD44" s="1">
        <f>IF($Z$42&gt;AD43,(IF($Z$42-AE43&gt;0,(AE43-AD43)*$B$16*AD46,($Z$42-AD43)*$B$16*AD46)),0)</f>
        <v>152110.20000000001</v>
      </c>
      <c r="AE44" s="1">
        <f>IF($Z$42&gt;AE43,(IF($Z$42-AF43&gt;0,(AF43-AE43)*$B$17*AE46,($Z$42-AE43)*$B$17*AE46)),0)</f>
        <v>0</v>
      </c>
      <c r="AF44" s="1">
        <f t="shared" ref="AF44:AN44" si="20">IF($Z$42&gt;AF43,(IF($Z$42-AG43&gt;0,(AG43-AF43)*$B$16*AF46,($Z$42-AF43)*$B$16*AF46)),0)</f>
        <v>0</v>
      </c>
      <c r="AG44" s="1">
        <f t="shared" si="20"/>
        <v>0</v>
      </c>
      <c r="AH44" s="1">
        <f t="shared" si="20"/>
        <v>0</v>
      </c>
      <c r="AI44" s="1">
        <f t="shared" si="20"/>
        <v>0</v>
      </c>
      <c r="AJ44" s="1">
        <f t="shared" si="20"/>
        <v>0</v>
      </c>
      <c r="AK44" s="1">
        <f t="shared" si="20"/>
        <v>0</v>
      </c>
      <c r="AL44" s="1">
        <f t="shared" si="20"/>
        <v>0</v>
      </c>
      <c r="AM44" s="1">
        <f t="shared" si="20"/>
        <v>0</v>
      </c>
      <c r="AN44" s="1">
        <f t="shared" si="20"/>
        <v>0</v>
      </c>
    </row>
    <row r="45" spans="2:41" ht="15.75" x14ac:dyDescent="0.25">
      <c r="G45" s="265"/>
      <c r="H45" s="271"/>
      <c r="I45" s="268"/>
      <c r="J45" s="268"/>
      <c r="K45" s="269"/>
      <c r="L45" s="263"/>
      <c r="M45" s="270"/>
      <c r="N45" s="263"/>
      <c r="O45" s="263"/>
      <c r="P45" s="263"/>
      <c r="Q45" s="263"/>
      <c r="R45" s="263"/>
      <c r="S45" s="263"/>
      <c r="T45" s="264"/>
    </row>
    <row r="46" spans="2:41" ht="15.75" x14ac:dyDescent="0.25">
      <c r="G46" s="265"/>
      <c r="H46" s="266"/>
      <c r="I46" s="267"/>
      <c r="J46" s="268"/>
      <c r="K46" s="269"/>
      <c r="L46" s="263"/>
      <c r="M46" s="270"/>
      <c r="N46" s="263"/>
      <c r="O46" s="263"/>
      <c r="P46" s="263"/>
      <c r="Q46" s="263"/>
      <c r="R46" s="263"/>
      <c r="S46" s="263"/>
      <c r="T46" s="264"/>
      <c r="AB46" s="1" t="s">
        <v>109</v>
      </c>
      <c r="AD46" s="218">
        <f>I23</f>
        <v>0.19</v>
      </c>
      <c r="AE46" s="218">
        <f>J23</f>
        <v>0.19</v>
      </c>
      <c r="AF46" s="218">
        <f t="shared" ref="AF46:AO46" si="21">AF16</f>
        <v>0</v>
      </c>
      <c r="AG46" s="218">
        <f t="shared" si="21"/>
        <v>0</v>
      </c>
      <c r="AH46" s="218">
        <f t="shared" si="21"/>
        <v>0</v>
      </c>
      <c r="AI46" s="218">
        <f t="shared" si="21"/>
        <v>0</v>
      </c>
      <c r="AJ46" s="218">
        <f t="shared" si="21"/>
        <v>0</v>
      </c>
      <c r="AK46" s="218">
        <f t="shared" si="21"/>
        <v>0</v>
      </c>
      <c r="AL46" s="218">
        <f t="shared" si="21"/>
        <v>0</v>
      </c>
      <c r="AM46" s="218">
        <f t="shared" si="21"/>
        <v>0</v>
      </c>
      <c r="AN46" s="218">
        <f t="shared" si="21"/>
        <v>0</v>
      </c>
      <c r="AO46" s="218">
        <f t="shared" si="21"/>
        <v>0</v>
      </c>
    </row>
    <row r="47" spans="2:41" ht="15.75" x14ac:dyDescent="0.25">
      <c r="G47" s="265"/>
      <c r="H47" s="266"/>
      <c r="I47" s="267"/>
      <c r="J47" s="268"/>
      <c r="K47" s="269"/>
      <c r="L47" s="263"/>
      <c r="M47" s="270"/>
      <c r="N47" s="263"/>
      <c r="O47" s="263"/>
      <c r="P47" s="263"/>
      <c r="Q47" s="263"/>
      <c r="R47" s="263"/>
      <c r="S47" s="263"/>
      <c r="T47" s="264"/>
    </row>
    <row r="48" spans="2:41" ht="15.75" x14ac:dyDescent="0.25">
      <c r="G48" s="265"/>
      <c r="H48" s="266"/>
      <c r="I48" s="267"/>
      <c r="J48" s="268"/>
      <c r="K48" s="269"/>
      <c r="L48" s="263"/>
      <c r="M48" s="270"/>
      <c r="N48" s="263"/>
      <c r="O48" s="263"/>
      <c r="P48" s="263"/>
      <c r="Q48" s="263"/>
      <c r="R48" s="263"/>
      <c r="S48" s="263"/>
      <c r="T48" s="264"/>
    </row>
    <row r="49" spans="2:41" ht="15.75" x14ac:dyDescent="0.25">
      <c r="G49" s="265"/>
      <c r="H49" s="266"/>
      <c r="I49" s="267"/>
      <c r="J49" s="268"/>
      <c r="K49" s="269"/>
      <c r="L49" s="263"/>
      <c r="M49" s="270"/>
      <c r="N49" s="263"/>
      <c r="O49" s="263"/>
      <c r="P49" s="263"/>
      <c r="Q49" s="263"/>
      <c r="R49" s="263"/>
      <c r="S49" s="263"/>
      <c r="T49" s="264"/>
    </row>
    <row r="50" spans="2:41" ht="15.75" x14ac:dyDescent="0.25">
      <c r="G50" s="265"/>
      <c r="H50" s="266"/>
      <c r="I50" s="267"/>
      <c r="J50" s="268"/>
      <c r="K50" s="269"/>
      <c r="L50" s="263"/>
      <c r="M50" s="270"/>
      <c r="N50" s="263"/>
      <c r="O50" s="263"/>
      <c r="P50" s="263"/>
      <c r="Q50" s="263"/>
      <c r="R50" s="263"/>
      <c r="S50" s="263"/>
      <c r="T50" s="264"/>
      <c r="Y50" s="235" t="s">
        <v>128</v>
      </c>
      <c r="Z50" s="1">
        <f>C29</f>
        <v>8</v>
      </c>
      <c r="AB50" s="1" t="s">
        <v>103</v>
      </c>
      <c r="AD50" s="1" t="str">
        <f t="shared" ref="AD50:AN50" si="22">AD20</f>
        <v>0-40</v>
      </c>
      <c r="AE50" s="1" t="str">
        <f t="shared" si="22"/>
        <v>40-60</v>
      </c>
      <c r="AF50" s="1" t="str">
        <f t="shared" si="22"/>
        <v>60-80</v>
      </c>
      <c r="AG50" s="1">
        <f t="shared" si="22"/>
        <v>0</v>
      </c>
      <c r="AH50" s="1">
        <f t="shared" si="22"/>
        <v>0</v>
      </c>
      <c r="AI50" s="1">
        <f t="shared" si="22"/>
        <v>0</v>
      </c>
      <c r="AJ50" s="1">
        <f t="shared" si="22"/>
        <v>0</v>
      </c>
      <c r="AK50" s="1">
        <f t="shared" si="22"/>
        <v>0</v>
      </c>
      <c r="AL50" s="1">
        <f t="shared" si="22"/>
        <v>0</v>
      </c>
      <c r="AM50" s="1">
        <f t="shared" si="22"/>
        <v>0</v>
      </c>
      <c r="AN50" s="1">
        <f t="shared" si="22"/>
        <v>0</v>
      </c>
    </row>
    <row r="51" spans="2:41" ht="15.75" x14ac:dyDescent="0.25">
      <c r="G51" s="265"/>
      <c r="H51" s="266"/>
      <c r="I51" s="267"/>
      <c r="J51" s="268"/>
      <c r="K51" s="269"/>
      <c r="L51" s="263"/>
      <c r="M51" s="270"/>
      <c r="N51" s="263"/>
      <c r="O51" s="263"/>
      <c r="P51" s="263"/>
      <c r="Q51" s="263"/>
      <c r="R51" s="263"/>
      <c r="S51" s="263"/>
      <c r="T51" s="264"/>
      <c r="AD51" s="1">
        <f t="shared" ref="AD51:AO51" si="23">AD13</f>
        <v>0</v>
      </c>
      <c r="AE51" s="1">
        <f t="shared" si="23"/>
        <v>40</v>
      </c>
      <c r="AF51" s="1">
        <f t="shared" si="23"/>
        <v>60</v>
      </c>
      <c r="AG51" s="1">
        <f t="shared" si="23"/>
        <v>0</v>
      </c>
      <c r="AH51" s="1">
        <f t="shared" si="23"/>
        <v>0</v>
      </c>
      <c r="AI51" s="1">
        <f t="shared" si="23"/>
        <v>0</v>
      </c>
      <c r="AJ51" s="1">
        <f t="shared" si="23"/>
        <v>0</v>
      </c>
      <c r="AK51" s="1">
        <f t="shared" si="23"/>
        <v>0</v>
      </c>
      <c r="AL51" s="1">
        <f t="shared" si="23"/>
        <v>0</v>
      </c>
      <c r="AM51" s="1">
        <f t="shared" si="23"/>
        <v>0</v>
      </c>
      <c r="AN51" s="1">
        <f t="shared" si="23"/>
        <v>0</v>
      </c>
      <c r="AO51" s="1">
        <f t="shared" si="23"/>
        <v>0</v>
      </c>
    </row>
    <row r="52" spans="2:41" ht="15.75" x14ac:dyDescent="0.25">
      <c r="G52" s="265" t="s">
        <v>32</v>
      </c>
      <c r="H52" s="266">
        <f>SUM(H35:H50)</f>
        <v>226</v>
      </c>
      <c r="I52" s="267">
        <f>SUM(I35:I50)</f>
        <v>851282.89999999991</v>
      </c>
      <c r="J52" s="267">
        <f>SUM(J35:J50)</f>
        <v>1727799.9864360255</v>
      </c>
      <c r="K52" s="269">
        <f>I52/J52</f>
        <v>0.49269759618181364</v>
      </c>
      <c r="L52" s="263"/>
      <c r="M52" s="270">
        <f>I52/H52</f>
        <v>3766.7384955752209</v>
      </c>
      <c r="N52" s="263"/>
      <c r="O52" s="263"/>
      <c r="P52" s="263"/>
      <c r="Q52" s="263"/>
      <c r="R52" s="263"/>
      <c r="S52" s="263"/>
      <c r="T52" s="264"/>
      <c r="Y52" s="235" t="s">
        <v>33</v>
      </c>
      <c r="Z52" s="1">
        <f>SUM(AD52:AO52)</f>
        <v>36875.199999999997</v>
      </c>
      <c r="AB52" s="1" t="s">
        <v>106</v>
      </c>
      <c r="AD52" s="1">
        <f>IF($Z$50&gt;AD51,(IF($Z$50-AE51&gt;0,(AE51-AD51)*$B$16*AD54,($Z$50-AD51)*$B$16*AD54)),0)</f>
        <v>36875.199999999997</v>
      </c>
      <c r="AE52" s="1">
        <f>IF($Z$50&gt;AE51,(IF($Z$50-AF51&gt;0,(AF51-AE51)*$B$17*AE54,($Z$50-AE51)*$B$17*AE54)),0)</f>
        <v>0</v>
      </c>
      <c r="AF52" s="1">
        <f t="shared" ref="AF52:AN52" si="24">IF($Z$50&gt;AF51,(IF($Z$50-AG51&gt;0,(AG51-AF51)*$B$16*AF54,($Z$50-AF51)*$B$16*AF54)),0)</f>
        <v>0</v>
      </c>
      <c r="AG52" s="1">
        <f t="shared" si="24"/>
        <v>0</v>
      </c>
      <c r="AH52" s="1">
        <f t="shared" si="24"/>
        <v>0</v>
      </c>
      <c r="AI52" s="1">
        <f t="shared" si="24"/>
        <v>0</v>
      </c>
      <c r="AJ52" s="1">
        <f t="shared" si="24"/>
        <v>0</v>
      </c>
      <c r="AK52" s="1">
        <f t="shared" si="24"/>
        <v>0</v>
      </c>
      <c r="AL52" s="1">
        <f t="shared" si="24"/>
        <v>0</v>
      </c>
      <c r="AM52" s="1">
        <f t="shared" si="24"/>
        <v>0</v>
      </c>
      <c r="AN52" s="1">
        <f t="shared" si="24"/>
        <v>0</v>
      </c>
    </row>
    <row r="53" spans="2:41" ht="15.75" x14ac:dyDescent="0.25">
      <c r="G53" s="265"/>
      <c r="H53" s="272"/>
      <c r="I53" s="273"/>
      <c r="J53" s="274"/>
      <c r="K53" s="263"/>
      <c r="L53" s="263"/>
      <c r="M53" s="263"/>
      <c r="N53" s="263"/>
      <c r="O53" s="263"/>
      <c r="P53" s="263"/>
      <c r="Q53" s="263"/>
      <c r="R53" s="263"/>
      <c r="S53" s="263"/>
      <c r="T53" s="264"/>
    </row>
    <row r="54" spans="2:41" x14ac:dyDescent="0.2">
      <c r="G54" s="260"/>
      <c r="H54" s="272"/>
      <c r="I54" s="273"/>
      <c r="J54" s="263"/>
      <c r="K54" s="263"/>
      <c r="L54" s="263"/>
      <c r="M54" s="263"/>
      <c r="N54" s="263"/>
      <c r="O54" s="263"/>
      <c r="P54" s="263"/>
      <c r="Q54" s="263"/>
      <c r="R54" s="263"/>
      <c r="S54" s="263"/>
      <c r="T54" s="264"/>
      <c r="AB54" s="1" t="s">
        <v>109</v>
      </c>
      <c r="AD54" s="218">
        <f>I23</f>
        <v>0.19</v>
      </c>
      <c r="AE54" s="218">
        <f>J23</f>
        <v>0.19</v>
      </c>
      <c r="AF54" s="218">
        <f t="shared" ref="AF54:AO54" si="25">AF16</f>
        <v>0</v>
      </c>
      <c r="AG54" s="218">
        <f t="shared" si="25"/>
        <v>0</v>
      </c>
      <c r="AH54" s="218">
        <f t="shared" si="25"/>
        <v>0</v>
      </c>
      <c r="AI54" s="218">
        <f t="shared" si="25"/>
        <v>0</v>
      </c>
      <c r="AJ54" s="218">
        <f t="shared" si="25"/>
        <v>0</v>
      </c>
      <c r="AK54" s="218">
        <f t="shared" si="25"/>
        <v>0</v>
      </c>
      <c r="AL54" s="218">
        <f t="shared" si="25"/>
        <v>0</v>
      </c>
      <c r="AM54" s="218">
        <f t="shared" si="25"/>
        <v>0</v>
      </c>
      <c r="AN54" s="218">
        <f t="shared" si="25"/>
        <v>0</v>
      </c>
      <c r="AO54" s="218">
        <f t="shared" si="25"/>
        <v>0</v>
      </c>
    </row>
    <row r="55" spans="2:41" x14ac:dyDescent="0.2">
      <c r="G55" s="260"/>
      <c r="H55" s="272"/>
      <c r="I55" s="273"/>
      <c r="J55" s="263"/>
      <c r="K55" s="263"/>
      <c r="L55" s="263"/>
      <c r="M55" s="263"/>
      <c r="N55" s="263"/>
      <c r="O55" s="263"/>
      <c r="P55" s="263"/>
      <c r="Q55" s="263"/>
      <c r="R55" s="263"/>
      <c r="S55" s="263"/>
      <c r="T55" s="264"/>
    </row>
    <row r="56" spans="2:41" ht="15.75" thickBot="1" x14ac:dyDescent="0.25">
      <c r="G56" s="275"/>
      <c r="H56" s="276"/>
      <c r="I56" s="277"/>
      <c r="J56" s="278"/>
      <c r="K56" s="278"/>
      <c r="L56" s="278"/>
      <c r="M56" s="278"/>
      <c r="N56" s="278"/>
      <c r="O56" s="278"/>
      <c r="P56" s="278"/>
      <c r="Q56" s="278"/>
      <c r="R56" s="278"/>
      <c r="S56" s="278"/>
      <c r="T56" s="279"/>
    </row>
    <row r="57" spans="2:41" ht="15.75" x14ac:dyDescent="0.25">
      <c r="Y57" s="280" t="s">
        <v>16</v>
      </c>
      <c r="Z57" s="1">
        <f>C30</f>
        <v>30</v>
      </c>
      <c r="AB57" s="1" t="s">
        <v>103</v>
      </c>
      <c r="AD57" s="1" t="str">
        <f t="shared" ref="AD57:AN57" si="26">AD20</f>
        <v>0-40</v>
      </c>
      <c r="AE57" s="1" t="str">
        <f t="shared" si="26"/>
        <v>40-60</v>
      </c>
      <c r="AF57" s="1" t="str">
        <f t="shared" si="26"/>
        <v>60-80</v>
      </c>
      <c r="AG57" s="1">
        <f t="shared" si="26"/>
        <v>0</v>
      </c>
      <c r="AH57" s="1">
        <f t="shared" si="26"/>
        <v>0</v>
      </c>
      <c r="AI57" s="1">
        <f t="shared" si="26"/>
        <v>0</v>
      </c>
      <c r="AJ57" s="1">
        <f t="shared" si="26"/>
        <v>0</v>
      </c>
      <c r="AK57" s="1">
        <f t="shared" si="26"/>
        <v>0</v>
      </c>
      <c r="AL57" s="1">
        <f t="shared" si="26"/>
        <v>0</v>
      </c>
      <c r="AM57" s="1">
        <f t="shared" si="26"/>
        <v>0</v>
      </c>
      <c r="AN57" s="1">
        <f t="shared" si="26"/>
        <v>0</v>
      </c>
    </row>
    <row r="58" spans="2:41" ht="28.5" thickBot="1" x14ac:dyDescent="0.45">
      <c r="B58" s="752" t="s">
        <v>416</v>
      </c>
      <c r="C58" s="749"/>
      <c r="D58" s="749"/>
      <c r="E58" s="749"/>
      <c r="F58" s="749"/>
      <c r="AD58" s="1">
        <f t="shared" ref="AD58:AO58" si="27">AD13</f>
        <v>0</v>
      </c>
      <c r="AE58" s="1">
        <f t="shared" si="27"/>
        <v>40</v>
      </c>
      <c r="AF58" s="1">
        <f t="shared" si="27"/>
        <v>60</v>
      </c>
      <c r="AG58" s="1">
        <f t="shared" si="27"/>
        <v>0</v>
      </c>
      <c r="AH58" s="1">
        <f t="shared" si="27"/>
        <v>0</v>
      </c>
      <c r="AI58" s="1">
        <f t="shared" si="27"/>
        <v>0</v>
      </c>
      <c r="AJ58" s="1">
        <f t="shared" si="27"/>
        <v>0</v>
      </c>
      <c r="AK58" s="1">
        <f t="shared" si="27"/>
        <v>0</v>
      </c>
      <c r="AL58" s="1">
        <f t="shared" si="27"/>
        <v>0</v>
      </c>
      <c r="AM58" s="1">
        <f t="shared" si="27"/>
        <v>0</v>
      </c>
      <c r="AN58" s="1">
        <f t="shared" si="27"/>
        <v>0</v>
      </c>
      <c r="AO58" s="1">
        <f t="shared" si="27"/>
        <v>0</v>
      </c>
    </row>
    <row r="59" spans="2:41" ht="15.75" thickTop="1" x14ac:dyDescent="0.2">
      <c r="Y59" s="235" t="s">
        <v>33</v>
      </c>
      <c r="Z59" s="1">
        <f>SUM(AD59:AO59)</f>
        <v>138282</v>
      </c>
      <c r="AB59" s="1" t="s">
        <v>106</v>
      </c>
      <c r="AD59" s="1">
        <f>IF($Z$57&gt;AD58,(IF($Z$57-AE58&gt;0,(AE58-AD58)*$B$16*AD61,($Z$57-AD58)*$B$16*AD61)),0)</f>
        <v>138282</v>
      </c>
      <c r="AE59" s="1">
        <f>IF($Z$57&gt;AE58,(IF($Z$57-AF58&gt;0,(AF58-AE58)*$B$17*AE61,($Z$57-AE58)*$B$17*AE61)),0)</f>
        <v>0</v>
      </c>
      <c r="AF59" s="1">
        <f t="shared" ref="AF59:AN59" si="28">IF($Z$57&gt;AF58,(IF($Z$57-AG58&gt;0,(AG58-AF58)*$B$16*AF61,($Z$57-AF58)*$B$16*AF61)),0)</f>
        <v>0</v>
      </c>
      <c r="AG59" s="1">
        <f t="shared" si="28"/>
        <v>0</v>
      </c>
      <c r="AH59" s="1">
        <f t="shared" si="28"/>
        <v>0</v>
      </c>
      <c r="AI59" s="1">
        <f t="shared" si="28"/>
        <v>0</v>
      </c>
      <c r="AJ59" s="1">
        <f t="shared" si="28"/>
        <v>0</v>
      </c>
      <c r="AK59" s="1">
        <f t="shared" si="28"/>
        <v>0</v>
      </c>
      <c r="AL59" s="1">
        <f t="shared" si="28"/>
        <v>0</v>
      </c>
      <c r="AM59" s="1">
        <f t="shared" si="28"/>
        <v>0</v>
      </c>
      <c r="AN59" s="1">
        <f t="shared" si="28"/>
        <v>0</v>
      </c>
    </row>
    <row r="60" spans="2:41" x14ac:dyDescent="0.2">
      <c r="G60" s="1" t="s">
        <v>137</v>
      </c>
    </row>
    <row r="61" spans="2:41" x14ac:dyDescent="0.2">
      <c r="G61" s="219"/>
      <c r="H61" s="219"/>
      <c r="I61" s="219"/>
      <c r="J61" s="219"/>
      <c r="K61" s="219"/>
      <c r="L61" s="219"/>
      <c r="M61" s="219"/>
      <c r="N61" s="219"/>
      <c r="O61" s="219"/>
      <c r="P61" s="219"/>
      <c r="Q61" s="219"/>
      <c r="R61" s="219"/>
      <c r="S61" s="219"/>
      <c r="T61" s="219"/>
      <c r="U61" s="219"/>
      <c r="V61" s="219"/>
      <c r="AB61" s="1" t="s">
        <v>109</v>
      </c>
      <c r="AD61" s="218">
        <f>I23</f>
        <v>0.19</v>
      </c>
      <c r="AE61" s="218">
        <f>J23</f>
        <v>0.19</v>
      </c>
      <c r="AF61" s="218">
        <f t="shared" ref="AF61:AO61" si="29">AF16</f>
        <v>0</v>
      </c>
      <c r="AG61" s="218">
        <f t="shared" si="29"/>
        <v>0</v>
      </c>
      <c r="AH61" s="218">
        <f t="shared" si="29"/>
        <v>0</v>
      </c>
      <c r="AI61" s="218">
        <f t="shared" si="29"/>
        <v>0</v>
      </c>
      <c r="AJ61" s="218">
        <f t="shared" si="29"/>
        <v>0</v>
      </c>
      <c r="AK61" s="218">
        <f t="shared" si="29"/>
        <v>0</v>
      </c>
      <c r="AL61" s="218">
        <f t="shared" si="29"/>
        <v>0</v>
      </c>
      <c r="AM61" s="218">
        <f t="shared" si="29"/>
        <v>0</v>
      </c>
      <c r="AN61" s="218">
        <f t="shared" si="29"/>
        <v>0</v>
      </c>
      <c r="AO61" s="218">
        <f t="shared" si="29"/>
        <v>0</v>
      </c>
    </row>
    <row r="62" spans="2:41" ht="15.75" thickBot="1" x14ac:dyDescent="0.25">
      <c r="B62" s="1" t="s">
        <v>508</v>
      </c>
      <c r="G62" s="219"/>
      <c r="H62" s="219"/>
      <c r="I62" s="219"/>
      <c r="J62" s="21"/>
      <c r="K62" s="21"/>
      <c r="L62" s="21"/>
      <c r="M62" s="21"/>
      <c r="N62" s="21"/>
      <c r="O62" s="21"/>
      <c r="P62" s="21"/>
      <c r="Q62" s="21"/>
      <c r="R62" s="21"/>
      <c r="S62" s="21"/>
      <c r="T62" s="21"/>
      <c r="U62" s="21"/>
      <c r="V62" s="219"/>
      <c r="W62" s="219"/>
    </row>
    <row r="63" spans="2:41" ht="16.5" thickBot="1" x14ac:dyDescent="0.3">
      <c r="B63" s="435" t="s">
        <v>48</v>
      </c>
      <c r="C63" s="436"/>
      <c r="D63" s="437"/>
      <c r="E63" s="437"/>
      <c r="F63" s="437"/>
      <c r="G63" s="437"/>
      <c r="H63" s="437"/>
      <c r="I63" s="422"/>
      <c r="J63" s="9"/>
      <c r="K63" s="9"/>
      <c r="L63" s="43" t="s">
        <v>0</v>
      </c>
      <c r="M63" s="39"/>
      <c r="N63" s="47" t="s">
        <v>1</v>
      </c>
      <c r="O63" s="9"/>
      <c r="P63" s="9"/>
      <c r="Q63" s="9"/>
      <c r="R63" s="9"/>
      <c r="S63" s="9"/>
      <c r="T63" s="138"/>
      <c r="U63" s="9"/>
    </row>
    <row r="64" spans="2:41" ht="15.75" x14ac:dyDescent="0.25">
      <c r="B64" s="58" t="s">
        <v>2</v>
      </c>
      <c r="C64" s="126" t="s">
        <v>8</v>
      </c>
      <c r="D64" s="57" t="s">
        <v>11</v>
      </c>
      <c r="E64" s="57" t="s">
        <v>15</v>
      </c>
      <c r="F64" s="57" t="s">
        <v>16</v>
      </c>
      <c r="G64" s="57" t="s">
        <v>20</v>
      </c>
      <c r="H64" s="57" t="s">
        <v>22</v>
      </c>
      <c r="I64" s="127"/>
      <c r="J64" s="9"/>
      <c r="K64" s="432"/>
      <c r="L64" s="40" t="s">
        <v>49</v>
      </c>
      <c r="M64" s="38"/>
      <c r="N64" s="41"/>
      <c r="O64" s="432"/>
      <c r="P64" s="432"/>
      <c r="Q64" s="432"/>
      <c r="R64" s="432"/>
      <c r="S64" s="432"/>
      <c r="T64" s="196"/>
      <c r="U64" s="9"/>
    </row>
    <row r="65" spans="2:41" ht="15.75" x14ac:dyDescent="0.25">
      <c r="B65" s="59" t="s">
        <v>3</v>
      </c>
      <c r="C65" s="130">
        <v>18</v>
      </c>
      <c r="D65" s="54">
        <v>24</v>
      </c>
      <c r="E65" s="54">
        <v>17</v>
      </c>
      <c r="F65" s="54">
        <v>11</v>
      </c>
      <c r="G65" s="54">
        <v>1</v>
      </c>
      <c r="H65" s="54">
        <v>29</v>
      </c>
      <c r="I65" s="131"/>
      <c r="J65" s="9"/>
      <c r="K65" s="433"/>
      <c r="L65" s="40" t="s">
        <v>3</v>
      </c>
      <c r="M65" s="38"/>
      <c r="N65" s="48">
        <f>'3. Förslag, socialvård (2013)'!L7</f>
        <v>10677</v>
      </c>
      <c r="O65" s="433"/>
      <c r="P65" s="433"/>
      <c r="Q65" s="433"/>
      <c r="R65" s="433"/>
      <c r="S65" s="433"/>
      <c r="T65" s="196"/>
      <c r="U65" s="9"/>
      <c r="Y65" s="235" t="s">
        <v>9</v>
      </c>
      <c r="Z65" s="1">
        <f>C31</f>
        <v>89</v>
      </c>
      <c r="AB65" s="1" t="s">
        <v>103</v>
      </c>
      <c r="AD65" s="1" t="str">
        <f t="shared" ref="AD65:AN65" si="30">AD20</f>
        <v>0-40</v>
      </c>
      <c r="AE65" s="1" t="str">
        <f t="shared" si="30"/>
        <v>40-60</v>
      </c>
      <c r="AF65" s="1" t="str">
        <f t="shared" si="30"/>
        <v>60-80</v>
      </c>
      <c r="AG65" s="1">
        <f t="shared" si="30"/>
        <v>0</v>
      </c>
      <c r="AH65" s="1">
        <f t="shared" si="30"/>
        <v>0</v>
      </c>
      <c r="AI65" s="1">
        <f t="shared" si="30"/>
        <v>0</v>
      </c>
      <c r="AJ65" s="1">
        <f t="shared" si="30"/>
        <v>0</v>
      </c>
      <c r="AK65" s="1">
        <f t="shared" si="30"/>
        <v>0</v>
      </c>
      <c r="AL65" s="1">
        <f t="shared" si="30"/>
        <v>0</v>
      </c>
      <c r="AM65" s="1">
        <f t="shared" si="30"/>
        <v>0</v>
      </c>
      <c r="AN65" s="1">
        <f t="shared" si="30"/>
        <v>0</v>
      </c>
    </row>
    <row r="66" spans="2:41" ht="15.75" x14ac:dyDescent="0.25">
      <c r="B66" s="59" t="s">
        <v>4</v>
      </c>
      <c r="C66" s="130">
        <v>337</v>
      </c>
      <c r="D66" s="54">
        <v>399</v>
      </c>
      <c r="E66" s="54">
        <v>243</v>
      </c>
      <c r="F66" s="54">
        <v>166</v>
      </c>
      <c r="G66" s="54">
        <v>65</v>
      </c>
      <c r="H66" s="54">
        <v>294</v>
      </c>
      <c r="I66" s="131"/>
      <c r="J66" s="9"/>
      <c r="K66" s="433" t="s">
        <v>582</v>
      </c>
      <c r="L66" s="40" t="s">
        <v>4</v>
      </c>
      <c r="M66" s="38"/>
      <c r="N66" s="48">
        <v>0</v>
      </c>
      <c r="O66" s="433"/>
      <c r="P66" s="433"/>
      <c r="Q66" s="433"/>
      <c r="R66" s="433"/>
      <c r="S66" s="433"/>
      <c r="T66" s="196"/>
      <c r="U66" s="9"/>
      <c r="AD66" s="1">
        <f t="shared" ref="AD66:AO66" si="31">AD13</f>
        <v>0</v>
      </c>
      <c r="AE66" s="1">
        <f t="shared" si="31"/>
        <v>40</v>
      </c>
      <c r="AF66" s="1">
        <f t="shared" si="31"/>
        <v>60</v>
      </c>
      <c r="AG66" s="1">
        <f t="shared" si="31"/>
        <v>0</v>
      </c>
      <c r="AH66" s="1">
        <f t="shared" si="31"/>
        <v>0</v>
      </c>
      <c r="AI66" s="1">
        <f t="shared" si="31"/>
        <v>0</v>
      </c>
      <c r="AJ66" s="1">
        <f t="shared" si="31"/>
        <v>0</v>
      </c>
      <c r="AK66" s="1">
        <f t="shared" si="31"/>
        <v>0</v>
      </c>
      <c r="AL66" s="1">
        <f t="shared" si="31"/>
        <v>0</v>
      </c>
      <c r="AM66" s="1">
        <f t="shared" si="31"/>
        <v>0</v>
      </c>
      <c r="AN66" s="1">
        <f t="shared" si="31"/>
        <v>0</v>
      </c>
      <c r="AO66" s="1">
        <f t="shared" si="31"/>
        <v>0</v>
      </c>
    </row>
    <row r="67" spans="2:41" ht="15.75" x14ac:dyDescent="0.25">
      <c r="B67" s="59" t="s">
        <v>5</v>
      </c>
      <c r="C67" s="130">
        <v>70</v>
      </c>
      <c r="D67" s="54">
        <v>75</v>
      </c>
      <c r="E67" s="54">
        <v>46</v>
      </c>
      <c r="F67" s="54">
        <v>39</v>
      </c>
      <c r="G67" s="54">
        <v>15</v>
      </c>
      <c r="H67" s="54">
        <v>58</v>
      </c>
      <c r="I67" s="131"/>
      <c r="J67" s="9"/>
      <c r="K67" s="433"/>
      <c r="L67" s="40" t="s">
        <v>5</v>
      </c>
      <c r="M67" s="38"/>
      <c r="N67" s="48">
        <f>'3. Förslag, socialvård (2013)'!L9</f>
        <v>1384</v>
      </c>
      <c r="O67" s="433"/>
      <c r="P67" s="433"/>
      <c r="Q67" s="433"/>
      <c r="R67" s="433"/>
      <c r="S67" s="433"/>
      <c r="T67" s="196"/>
      <c r="U67" s="9"/>
      <c r="Y67" s="235" t="s">
        <v>33</v>
      </c>
      <c r="Z67" s="1">
        <f>SUM(AD67:AO67)</f>
        <v>203784</v>
      </c>
      <c r="AB67" s="1" t="s">
        <v>106</v>
      </c>
      <c r="AD67" s="1">
        <f>IF($Z$65&gt;AD66,(IF($Z$65-AE66&gt;0,(AE66-AD66)*$B$16*AD69,($Z$65-AD66)*$B$16*AD69)),0)</f>
        <v>135856</v>
      </c>
      <c r="AE67" s="1">
        <f t="shared" ref="AE67:AN67" si="32">IF($Z$65&gt;AE66,(IF($Z$65-AF66&gt;0,(AF66-AE66)*$B$16*AE69,($Z$65-AE66)*$B$16*AE69)),0)</f>
        <v>67928</v>
      </c>
      <c r="AF67" s="1">
        <f t="shared" si="32"/>
        <v>0</v>
      </c>
      <c r="AG67" s="1">
        <f t="shared" si="32"/>
        <v>0</v>
      </c>
      <c r="AH67" s="1">
        <f t="shared" si="32"/>
        <v>0</v>
      </c>
      <c r="AI67" s="1">
        <f t="shared" si="32"/>
        <v>0</v>
      </c>
      <c r="AJ67" s="1">
        <f t="shared" si="32"/>
        <v>0</v>
      </c>
      <c r="AK67" s="1">
        <f t="shared" si="32"/>
        <v>0</v>
      </c>
      <c r="AL67" s="1">
        <f t="shared" si="32"/>
        <v>0</v>
      </c>
      <c r="AM67" s="1">
        <f t="shared" si="32"/>
        <v>0</v>
      </c>
      <c r="AN67" s="1">
        <f t="shared" si="32"/>
        <v>0</v>
      </c>
    </row>
    <row r="68" spans="2:41" ht="15.75" x14ac:dyDescent="0.25">
      <c r="B68" s="59" t="s">
        <v>6</v>
      </c>
      <c r="C68" s="130">
        <v>34</v>
      </c>
      <c r="D68" s="54">
        <v>52</v>
      </c>
      <c r="E68" s="54">
        <v>39</v>
      </c>
      <c r="F68" s="54">
        <v>22</v>
      </c>
      <c r="G68" s="54">
        <v>10</v>
      </c>
      <c r="H68" s="54">
        <v>51</v>
      </c>
      <c r="I68" s="131"/>
      <c r="J68" s="9"/>
      <c r="K68" s="433"/>
      <c r="L68" s="40" t="s">
        <v>6</v>
      </c>
      <c r="M68" s="38"/>
      <c r="N68" s="48">
        <f>'3. Förslag, socialvård (2013)'!L10</f>
        <v>6566</v>
      </c>
      <c r="O68" s="433"/>
      <c r="P68" s="433"/>
      <c r="Q68" s="433"/>
      <c r="R68" s="433"/>
      <c r="S68" s="433"/>
      <c r="T68" s="196"/>
      <c r="U68" s="9"/>
    </row>
    <row r="69" spans="2:41" ht="16.5" thickBot="1" x14ac:dyDescent="0.3">
      <c r="B69" s="59" t="s">
        <v>7</v>
      </c>
      <c r="C69" s="130">
        <v>21</v>
      </c>
      <c r="D69" s="54">
        <v>27</v>
      </c>
      <c r="E69" s="54">
        <v>16</v>
      </c>
      <c r="F69" s="54">
        <v>11</v>
      </c>
      <c r="G69" s="54">
        <v>12</v>
      </c>
      <c r="H69" s="54">
        <v>17</v>
      </c>
      <c r="I69" s="131"/>
      <c r="J69" s="9"/>
      <c r="K69" s="433"/>
      <c r="L69" s="42" t="s">
        <v>7</v>
      </c>
      <c r="M69" s="44"/>
      <c r="N69" s="49">
        <f>'3. Förslag, socialvård (2013)'!L11</f>
        <v>20762</v>
      </c>
      <c r="O69" s="433"/>
      <c r="P69" s="433"/>
      <c r="Q69" s="433"/>
      <c r="R69" s="433"/>
      <c r="S69" s="433"/>
      <c r="T69" s="196"/>
      <c r="U69" s="9"/>
      <c r="AB69" s="1" t="s">
        <v>109</v>
      </c>
      <c r="AD69" s="218">
        <f t="shared" ref="AD69:AO69" si="33">AD16</f>
        <v>0.14000000000000001</v>
      </c>
      <c r="AE69" s="218">
        <f t="shared" si="33"/>
        <v>0.14000000000000001</v>
      </c>
      <c r="AF69" s="218">
        <f t="shared" si="33"/>
        <v>0</v>
      </c>
      <c r="AG69" s="218">
        <f t="shared" si="33"/>
        <v>0</v>
      </c>
      <c r="AH69" s="218">
        <f t="shared" si="33"/>
        <v>0</v>
      </c>
      <c r="AI69" s="218">
        <f t="shared" si="33"/>
        <v>0</v>
      </c>
      <c r="AJ69" s="218">
        <f t="shared" si="33"/>
        <v>0</v>
      </c>
      <c r="AK69" s="218">
        <f t="shared" si="33"/>
        <v>0</v>
      </c>
      <c r="AL69" s="218">
        <f t="shared" si="33"/>
        <v>0</v>
      </c>
      <c r="AM69" s="218">
        <f t="shared" si="33"/>
        <v>0</v>
      </c>
      <c r="AN69" s="218">
        <f t="shared" si="33"/>
        <v>0</v>
      </c>
      <c r="AO69" s="218">
        <f t="shared" si="33"/>
        <v>0</v>
      </c>
    </row>
    <row r="70" spans="2:41" ht="15.75" x14ac:dyDescent="0.25">
      <c r="B70" s="59"/>
      <c r="C70" s="130"/>
      <c r="D70" s="54"/>
      <c r="E70" s="54"/>
      <c r="F70" s="54"/>
      <c r="G70" s="54"/>
      <c r="H70" s="54"/>
      <c r="I70" s="438"/>
      <c r="J70" s="9"/>
      <c r="K70" s="124"/>
      <c r="L70" s="124"/>
      <c r="M70" s="124"/>
      <c r="N70" s="124"/>
      <c r="O70" s="124"/>
      <c r="P70" s="124"/>
      <c r="Q70" s="124"/>
      <c r="R70" s="124"/>
      <c r="S70" s="434"/>
      <c r="T70" s="196"/>
      <c r="U70" s="9"/>
    </row>
    <row r="71" spans="2:41" ht="15.75" x14ac:dyDescent="0.25">
      <c r="B71" s="59" t="s">
        <v>25</v>
      </c>
      <c r="C71" s="130"/>
      <c r="D71" s="54"/>
      <c r="E71" s="54"/>
      <c r="F71" s="54"/>
      <c r="G71" s="54"/>
      <c r="H71" s="54"/>
      <c r="I71" s="438"/>
      <c r="J71" s="9"/>
      <c r="K71" s="124"/>
      <c r="L71" s="124"/>
      <c r="M71" s="124"/>
      <c r="N71" s="124"/>
      <c r="O71" s="124"/>
      <c r="P71" s="124"/>
      <c r="Q71" s="124"/>
      <c r="R71" s="124"/>
      <c r="S71" s="434"/>
      <c r="T71" s="196"/>
      <c r="U71" s="9"/>
    </row>
    <row r="72" spans="2:41" ht="15.75" x14ac:dyDescent="0.25">
      <c r="B72" s="59" t="s">
        <v>26</v>
      </c>
      <c r="C72" s="130"/>
      <c r="D72" s="54"/>
      <c r="E72" s="54"/>
      <c r="F72" s="54"/>
      <c r="G72" s="54"/>
      <c r="H72" s="54"/>
      <c r="I72" s="438"/>
      <c r="J72" s="9"/>
      <c r="K72" s="124"/>
      <c r="L72" s="124"/>
      <c r="M72" s="124"/>
      <c r="N72" s="124"/>
      <c r="O72" s="124"/>
      <c r="P72" s="124"/>
      <c r="Q72" s="124"/>
      <c r="R72" s="124"/>
      <c r="S72" s="434"/>
      <c r="T72" s="196"/>
      <c r="U72" s="9"/>
      <c r="Y72" s="235" t="s">
        <v>21</v>
      </c>
      <c r="Z72" s="1">
        <f>C32</f>
        <v>103</v>
      </c>
      <c r="AB72" s="1" t="s">
        <v>103</v>
      </c>
      <c r="AD72" s="1" t="str">
        <f t="shared" ref="AD72:AN72" si="34">AD20</f>
        <v>0-40</v>
      </c>
      <c r="AE72" s="1" t="str">
        <f t="shared" si="34"/>
        <v>40-60</v>
      </c>
      <c r="AF72" s="1" t="str">
        <f t="shared" si="34"/>
        <v>60-80</v>
      </c>
      <c r="AG72" s="1">
        <f t="shared" si="34"/>
        <v>0</v>
      </c>
      <c r="AH72" s="1">
        <f t="shared" si="34"/>
        <v>0</v>
      </c>
      <c r="AI72" s="1">
        <f t="shared" si="34"/>
        <v>0</v>
      </c>
      <c r="AJ72" s="1">
        <f t="shared" si="34"/>
        <v>0</v>
      </c>
      <c r="AK72" s="1">
        <f t="shared" si="34"/>
        <v>0</v>
      </c>
      <c r="AL72" s="1">
        <f t="shared" si="34"/>
        <v>0</v>
      </c>
      <c r="AM72" s="1">
        <f t="shared" si="34"/>
        <v>0</v>
      </c>
      <c r="AN72" s="1">
        <f t="shared" si="34"/>
        <v>0</v>
      </c>
    </row>
    <row r="73" spans="2:41" ht="15.75" x14ac:dyDescent="0.25">
      <c r="B73" s="59"/>
      <c r="C73" s="130"/>
      <c r="D73" s="54"/>
      <c r="E73" s="54"/>
      <c r="F73" s="54"/>
      <c r="G73" s="54"/>
      <c r="H73" s="54"/>
      <c r="I73" s="438"/>
      <c r="J73" s="9"/>
      <c r="K73" s="124"/>
      <c r="L73" s="124"/>
      <c r="M73" s="124"/>
      <c r="N73" s="124"/>
      <c r="O73" s="124"/>
      <c r="P73" s="124"/>
      <c r="Q73" s="124"/>
      <c r="R73" s="124"/>
      <c r="S73" s="434"/>
      <c r="T73" s="196"/>
      <c r="U73" s="9"/>
      <c r="AD73" s="1">
        <f t="shared" ref="AD73:AO73" si="35">AD13</f>
        <v>0</v>
      </c>
      <c r="AE73" s="1">
        <f t="shared" si="35"/>
        <v>40</v>
      </c>
      <c r="AF73" s="1">
        <f t="shared" si="35"/>
        <v>60</v>
      </c>
      <c r="AG73" s="1">
        <f t="shared" si="35"/>
        <v>0</v>
      </c>
      <c r="AH73" s="1">
        <f t="shared" si="35"/>
        <v>0</v>
      </c>
      <c r="AI73" s="1">
        <f t="shared" si="35"/>
        <v>0</v>
      </c>
      <c r="AJ73" s="1">
        <f t="shared" si="35"/>
        <v>0</v>
      </c>
      <c r="AK73" s="1">
        <f t="shared" si="35"/>
        <v>0</v>
      </c>
      <c r="AL73" s="1">
        <f t="shared" si="35"/>
        <v>0</v>
      </c>
      <c r="AM73" s="1">
        <f t="shared" si="35"/>
        <v>0</v>
      </c>
      <c r="AN73" s="1">
        <f t="shared" si="35"/>
        <v>0</v>
      </c>
      <c r="AO73" s="1">
        <f t="shared" si="35"/>
        <v>0</v>
      </c>
    </row>
    <row r="74" spans="2:41" ht="16.5" thickBot="1" x14ac:dyDescent="0.3">
      <c r="B74" s="60" t="s">
        <v>27</v>
      </c>
      <c r="C74" s="439">
        <v>480</v>
      </c>
      <c r="D74" s="56">
        <v>577</v>
      </c>
      <c r="E74" s="56">
        <v>361</v>
      </c>
      <c r="F74" s="56">
        <v>249</v>
      </c>
      <c r="G74" s="56">
        <v>103</v>
      </c>
      <c r="H74" s="56">
        <v>449</v>
      </c>
      <c r="I74" s="440"/>
      <c r="J74" s="9"/>
      <c r="K74" s="433"/>
      <c r="L74" s="433"/>
      <c r="M74" s="433"/>
      <c r="N74" s="433"/>
      <c r="O74" s="433"/>
      <c r="P74" s="433"/>
      <c r="Q74" s="433"/>
      <c r="R74" s="433"/>
      <c r="S74" s="433"/>
      <c r="T74" s="196"/>
      <c r="U74" s="9"/>
      <c r="Y74" s="235" t="s">
        <v>33</v>
      </c>
      <c r="Z74" s="1">
        <f>SUM(AD74:AO74)</f>
        <v>203784</v>
      </c>
      <c r="AB74" s="1" t="s">
        <v>106</v>
      </c>
      <c r="AD74" s="1">
        <f>IF($Z$72&gt;AD73,(IF($Z$72-AE73&gt;0,(AE73-AD73)*$B$16*AD76,($Z$72-AD73)*$B$16*AD76)),0)</f>
        <v>135856</v>
      </c>
      <c r="AE74" s="1">
        <f t="shared" ref="AE74:AN74" si="36">IF($Z$72&gt;AE73,(IF($Z$72-AF73&gt;0,(AF73-AE73)*$B$16*AE76,($Z$72-AE73)*$B$16*AE76)),0)</f>
        <v>67928</v>
      </c>
      <c r="AF74" s="1">
        <f t="shared" si="36"/>
        <v>0</v>
      </c>
      <c r="AG74" s="1">
        <f t="shared" si="36"/>
        <v>0</v>
      </c>
      <c r="AH74" s="1">
        <f t="shared" si="36"/>
        <v>0</v>
      </c>
      <c r="AI74" s="1">
        <f t="shared" si="36"/>
        <v>0</v>
      </c>
      <c r="AJ74" s="1">
        <f t="shared" si="36"/>
        <v>0</v>
      </c>
      <c r="AK74" s="1">
        <f t="shared" si="36"/>
        <v>0</v>
      </c>
      <c r="AL74" s="1">
        <f t="shared" si="36"/>
        <v>0</v>
      </c>
      <c r="AM74" s="1">
        <f t="shared" si="36"/>
        <v>0</v>
      </c>
      <c r="AN74" s="1">
        <f t="shared" si="36"/>
        <v>0</v>
      </c>
    </row>
    <row r="75" spans="2:41" x14ac:dyDescent="0.2">
      <c r="H75" s="7"/>
      <c r="J75" s="9"/>
      <c r="K75" s="9"/>
      <c r="L75" s="9"/>
      <c r="M75" s="9"/>
      <c r="N75" s="9"/>
      <c r="O75" s="9"/>
      <c r="P75" s="9"/>
      <c r="Q75" s="9"/>
      <c r="R75" s="9"/>
      <c r="S75" s="9"/>
      <c r="T75" s="9"/>
      <c r="U75" s="9"/>
    </row>
    <row r="76" spans="2:41" ht="15.75" thickBot="1" x14ac:dyDescent="0.25">
      <c r="C76" s="7"/>
      <c r="D76" s="7"/>
      <c r="E76" s="7"/>
      <c r="F76" s="7"/>
      <c r="G76" s="7"/>
      <c r="H76" s="7"/>
      <c r="J76" s="9"/>
      <c r="K76" s="9"/>
      <c r="L76" s="9"/>
      <c r="M76" s="9"/>
      <c r="N76" s="9"/>
      <c r="O76" s="9"/>
      <c r="P76" s="9"/>
      <c r="Q76" s="9"/>
      <c r="R76" s="9"/>
      <c r="S76" s="9"/>
      <c r="T76" s="9"/>
      <c r="U76" s="9"/>
      <c r="AB76" s="1" t="s">
        <v>109</v>
      </c>
      <c r="AD76" s="218">
        <f t="shared" ref="AD76:AO76" si="37">AD16</f>
        <v>0.14000000000000001</v>
      </c>
      <c r="AE76" s="218">
        <f t="shared" si="37"/>
        <v>0.14000000000000001</v>
      </c>
      <c r="AF76" s="218">
        <f t="shared" si="37"/>
        <v>0</v>
      </c>
      <c r="AG76" s="218">
        <f t="shared" si="37"/>
        <v>0</v>
      </c>
      <c r="AH76" s="218">
        <f t="shared" si="37"/>
        <v>0</v>
      </c>
      <c r="AI76" s="218">
        <f t="shared" si="37"/>
        <v>0</v>
      </c>
      <c r="AJ76" s="218">
        <f t="shared" si="37"/>
        <v>0</v>
      </c>
      <c r="AK76" s="218">
        <f t="shared" si="37"/>
        <v>0</v>
      </c>
      <c r="AL76" s="218">
        <f t="shared" si="37"/>
        <v>0</v>
      </c>
      <c r="AM76" s="218">
        <f t="shared" si="37"/>
        <v>0</v>
      </c>
      <c r="AN76" s="218">
        <f t="shared" si="37"/>
        <v>0</v>
      </c>
      <c r="AO76" s="218">
        <f t="shared" si="37"/>
        <v>0</v>
      </c>
    </row>
    <row r="77" spans="2:41" ht="15.75" x14ac:dyDescent="0.25">
      <c r="B77" s="84" t="s">
        <v>31</v>
      </c>
      <c r="C77" s="1240">
        <f>Kontrollpanel!$M$47</f>
        <v>0.2</v>
      </c>
      <c r="D77" s="1239">
        <f>Kontrollpanel!$G$47</f>
        <v>0.15</v>
      </c>
      <c r="E77" s="1239">
        <f>Kontrollpanel!$M$47</f>
        <v>0.2</v>
      </c>
      <c r="F77" s="1239">
        <f>Kontrollpanel!$M$47</f>
        <v>0.2</v>
      </c>
      <c r="G77" s="1239">
        <f>Kontrollpanel!$M$47</f>
        <v>0.2</v>
      </c>
      <c r="H77" s="1239">
        <f>Kontrollpanel!$G$47</f>
        <v>0.15</v>
      </c>
      <c r="I77" s="69"/>
      <c r="J77" s="9"/>
      <c r="K77" s="152"/>
      <c r="L77" s="152"/>
      <c r="M77" s="194"/>
      <c r="N77" s="152"/>
      <c r="O77" s="152"/>
      <c r="P77" s="152"/>
      <c r="Q77" s="152"/>
      <c r="R77" s="152"/>
      <c r="S77" s="153"/>
      <c r="T77" s="152"/>
      <c r="U77" s="9"/>
    </row>
    <row r="78" spans="2:41" ht="15.75" x14ac:dyDescent="0.25">
      <c r="B78" s="70" t="s">
        <v>3</v>
      </c>
      <c r="C78" s="430">
        <f>C65*$N65*Kontrollpanel!$M$47</f>
        <v>38437.200000000004</v>
      </c>
      <c r="D78" s="430">
        <f>D65*$N65*Kontrollpanel!$G$47</f>
        <v>38437.199999999997</v>
      </c>
      <c r="E78" s="430">
        <f>E65*$N65*Kontrollpanel!$M$47</f>
        <v>36301.800000000003</v>
      </c>
      <c r="F78" s="430">
        <f>F65*$N65*Kontrollpanel!$M$47</f>
        <v>23489.4</v>
      </c>
      <c r="G78" s="430">
        <f>G65*$N65*Kontrollpanel!$M$47</f>
        <v>2135.4</v>
      </c>
      <c r="H78" s="430">
        <f>H65*$N65*Kontrollpanel!$G$47</f>
        <v>46444.95</v>
      </c>
      <c r="I78" s="443"/>
      <c r="J78" s="9"/>
      <c r="K78" s="186"/>
      <c r="L78" s="186"/>
      <c r="M78" s="186"/>
      <c r="N78" s="186"/>
      <c r="O78" s="186"/>
      <c r="P78" s="186"/>
      <c r="Q78" s="186"/>
      <c r="R78" s="186"/>
      <c r="S78" s="153"/>
      <c r="T78" s="152"/>
      <c r="U78" s="9"/>
    </row>
    <row r="79" spans="2:41" ht="15.75" x14ac:dyDescent="0.25">
      <c r="B79" s="70" t="s">
        <v>4</v>
      </c>
      <c r="C79" s="430">
        <f>C66*$N66*Kontrollpanel!$M$47</f>
        <v>0</v>
      </c>
      <c r="D79" s="430">
        <f>D66*$N66*Kontrollpanel!$G$47</f>
        <v>0</v>
      </c>
      <c r="E79" s="430">
        <f>E66*$N66*Kontrollpanel!$M$47</f>
        <v>0</v>
      </c>
      <c r="F79" s="430">
        <f>F66*$N66*Kontrollpanel!$M$47</f>
        <v>0</v>
      </c>
      <c r="G79" s="430">
        <f>G66*$N66*Kontrollpanel!$M$47</f>
        <v>0</v>
      </c>
      <c r="H79" s="430">
        <f>H66*$N66*Kontrollpanel!$G$47</f>
        <v>0</v>
      </c>
      <c r="I79" s="443"/>
      <c r="J79" s="9"/>
      <c r="K79" s="186"/>
      <c r="L79" s="186"/>
      <c r="M79" s="186"/>
      <c r="N79" s="186"/>
      <c r="O79" s="186"/>
      <c r="P79" s="186"/>
      <c r="Q79" s="186"/>
      <c r="R79" s="186"/>
      <c r="S79" s="152"/>
      <c r="T79" s="152"/>
      <c r="U79" s="9"/>
    </row>
    <row r="80" spans="2:41" ht="15.75" x14ac:dyDescent="0.25">
      <c r="B80" s="70" t="s">
        <v>5</v>
      </c>
      <c r="C80" s="430">
        <f>C67*$N67*Kontrollpanel!$M$47</f>
        <v>19376</v>
      </c>
      <c r="D80" s="430">
        <f>D67*$N67*Kontrollpanel!$G$47</f>
        <v>15570</v>
      </c>
      <c r="E80" s="430">
        <f>E67*$N67*Kontrollpanel!$M$47</f>
        <v>12732.800000000001</v>
      </c>
      <c r="F80" s="430">
        <f>F67*$N67*Kontrollpanel!$M$47</f>
        <v>10795.2</v>
      </c>
      <c r="G80" s="430">
        <f>G67*$N67*Kontrollpanel!$M$47</f>
        <v>4152</v>
      </c>
      <c r="H80" s="430">
        <f>H67*$N67*Kontrollpanel!$G$47</f>
        <v>12040.8</v>
      </c>
      <c r="I80" s="443"/>
      <c r="J80" s="9"/>
      <c r="K80" s="186"/>
      <c r="L80" s="186"/>
      <c r="M80" s="186"/>
      <c r="N80" s="186"/>
      <c r="O80" s="186"/>
      <c r="P80" s="186"/>
      <c r="Q80" s="186"/>
      <c r="R80" s="186"/>
      <c r="S80" s="153"/>
      <c r="T80" s="152"/>
      <c r="U80" s="9"/>
      <c r="Y80" s="235" t="s">
        <v>18</v>
      </c>
      <c r="Z80" s="1">
        <f>C33</f>
        <v>51</v>
      </c>
      <c r="AB80" s="1" t="s">
        <v>103</v>
      </c>
      <c r="AD80" s="1" t="str">
        <f t="shared" ref="AD80:AN80" si="38">AD20</f>
        <v>0-40</v>
      </c>
      <c r="AE80" s="1" t="str">
        <f t="shared" si="38"/>
        <v>40-60</v>
      </c>
      <c r="AF80" s="1" t="str">
        <f t="shared" si="38"/>
        <v>60-80</v>
      </c>
      <c r="AG80" s="1">
        <f t="shared" si="38"/>
        <v>0</v>
      </c>
      <c r="AH80" s="1">
        <f t="shared" si="38"/>
        <v>0</v>
      </c>
      <c r="AI80" s="1">
        <f t="shared" si="38"/>
        <v>0</v>
      </c>
      <c r="AJ80" s="1">
        <f t="shared" si="38"/>
        <v>0</v>
      </c>
      <c r="AK80" s="1">
        <f t="shared" si="38"/>
        <v>0</v>
      </c>
      <c r="AL80" s="1">
        <f t="shared" si="38"/>
        <v>0</v>
      </c>
      <c r="AM80" s="1">
        <f t="shared" si="38"/>
        <v>0</v>
      </c>
      <c r="AN80" s="1">
        <f t="shared" si="38"/>
        <v>0</v>
      </c>
    </row>
    <row r="81" spans="2:41" ht="15.75" x14ac:dyDescent="0.25">
      <c r="B81" s="70" t="s">
        <v>6</v>
      </c>
      <c r="C81" s="430">
        <f>C68*$N68*Kontrollpanel!$M$47</f>
        <v>44648.800000000003</v>
      </c>
      <c r="D81" s="430">
        <f>D68*$N68*Kontrollpanel!$G$47</f>
        <v>51214.799999999996</v>
      </c>
      <c r="E81" s="430">
        <f>E68*$N68*Kontrollpanel!$M$47</f>
        <v>51214.8</v>
      </c>
      <c r="F81" s="430">
        <f>F68*$N68*Kontrollpanel!$M$47</f>
        <v>28890.400000000001</v>
      </c>
      <c r="G81" s="430">
        <f>G68*$N68*Kontrollpanel!$M$47</f>
        <v>13132</v>
      </c>
      <c r="H81" s="430">
        <f>H68*$N68*Kontrollpanel!$G$47</f>
        <v>50229.9</v>
      </c>
      <c r="I81" s="443"/>
      <c r="J81" s="9"/>
      <c r="K81" s="186"/>
      <c r="L81" s="186"/>
      <c r="M81" s="186"/>
      <c r="N81" s="186"/>
      <c r="O81" s="186"/>
      <c r="P81" s="186"/>
      <c r="Q81" s="186"/>
      <c r="R81" s="186"/>
      <c r="S81" s="153"/>
      <c r="T81" s="152"/>
      <c r="U81" s="9"/>
      <c r="AD81" s="1">
        <f t="shared" ref="AD81:AO81" si="39">AD13</f>
        <v>0</v>
      </c>
      <c r="AE81" s="1">
        <f t="shared" si="39"/>
        <v>40</v>
      </c>
      <c r="AF81" s="1">
        <f t="shared" si="39"/>
        <v>60</v>
      </c>
      <c r="AG81" s="1">
        <f t="shared" si="39"/>
        <v>0</v>
      </c>
      <c r="AH81" s="1">
        <f t="shared" si="39"/>
        <v>0</v>
      </c>
      <c r="AI81" s="1">
        <f t="shared" si="39"/>
        <v>0</v>
      </c>
      <c r="AJ81" s="1">
        <f t="shared" si="39"/>
        <v>0</v>
      </c>
      <c r="AK81" s="1">
        <f t="shared" si="39"/>
        <v>0</v>
      </c>
      <c r="AL81" s="1">
        <f t="shared" si="39"/>
        <v>0</v>
      </c>
      <c r="AM81" s="1">
        <f t="shared" si="39"/>
        <v>0</v>
      </c>
      <c r="AN81" s="1">
        <f t="shared" si="39"/>
        <v>0</v>
      </c>
      <c r="AO81" s="1">
        <f t="shared" si="39"/>
        <v>0</v>
      </c>
    </row>
    <row r="82" spans="2:41" ht="16.5" thickBot="1" x14ac:dyDescent="0.3">
      <c r="B82" s="72" t="s">
        <v>7</v>
      </c>
      <c r="C82" s="430">
        <f>C69*$N69*Kontrollpanel!$M$47</f>
        <v>87200.400000000009</v>
      </c>
      <c r="D82" s="430">
        <f>D69*$N69*Kontrollpanel!$G$47</f>
        <v>84086.099999999991</v>
      </c>
      <c r="E82" s="430">
        <f>E69*$N69*Kontrollpanel!$M$47</f>
        <v>66438.400000000009</v>
      </c>
      <c r="F82" s="430">
        <f>F69*$N69*Kontrollpanel!$M$47</f>
        <v>45676.4</v>
      </c>
      <c r="G82" s="430">
        <f>G69*$N69*Kontrollpanel!$M$47</f>
        <v>49828.800000000003</v>
      </c>
      <c r="H82" s="430">
        <f>H69*$N69*Kontrollpanel!$G$47</f>
        <v>52943.1</v>
      </c>
      <c r="I82" s="444"/>
      <c r="J82" s="9"/>
      <c r="K82" s="186"/>
      <c r="L82" s="186"/>
      <c r="M82" s="186"/>
      <c r="N82" s="186"/>
      <c r="O82" s="186"/>
      <c r="P82" s="186"/>
      <c r="Q82" s="186"/>
      <c r="R82" s="186"/>
      <c r="S82" s="153"/>
      <c r="T82" s="152"/>
      <c r="U82" s="9"/>
      <c r="Y82" s="235" t="s">
        <v>33</v>
      </c>
      <c r="Z82" s="1">
        <f>SUM(AD82:AO82)</f>
        <v>173216.4</v>
      </c>
      <c r="AB82" s="1" t="s">
        <v>106</v>
      </c>
      <c r="AD82" s="1">
        <f>IF($Z$80&gt;AD81,(IF($Z$80-AE81&gt;0,(AE81-AD81)*$B$16*AD84,($Z$80-AD81)*$B$16*AD84)),0)</f>
        <v>135856</v>
      </c>
      <c r="AE82" s="1">
        <f t="shared" ref="AE82:AN82" si="40">IF($Z$80&gt;AE81,(IF($Z$80-AF81&gt;0,(AF81-AE81)*$B$16*AE84,($Z$80-AE81)*$B$16*AE84)),0)</f>
        <v>37360.400000000001</v>
      </c>
      <c r="AF82" s="1">
        <f t="shared" si="40"/>
        <v>0</v>
      </c>
      <c r="AG82" s="1">
        <f t="shared" si="40"/>
        <v>0</v>
      </c>
      <c r="AH82" s="1">
        <f t="shared" si="40"/>
        <v>0</v>
      </c>
      <c r="AI82" s="1">
        <f t="shared" si="40"/>
        <v>0</v>
      </c>
      <c r="AJ82" s="1">
        <f t="shared" si="40"/>
        <v>0</v>
      </c>
      <c r="AK82" s="1">
        <f t="shared" si="40"/>
        <v>0</v>
      </c>
      <c r="AL82" s="1">
        <f t="shared" si="40"/>
        <v>0</v>
      </c>
      <c r="AM82" s="1">
        <f t="shared" si="40"/>
        <v>0</v>
      </c>
      <c r="AN82" s="1">
        <f t="shared" si="40"/>
        <v>0</v>
      </c>
    </row>
    <row r="83" spans="2:41" ht="15.75" thickBot="1" x14ac:dyDescent="0.25">
      <c r="J83" s="9"/>
      <c r="K83" s="9"/>
      <c r="L83" s="9"/>
      <c r="M83" s="9"/>
      <c r="N83" s="9"/>
      <c r="O83" s="9"/>
      <c r="P83" s="9"/>
      <c r="Q83" s="9"/>
      <c r="R83" s="9"/>
      <c r="S83" s="9"/>
      <c r="T83" s="9"/>
      <c r="U83" s="9"/>
    </row>
    <row r="84" spans="2:41" ht="16.5" thickBot="1" x14ac:dyDescent="0.3">
      <c r="B84" s="411" t="s">
        <v>81</v>
      </c>
      <c r="C84" s="445">
        <f t="shared" ref="C84:H84" si="41">SUM(C78:C82)</f>
        <v>189662.40000000002</v>
      </c>
      <c r="D84" s="445">
        <f t="shared" si="41"/>
        <v>189308.09999999998</v>
      </c>
      <c r="E84" s="445">
        <f t="shared" si="41"/>
        <v>166687.80000000002</v>
      </c>
      <c r="F84" s="445">
        <f t="shared" si="41"/>
        <v>108851.40000000001</v>
      </c>
      <c r="G84" s="445">
        <f t="shared" si="41"/>
        <v>69248.200000000012</v>
      </c>
      <c r="H84" s="445">
        <f t="shared" si="41"/>
        <v>161658.75</v>
      </c>
      <c r="I84" s="446"/>
      <c r="J84" s="9"/>
      <c r="K84" s="9"/>
      <c r="L84" s="9"/>
      <c r="M84" s="9"/>
      <c r="N84" s="9"/>
      <c r="O84" s="9"/>
      <c r="P84" s="9"/>
      <c r="Q84" s="9"/>
      <c r="R84" s="9"/>
      <c r="S84" s="9"/>
      <c r="T84" s="9"/>
      <c r="U84" s="9"/>
      <c r="AB84" s="1" t="s">
        <v>109</v>
      </c>
      <c r="AD84" s="218">
        <f t="shared" ref="AD84:AO84" si="42">AD16</f>
        <v>0.14000000000000001</v>
      </c>
      <c r="AE84" s="218">
        <f t="shared" si="42"/>
        <v>0.14000000000000001</v>
      </c>
      <c r="AF84" s="218">
        <f t="shared" si="42"/>
        <v>0</v>
      </c>
      <c r="AG84" s="218">
        <f t="shared" si="42"/>
        <v>0</v>
      </c>
      <c r="AH84" s="218">
        <f t="shared" si="42"/>
        <v>0</v>
      </c>
      <c r="AI84" s="218">
        <f t="shared" si="42"/>
        <v>0</v>
      </c>
      <c r="AJ84" s="218">
        <f t="shared" si="42"/>
        <v>0</v>
      </c>
      <c r="AK84" s="218">
        <f t="shared" si="42"/>
        <v>0</v>
      </c>
      <c r="AL84" s="218">
        <f t="shared" si="42"/>
        <v>0</v>
      </c>
      <c r="AM84" s="218">
        <f t="shared" si="42"/>
        <v>0</v>
      </c>
      <c r="AN84" s="218">
        <f t="shared" si="42"/>
        <v>0</v>
      </c>
      <c r="AO84" s="218">
        <f t="shared" si="42"/>
        <v>0</v>
      </c>
    </row>
    <row r="85" spans="2:41" x14ac:dyDescent="0.2">
      <c r="J85" s="9"/>
      <c r="K85" s="9"/>
      <c r="L85" s="9"/>
      <c r="M85" s="9"/>
      <c r="N85" s="9"/>
      <c r="O85" s="9"/>
      <c r="P85" s="9"/>
      <c r="Q85" s="9"/>
      <c r="R85" s="9"/>
      <c r="S85" s="9"/>
      <c r="T85" s="9"/>
      <c r="U85" s="9"/>
    </row>
    <row r="86" spans="2:41" x14ac:dyDescent="0.2">
      <c r="C86" s="22">
        <v>170696.15999999997</v>
      </c>
      <c r="D86" s="22">
        <v>227169.71999999997</v>
      </c>
      <c r="E86" s="22">
        <v>150019.01999999999</v>
      </c>
      <c r="F86" s="22">
        <v>97966.260000000009</v>
      </c>
      <c r="G86" s="22">
        <v>62323.38</v>
      </c>
      <c r="H86" s="22">
        <v>193990.5</v>
      </c>
      <c r="J86" s="9"/>
      <c r="K86" s="9"/>
      <c r="L86" s="9"/>
      <c r="M86" s="9"/>
      <c r="N86" s="9"/>
      <c r="O86" s="9"/>
      <c r="P86" s="9"/>
      <c r="Q86" s="9"/>
      <c r="R86" s="9"/>
      <c r="S86" s="9"/>
      <c r="T86" s="9"/>
      <c r="U86" s="9"/>
    </row>
    <row r="87" spans="2:41" x14ac:dyDescent="0.2">
      <c r="J87" s="9"/>
      <c r="K87" s="9"/>
      <c r="L87" s="9"/>
      <c r="M87" s="9"/>
      <c r="N87" s="9"/>
      <c r="O87" s="9"/>
      <c r="P87" s="9"/>
      <c r="Q87" s="9"/>
      <c r="R87" s="9"/>
      <c r="S87" s="9"/>
      <c r="T87" s="9"/>
      <c r="U87" s="9"/>
    </row>
    <row r="88" spans="2:41" ht="28.5" thickBot="1" x14ac:dyDescent="0.45">
      <c r="B88" s="752" t="s">
        <v>415</v>
      </c>
      <c r="C88" s="752"/>
      <c r="D88" s="752"/>
      <c r="E88" s="752"/>
      <c r="F88" s="752"/>
      <c r="J88" s="9"/>
      <c r="K88" s="9"/>
      <c r="L88" s="9"/>
      <c r="M88" s="9"/>
      <c r="N88" s="9"/>
      <c r="O88" s="9"/>
      <c r="P88" s="9"/>
      <c r="Q88" s="9"/>
      <c r="R88" s="9"/>
      <c r="S88" s="9"/>
      <c r="T88" s="9"/>
      <c r="U88" s="9"/>
    </row>
    <row r="89" spans="2:41" ht="16.5" thickTop="1" x14ac:dyDescent="0.25">
      <c r="J89" s="9"/>
      <c r="K89" s="9"/>
      <c r="L89" s="43" t="s">
        <v>0</v>
      </c>
      <c r="M89" s="39"/>
      <c r="N89" s="47" t="s">
        <v>1</v>
      </c>
      <c r="O89" s="9"/>
      <c r="P89" s="9"/>
      <c r="Q89" s="9"/>
      <c r="R89" s="9"/>
      <c r="S89" s="9"/>
      <c r="T89" s="9"/>
      <c r="U89" s="9"/>
    </row>
    <row r="90" spans="2:41" ht="15.75" x14ac:dyDescent="0.25">
      <c r="B90" s="1" t="s">
        <v>660</v>
      </c>
      <c r="C90" s="1" t="s">
        <v>659</v>
      </c>
      <c r="J90" s="9"/>
      <c r="K90" s="9"/>
      <c r="L90" s="40"/>
      <c r="M90" s="38"/>
      <c r="N90" s="41"/>
      <c r="O90" s="9"/>
      <c r="P90" s="9"/>
      <c r="Q90" s="9"/>
      <c r="R90" s="9"/>
      <c r="S90" s="9"/>
      <c r="T90" s="9"/>
      <c r="U90" s="9"/>
    </row>
    <row r="91" spans="2:41" ht="16.5" thickBot="1" x14ac:dyDescent="0.3">
      <c r="B91" s="218">
        <f>Kontrollpanel!G50</f>
        <v>0</v>
      </c>
      <c r="C91" s="218">
        <f>Kontrollpanel!M50</f>
        <v>0</v>
      </c>
      <c r="J91" s="9"/>
      <c r="K91" s="9"/>
      <c r="L91" s="40" t="s">
        <v>417</v>
      </c>
      <c r="M91" s="38"/>
      <c r="N91" s="48">
        <f>'6. Övriga delar'!G117</f>
        <v>150</v>
      </c>
      <c r="O91" s="9"/>
      <c r="P91" s="9"/>
      <c r="Q91" s="9"/>
      <c r="R91" s="9"/>
      <c r="S91" s="9"/>
      <c r="T91" s="9"/>
      <c r="U91" s="9"/>
    </row>
    <row r="92" spans="2:41" ht="15.75" x14ac:dyDescent="0.25">
      <c r="B92" s="84" t="s">
        <v>419</v>
      </c>
      <c r="C92" s="441"/>
      <c r="D92" s="442"/>
      <c r="E92" s="442"/>
      <c r="F92" s="442"/>
      <c r="G92" s="442"/>
      <c r="H92" s="442"/>
      <c r="I92" s="69"/>
      <c r="J92" s="9"/>
      <c r="K92" s="9"/>
      <c r="L92" s="40" t="s">
        <v>418</v>
      </c>
      <c r="M92" s="38"/>
      <c r="N92" s="48"/>
      <c r="O92" s="9"/>
      <c r="P92" s="9"/>
      <c r="Q92" s="9"/>
      <c r="R92" s="9"/>
      <c r="S92" s="9"/>
      <c r="T92" s="9"/>
      <c r="U92" s="9"/>
      <c r="Y92" s="235" t="s">
        <v>13</v>
      </c>
      <c r="Z92" s="1">
        <f>C34</f>
        <v>173</v>
      </c>
      <c r="AB92" s="1" t="s">
        <v>103</v>
      </c>
      <c r="AD92" s="1" t="str">
        <f t="shared" ref="AD92:AN92" si="43">AD20</f>
        <v>0-40</v>
      </c>
      <c r="AE92" s="1" t="str">
        <f t="shared" si="43"/>
        <v>40-60</v>
      </c>
      <c r="AF92" s="1" t="str">
        <f t="shared" si="43"/>
        <v>60-80</v>
      </c>
      <c r="AG92" s="1">
        <f t="shared" si="43"/>
        <v>0</v>
      </c>
      <c r="AH92" s="1">
        <f t="shared" si="43"/>
        <v>0</v>
      </c>
      <c r="AI92" s="1">
        <f t="shared" si="43"/>
        <v>0</v>
      </c>
      <c r="AJ92" s="1">
        <f t="shared" si="43"/>
        <v>0</v>
      </c>
      <c r="AK92" s="1">
        <f t="shared" si="43"/>
        <v>0</v>
      </c>
      <c r="AL92" s="1">
        <f t="shared" si="43"/>
        <v>0</v>
      </c>
      <c r="AM92" s="1">
        <f t="shared" si="43"/>
        <v>0</v>
      </c>
      <c r="AN92" s="1">
        <f t="shared" si="43"/>
        <v>0</v>
      </c>
    </row>
    <row r="93" spans="2:41" ht="15.75" x14ac:dyDescent="0.25">
      <c r="B93" s="70"/>
      <c r="C93" s="430"/>
      <c r="D93" s="754"/>
      <c r="E93" s="754"/>
      <c r="F93" s="754"/>
      <c r="G93" s="754"/>
      <c r="H93" s="754"/>
      <c r="I93" s="443"/>
      <c r="J93" s="9"/>
      <c r="K93" s="9"/>
      <c r="L93" s="40"/>
      <c r="M93" s="38"/>
      <c r="N93" s="48"/>
      <c r="O93" s="9"/>
      <c r="P93" s="9"/>
      <c r="Q93" s="9"/>
      <c r="R93" s="9"/>
      <c r="S93" s="9"/>
      <c r="T93" s="9"/>
      <c r="U93" s="9"/>
      <c r="AD93" s="1">
        <f t="shared" ref="AD93:AO93" si="44">AD13</f>
        <v>0</v>
      </c>
      <c r="AE93" s="1">
        <f t="shared" si="44"/>
        <v>40</v>
      </c>
      <c r="AF93" s="1">
        <f t="shared" si="44"/>
        <v>60</v>
      </c>
      <c r="AG93" s="1">
        <f t="shared" si="44"/>
        <v>0</v>
      </c>
      <c r="AH93" s="1">
        <f t="shared" si="44"/>
        <v>0</v>
      </c>
      <c r="AI93" s="1">
        <f t="shared" si="44"/>
        <v>0</v>
      </c>
      <c r="AJ93" s="1">
        <f t="shared" si="44"/>
        <v>0</v>
      </c>
      <c r="AK93" s="1">
        <f t="shared" si="44"/>
        <v>0</v>
      </c>
      <c r="AL93" s="1">
        <f t="shared" si="44"/>
        <v>0</v>
      </c>
      <c r="AM93" s="1">
        <f t="shared" si="44"/>
        <v>0</v>
      </c>
      <c r="AN93" s="1">
        <f t="shared" si="44"/>
        <v>0</v>
      </c>
      <c r="AO93" s="1">
        <f t="shared" si="44"/>
        <v>0</v>
      </c>
    </row>
    <row r="94" spans="2:41" ht="15.75" x14ac:dyDescent="0.25">
      <c r="B94" s="756" t="s">
        <v>420</v>
      </c>
      <c r="C94" s="430">
        <f>N91*B91</f>
        <v>0</v>
      </c>
      <c r="D94" s="430">
        <f>N91*C91</f>
        <v>0</v>
      </c>
      <c r="E94" s="754"/>
      <c r="F94" s="754"/>
      <c r="G94" s="754"/>
      <c r="H94" s="754"/>
      <c r="I94" s="443"/>
      <c r="J94" s="9"/>
      <c r="K94" s="9"/>
      <c r="L94" s="40"/>
      <c r="M94" s="38"/>
      <c r="N94" s="48"/>
      <c r="O94" s="9"/>
      <c r="P94" s="9"/>
      <c r="Q94" s="9"/>
      <c r="R94" s="9"/>
      <c r="S94" s="9"/>
      <c r="T94" s="9"/>
      <c r="U94" s="9"/>
      <c r="Y94" s="235" t="s">
        <v>33</v>
      </c>
      <c r="Z94" s="1">
        <f>SUM(AD94:AO94)</f>
        <v>203784</v>
      </c>
      <c r="AB94" s="1" t="s">
        <v>106</v>
      </c>
      <c r="AD94" s="1">
        <f t="shared" ref="AD94:AN94" si="45">IF($Z$92&gt;AD93,(IF($Z$92-AE93&gt;0,(AE93-AD93)*$B$16*AD96,($Z$92-AD93)*$B$16*AD96)),0)</f>
        <v>135856</v>
      </c>
      <c r="AE94" s="1">
        <f t="shared" si="45"/>
        <v>67928</v>
      </c>
      <c r="AF94" s="1">
        <f t="shared" si="45"/>
        <v>0</v>
      </c>
      <c r="AG94" s="1">
        <f t="shared" si="45"/>
        <v>0</v>
      </c>
      <c r="AH94" s="1">
        <f t="shared" si="45"/>
        <v>0</v>
      </c>
      <c r="AI94" s="1">
        <f t="shared" si="45"/>
        <v>0</v>
      </c>
      <c r="AJ94" s="1">
        <f t="shared" si="45"/>
        <v>0</v>
      </c>
      <c r="AK94" s="1">
        <f t="shared" si="45"/>
        <v>0</v>
      </c>
      <c r="AL94" s="1">
        <f t="shared" si="45"/>
        <v>0</v>
      </c>
      <c r="AM94" s="1">
        <f t="shared" si="45"/>
        <v>0</v>
      </c>
      <c r="AN94" s="1">
        <f t="shared" si="45"/>
        <v>0</v>
      </c>
    </row>
    <row r="95" spans="2:41" ht="16.5" thickBot="1" x14ac:dyDescent="0.3">
      <c r="B95" s="70"/>
      <c r="C95" s="430"/>
      <c r="D95" s="754"/>
      <c r="E95" s="754"/>
      <c r="F95" s="754"/>
      <c r="G95" s="754"/>
      <c r="H95" s="754"/>
      <c r="I95" s="443"/>
      <c r="J95" s="9"/>
      <c r="K95" s="9"/>
      <c r="L95" s="42"/>
      <c r="M95" s="44"/>
      <c r="N95" s="49"/>
      <c r="O95" s="9"/>
      <c r="P95" s="9"/>
      <c r="Q95" s="9"/>
      <c r="R95" s="9"/>
      <c r="S95" s="9"/>
      <c r="T95" s="9"/>
      <c r="U95" s="9"/>
    </row>
    <row r="96" spans="2:41" ht="15.75" x14ac:dyDescent="0.25">
      <c r="B96" s="70"/>
      <c r="C96" s="430"/>
      <c r="D96" s="754"/>
      <c r="E96" s="754"/>
      <c r="F96" s="754"/>
      <c r="G96" s="754"/>
      <c r="H96" s="754"/>
      <c r="I96" s="443"/>
      <c r="J96" s="9"/>
      <c r="K96" s="9"/>
      <c r="L96" s="9"/>
      <c r="M96" s="9"/>
      <c r="N96" s="9"/>
      <c r="O96" s="9"/>
      <c r="P96" s="9"/>
      <c r="Q96" s="9"/>
      <c r="R96" s="9"/>
      <c r="S96" s="9"/>
      <c r="T96" s="9"/>
      <c r="U96" s="9"/>
      <c r="AB96" s="1" t="s">
        <v>109</v>
      </c>
      <c r="AD96" s="218">
        <f t="shared" ref="AD96:AO96" si="46">AD16</f>
        <v>0.14000000000000001</v>
      </c>
      <c r="AE96" s="218">
        <f t="shared" si="46"/>
        <v>0.14000000000000001</v>
      </c>
      <c r="AF96" s="218">
        <f t="shared" si="46"/>
        <v>0</v>
      </c>
      <c r="AG96" s="218">
        <f t="shared" si="46"/>
        <v>0</v>
      </c>
      <c r="AH96" s="218">
        <f t="shared" si="46"/>
        <v>0</v>
      </c>
      <c r="AI96" s="218">
        <f t="shared" si="46"/>
        <v>0</v>
      </c>
      <c r="AJ96" s="218">
        <f t="shared" si="46"/>
        <v>0</v>
      </c>
      <c r="AK96" s="218">
        <f t="shared" si="46"/>
        <v>0</v>
      </c>
      <c r="AL96" s="218">
        <f t="shared" si="46"/>
        <v>0</v>
      </c>
      <c r="AM96" s="218">
        <f t="shared" si="46"/>
        <v>0</v>
      </c>
      <c r="AN96" s="218">
        <f t="shared" si="46"/>
        <v>0</v>
      </c>
      <c r="AO96" s="218">
        <f t="shared" si="46"/>
        <v>0</v>
      </c>
    </row>
    <row r="97" spans="2:41" ht="16.5" thickBot="1" x14ac:dyDescent="0.3">
      <c r="B97" s="72"/>
      <c r="C97" s="431"/>
      <c r="D97" s="755"/>
      <c r="E97" s="755"/>
      <c r="F97" s="755"/>
      <c r="G97" s="755"/>
      <c r="H97" s="755"/>
      <c r="I97" s="444"/>
      <c r="J97" s="9"/>
      <c r="K97" s="9"/>
      <c r="L97" s="9"/>
      <c r="M97" s="9"/>
      <c r="N97" s="9"/>
      <c r="O97" s="9"/>
      <c r="P97" s="9"/>
      <c r="Q97" s="9"/>
      <c r="R97" s="9"/>
      <c r="S97" s="9"/>
      <c r="T97" s="9"/>
      <c r="U97" s="9"/>
    </row>
    <row r="98" spans="2:41" ht="15.75" thickBot="1" x14ac:dyDescent="0.25"/>
    <row r="99" spans="2:41" ht="16.5" thickBot="1" x14ac:dyDescent="0.3">
      <c r="B99" s="411" t="s">
        <v>81</v>
      </c>
      <c r="C99" s="445">
        <f>$D$94*C74</f>
        <v>0</v>
      </c>
      <c r="D99" s="445">
        <f t="shared" ref="D99:H99" si="47">$C$94*D74</f>
        <v>0</v>
      </c>
      <c r="E99" s="445">
        <f>$D$94*E74</f>
        <v>0</v>
      </c>
      <c r="F99" s="445">
        <f>$D$94*F74</f>
        <v>0</v>
      </c>
      <c r="G99" s="445">
        <f>$D$94*G74</f>
        <v>0</v>
      </c>
      <c r="H99" s="445">
        <f t="shared" si="47"/>
        <v>0</v>
      </c>
      <c r="I99" s="446"/>
    </row>
    <row r="100" spans="2:41" x14ac:dyDescent="0.2">
      <c r="Y100" s="235" t="s">
        <v>17</v>
      </c>
      <c r="Z100" s="1">
        <f>C35</f>
        <v>275</v>
      </c>
      <c r="AB100" s="1" t="s">
        <v>103</v>
      </c>
      <c r="AD100" s="1" t="str">
        <f t="shared" ref="AD100:AN100" si="48">AD20</f>
        <v>0-40</v>
      </c>
      <c r="AE100" s="1" t="str">
        <f t="shared" si="48"/>
        <v>40-60</v>
      </c>
      <c r="AF100" s="1" t="str">
        <f t="shared" si="48"/>
        <v>60-80</v>
      </c>
      <c r="AG100" s="1">
        <f t="shared" si="48"/>
        <v>0</v>
      </c>
      <c r="AH100" s="1">
        <f t="shared" si="48"/>
        <v>0</v>
      </c>
      <c r="AI100" s="1">
        <f t="shared" si="48"/>
        <v>0</v>
      </c>
      <c r="AJ100" s="1">
        <f t="shared" si="48"/>
        <v>0</v>
      </c>
      <c r="AK100" s="1">
        <f t="shared" si="48"/>
        <v>0</v>
      </c>
      <c r="AL100" s="1">
        <f t="shared" si="48"/>
        <v>0</v>
      </c>
      <c r="AM100" s="1">
        <f t="shared" si="48"/>
        <v>0</v>
      </c>
      <c r="AN100" s="1">
        <f t="shared" si="48"/>
        <v>0</v>
      </c>
    </row>
    <row r="101" spans="2:41" x14ac:dyDescent="0.2">
      <c r="AD101" s="1">
        <f t="shared" ref="AD101:AO101" si="49">AD13</f>
        <v>0</v>
      </c>
      <c r="AE101" s="1">
        <f t="shared" si="49"/>
        <v>40</v>
      </c>
      <c r="AF101" s="1">
        <f t="shared" si="49"/>
        <v>60</v>
      </c>
      <c r="AG101" s="1">
        <f t="shared" si="49"/>
        <v>0</v>
      </c>
      <c r="AH101" s="1">
        <f t="shared" si="49"/>
        <v>0</v>
      </c>
      <c r="AI101" s="1">
        <f t="shared" si="49"/>
        <v>0</v>
      </c>
      <c r="AJ101" s="1">
        <f t="shared" si="49"/>
        <v>0</v>
      </c>
      <c r="AK101" s="1">
        <f t="shared" si="49"/>
        <v>0</v>
      </c>
      <c r="AL101" s="1">
        <f t="shared" si="49"/>
        <v>0</v>
      </c>
      <c r="AM101" s="1">
        <f t="shared" si="49"/>
        <v>0</v>
      </c>
      <c r="AN101" s="1">
        <f t="shared" si="49"/>
        <v>0</v>
      </c>
      <c r="AO101" s="1">
        <f t="shared" si="49"/>
        <v>0</v>
      </c>
    </row>
    <row r="102" spans="2:41" x14ac:dyDescent="0.2">
      <c r="Y102" s="235" t="s">
        <v>33</v>
      </c>
      <c r="Z102" s="1">
        <f>SUM(AD102:AO102)</f>
        <v>203784</v>
      </c>
      <c r="AB102" s="1" t="s">
        <v>106</v>
      </c>
      <c r="AD102" s="1">
        <f t="shared" ref="AD102:AN102" si="50">IF($Z$100&gt;AD101,(IF($Z$100-AE101&gt;0,(AE101-AD101)*$B$16*AD104,($Z$100-AD101)*$B$16*AD104)),0)</f>
        <v>135856</v>
      </c>
      <c r="AE102" s="1">
        <f t="shared" si="50"/>
        <v>67928</v>
      </c>
      <c r="AF102" s="1">
        <f t="shared" si="50"/>
        <v>0</v>
      </c>
      <c r="AG102" s="1">
        <f t="shared" si="50"/>
        <v>0</v>
      </c>
      <c r="AH102" s="1">
        <f t="shared" si="50"/>
        <v>0</v>
      </c>
      <c r="AI102" s="1">
        <f t="shared" si="50"/>
        <v>0</v>
      </c>
      <c r="AJ102" s="1">
        <f t="shared" si="50"/>
        <v>0</v>
      </c>
      <c r="AK102" s="1">
        <f t="shared" si="50"/>
        <v>0</v>
      </c>
      <c r="AL102" s="1">
        <f t="shared" si="50"/>
        <v>0</v>
      </c>
      <c r="AM102" s="1">
        <f t="shared" si="50"/>
        <v>0</v>
      </c>
      <c r="AN102" s="1">
        <f t="shared" si="50"/>
        <v>0</v>
      </c>
    </row>
    <row r="104" spans="2:41" ht="15.75" thickBot="1" x14ac:dyDescent="0.25">
      <c r="H104" s="22"/>
      <c r="I104" s="22"/>
      <c r="J104" s="22"/>
      <c r="K104" s="22"/>
      <c r="L104" s="22"/>
      <c r="M104" s="22"/>
      <c r="N104" s="22"/>
      <c r="O104" s="22"/>
      <c r="P104" s="22"/>
      <c r="Q104" s="22"/>
      <c r="R104" s="22"/>
      <c r="S104" s="22"/>
      <c r="T104" s="22"/>
      <c r="U104" s="22"/>
      <c r="V104" s="22"/>
      <c r="W104" s="22"/>
      <c r="AB104" s="1" t="s">
        <v>109</v>
      </c>
      <c r="AD104" s="218">
        <f t="shared" ref="AD104:AO104" si="51">AD16</f>
        <v>0.14000000000000001</v>
      </c>
      <c r="AE104" s="218">
        <f t="shared" si="51"/>
        <v>0.14000000000000001</v>
      </c>
      <c r="AF104" s="218">
        <f t="shared" si="51"/>
        <v>0</v>
      </c>
      <c r="AG104" s="218">
        <f t="shared" si="51"/>
        <v>0</v>
      </c>
      <c r="AH104" s="218">
        <f t="shared" si="51"/>
        <v>0</v>
      </c>
      <c r="AI104" s="218">
        <f t="shared" si="51"/>
        <v>0</v>
      </c>
      <c r="AJ104" s="218">
        <f t="shared" si="51"/>
        <v>0</v>
      </c>
      <c r="AK104" s="218">
        <f t="shared" si="51"/>
        <v>0</v>
      </c>
      <c r="AL104" s="218">
        <f t="shared" si="51"/>
        <v>0</v>
      </c>
      <c r="AM104" s="218">
        <f t="shared" si="51"/>
        <v>0</v>
      </c>
      <c r="AN104" s="218">
        <f t="shared" si="51"/>
        <v>0</v>
      </c>
      <c r="AO104" s="218">
        <f t="shared" si="51"/>
        <v>0</v>
      </c>
    </row>
    <row r="105" spans="2:41" ht="23.25" x14ac:dyDescent="0.35">
      <c r="F105" s="447" t="s">
        <v>8</v>
      </c>
      <c r="G105" s="448"/>
      <c r="H105" s="448"/>
      <c r="I105" s="448" t="s">
        <v>11</v>
      </c>
      <c r="J105" s="448"/>
      <c r="K105" s="448"/>
      <c r="L105" s="448"/>
      <c r="M105" s="448" t="s">
        <v>15</v>
      </c>
      <c r="N105" s="448" t="s">
        <v>16</v>
      </c>
      <c r="O105" s="448"/>
      <c r="P105" s="448"/>
      <c r="Q105" s="448"/>
      <c r="R105" s="448" t="s">
        <v>20</v>
      </c>
      <c r="S105" s="448"/>
      <c r="T105" s="448" t="s">
        <v>22</v>
      </c>
      <c r="U105" s="449"/>
      <c r="V105" s="22"/>
      <c r="W105" s="22"/>
    </row>
    <row r="106" spans="2:41" ht="23.25" x14ac:dyDescent="0.35">
      <c r="F106" s="450">
        <f>I36+C84+C99</f>
        <v>391246.7</v>
      </c>
      <c r="G106" s="451"/>
      <c r="H106" s="451"/>
      <c r="I106" s="451">
        <f>I37+D84+D99</f>
        <v>367430.1</v>
      </c>
      <c r="J106" s="451"/>
      <c r="K106" s="451"/>
      <c r="L106" s="451"/>
      <c r="M106" s="451">
        <f>I39+E84+E99</f>
        <v>318798</v>
      </c>
      <c r="N106" s="451">
        <f>I41+F84+F99</f>
        <v>247133.40000000002</v>
      </c>
      <c r="O106" s="451"/>
      <c r="P106" s="451"/>
      <c r="Q106" s="451"/>
      <c r="R106" s="451">
        <f>I40+G84+G99</f>
        <v>106123.40000000001</v>
      </c>
      <c r="S106" s="451"/>
      <c r="T106" s="451">
        <f>I38+H84+H99</f>
        <v>305967.95</v>
      </c>
      <c r="U106" s="452"/>
      <c r="V106" s="22"/>
      <c r="W106" s="22"/>
    </row>
    <row r="107" spans="2:41" ht="24" thickBot="1" x14ac:dyDescent="0.4">
      <c r="F107" s="453"/>
      <c r="G107" s="454"/>
      <c r="H107" s="454"/>
      <c r="I107" s="454"/>
      <c r="J107" s="454"/>
      <c r="K107" s="454"/>
      <c r="L107" s="454"/>
      <c r="M107" s="454"/>
      <c r="N107" s="454"/>
      <c r="O107" s="454"/>
      <c r="P107" s="454"/>
      <c r="Q107" s="454"/>
      <c r="R107" s="454"/>
      <c r="S107" s="454"/>
      <c r="T107" s="454"/>
      <c r="U107" s="455"/>
      <c r="Y107" s="235" t="s">
        <v>19</v>
      </c>
      <c r="Z107" s="1">
        <f>C36</f>
        <v>208</v>
      </c>
      <c r="AB107" s="1" t="s">
        <v>103</v>
      </c>
      <c r="AD107" s="1" t="str">
        <f t="shared" ref="AD107:AN107" si="52">AD20</f>
        <v>0-40</v>
      </c>
      <c r="AE107" s="1" t="str">
        <f t="shared" si="52"/>
        <v>40-60</v>
      </c>
      <c r="AF107" s="1" t="str">
        <f t="shared" si="52"/>
        <v>60-80</v>
      </c>
      <c r="AG107" s="1">
        <f t="shared" si="52"/>
        <v>0</v>
      </c>
      <c r="AH107" s="1">
        <f t="shared" si="52"/>
        <v>0</v>
      </c>
      <c r="AI107" s="1">
        <f t="shared" si="52"/>
        <v>0</v>
      </c>
      <c r="AJ107" s="1">
        <f t="shared" si="52"/>
        <v>0</v>
      </c>
      <c r="AK107" s="1">
        <f t="shared" si="52"/>
        <v>0</v>
      </c>
      <c r="AL107" s="1">
        <f t="shared" si="52"/>
        <v>0</v>
      </c>
      <c r="AM107" s="1">
        <f t="shared" si="52"/>
        <v>0</v>
      </c>
      <c r="AN107" s="1">
        <f t="shared" si="52"/>
        <v>0</v>
      </c>
    </row>
    <row r="108" spans="2:41" x14ac:dyDescent="0.2">
      <c r="H108" s="22"/>
      <c r="I108" s="22"/>
      <c r="J108" s="22"/>
      <c r="K108" s="22"/>
      <c r="L108" s="22"/>
      <c r="M108" s="22"/>
      <c r="N108" s="22"/>
      <c r="O108" s="22"/>
      <c r="P108" s="22"/>
      <c r="Q108" s="22"/>
      <c r="R108" s="22"/>
      <c r="S108" s="22"/>
      <c r="T108" s="22"/>
      <c r="U108" s="22"/>
      <c r="V108" s="22"/>
      <c r="W108" s="22"/>
      <c r="AD108" s="1">
        <f t="shared" ref="AD108:AO108" si="53">AD13</f>
        <v>0</v>
      </c>
      <c r="AE108" s="1">
        <f t="shared" si="53"/>
        <v>40</v>
      </c>
      <c r="AF108" s="1">
        <f t="shared" si="53"/>
        <v>60</v>
      </c>
      <c r="AG108" s="1">
        <f t="shared" si="53"/>
        <v>0</v>
      </c>
      <c r="AH108" s="1">
        <f t="shared" si="53"/>
        <v>0</v>
      </c>
      <c r="AI108" s="1">
        <f t="shared" si="53"/>
        <v>0</v>
      </c>
      <c r="AJ108" s="1">
        <f t="shared" si="53"/>
        <v>0</v>
      </c>
      <c r="AK108" s="1">
        <f t="shared" si="53"/>
        <v>0</v>
      </c>
      <c r="AL108" s="1">
        <f t="shared" si="53"/>
        <v>0</v>
      </c>
      <c r="AM108" s="1">
        <f t="shared" si="53"/>
        <v>0</v>
      </c>
      <c r="AN108" s="1">
        <f t="shared" si="53"/>
        <v>0</v>
      </c>
      <c r="AO108" s="1">
        <f t="shared" si="53"/>
        <v>0</v>
      </c>
    </row>
    <row r="109" spans="2:41" x14ac:dyDescent="0.2">
      <c r="Y109" s="235" t="s">
        <v>33</v>
      </c>
      <c r="Z109" s="1">
        <f>SUM(AD109:AO109)</f>
        <v>203784</v>
      </c>
      <c r="AB109" s="1" t="s">
        <v>106</v>
      </c>
      <c r="AD109" s="1">
        <f t="shared" ref="AD109:AN109" si="54">IF($Z$107&gt;AD108,(IF($Z$107-AE108&gt;0,(AE108-AD108)*$B$16*AD111,($Z$107-AD108)*$B$16*AD111)),0)</f>
        <v>135856</v>
      </c>
      <c r="AE109" s="1">
        <f t="shared" si="54"/>
        <v>67928</v>
      </c>
      <c r="AF109" s="1">
        <f t="shared" si="54"/>
        <v>0</v>
      </c>
      <c r="AG109" s="1">
        <f t="shared" si="54"/>
        <v>0</v>
      </c>
      <c r="AH109" s="1">
        <f t="shared" si="54"/>
        <v>0</v>
      </c>
      <c r="AI109" s="1">
        <f t="shared" si="54"/>
        <v>0</v>
      </c>
      <c r="AJ109" s="1">
        <f t="shared" si="54"/>
        <v>0</v>
      </c>
      <c r="AK109" s="1">
        <f t="shared" si="54"/>
        <v>0</v>
      </c>
      <c r="AL109" s="1">
        <f t="shared" si="54"/>
        <v>0</v>
      </c>
      <c r="AM109" s="1">
        <f t="shared" si="54"/>
        <v>0</v>
      </c>
      <c r="AN109" s="1">
        <f t="shared" si="54"/>
        <v>0</v>
      </c>
    </row>
    <row r="111" spans="2:41" x14ac:dyDescent="0.2">
      <c r="AB111" s="1" t="s">
        <v>109</v>
      </c>
      <c r="AD111" s="218">
        <f t="shared" ref="AD111:AO111" si="55">AD16</f>
        <v>0.14000000000000001</v>
      </c>
      <c r="AE111" s="218">
        <f t="shared" si="55"/>
        <v>0.14000000000000001</v>
      </c>
      <c r="AF111" s="218">
        <f t="shared" si="55"/>
        <v>0</v>
      </c>
      <c r="AG111" s="218">
        <f t="shared" si="55"/>
        <v>0</v>
      </c>
      <c r="AH111" s="218">
        <f t="shared" si="55"/>
        <v>0</v>
      </c>
      <c r="AI111" s="218">
        <f t="shared" si="55"/>
        <v>0</v>
      </c>
      <c r="AJ111" s="218">
        <f t="shared" si="55"/>
        <v>0</v>
      </c>
      <c r="AK111" s="218">
        <f t="shared" si="55"/>
        <v>0</v>
      </c>
      <c r="AL111" s="218">
        <f t="shared" si="55"/>
        <v>0</v>
      </c>
      <c r="AM111" s="218">
        <f t="shared" si="55"/>
        <v>0</v>
      </c>
      <c r="AN111" s="218">
        <f t="shared" si="55"/>
        <v>0</v>
      </c>
      <c r="AO111" s="218">
        <f t="shared" si="55"/>
        <v>0</v>
      </c>
    </row>
    <row r="115" spans="7:41" x14ac:dyDescent="0.2">
      <c r="H115" s="22"/>
      <c r="Y115" s="235" t="s">
        <v>10</v>
      </c>
      <c r="Z115" s="1">
        <f>C37</f>
        <v>318</v>
      </c>
      <c r="AB115" s="1" t="s">
        <v>103</v>
      </c>
      <c r="AD115" s="1" t="str">
        <f t="shared" ref="AD115:AN115" si="56">AD20</f>
        <v>0-40</v>
      </c>
      <c r="AE115" s="1" t="str">
        <f t="shared" si="56"/>
        <v>40-60</v>
      </c>
      <c r="AF115" s="1" t="str">
        <f t="shared" si="56"/>
        <v>60-80</v>
      </c>
      <c r="AG115" s="1">
        <f t="shared" si="56"/>
        <v>0</v>
      </c>
      <c r="AH115" s="1">
        <f t="shared" si="56"/>
        <v>0</v>
      </c>
      <c r="AI115" s="1">
        <f t="shared" si="56"/>
        <v>0</v>
      </c>
      <c r="AJ115" s="1">
        <f t="shared" si="56"/>
        <v>0</v>
      </c>
      <c r="AK115" s="1">
        <f t="shared" si="56"/>
        <v>0</v>
      </c>
      <c r="AL115" s="1">
        <f t="shared" si="56"/>
        <v>0</v>
      </c>
      <c r="AM115" s="1">
        <f t="shared" si="56"/>
        <v>0</v>
      </c>
      <c r="AN115" s="1">
        <f t="shared" si="56"/>
        <v>0</v>
      </c>
    </row>
    <row r="116" spans="7:41" x14ac:dyDescent="0.2">
      <c r="AD116" s="1">
        <f t="shared" ref="AD116:AO116" si="57">AD13</f>
        <v>0</v>
      </c>
      <c r="AE116" s="1">
        <f t="shared" si="57"/>
        <v>40</v>
      </c>
      <c r="AF116" s="1">
        <f t="shared" si="57"/>
        <v>60</v>
      </c>
      <c r="AG116" s="1">
        <f t="shared" si="57"/>
        <v>0</v>
      </c>
      <c r="AH116" s="1">
        <f t="shared" si="57"/>
        <v>0</v>
      </c>
      <c r="AI116" s="1">
        <f t="shared" si="57"/>
        <v>0</v>
      </c>
      <c r="AJ116" s="1">
        <f t="shared" si="57"/>
        <v>0</v>
      </c>
      <c r="AK116" s="1">
        <f t="shared" si="57"/>
        <v>0</v>
      </c>
      <c r="AL116" s="1">
        <f t="shared" si="57"/>
        <v>0</v>
      </c>
      <c r="AM116" s="1">
        <f t="shared" si="57"/>
        <v>0</v>
      </c>
      <c r="AN116" s="1">
        <f t="shared" si="57"/>
        <v>0</v>
      </c>
      <c r="AO116" s="1">
        <f t="shared" si="57"/>
        <v>0</v>
      </c>
    </row>
    <row r="117" spans="7:41" x14ac:dyDescent="0.2">
      <c r="Y117" s="235" t="s">
        <v>33</v>
      </c>
      <c r="Z117" s="1">
        <f>SUM(AD117:AO117)</f>
        <v>203784</v>
      </c>
      <c r="AB117" s="1" t="s">
        <v>106</v>
      </c>
      <c r="AD117" s="1">
        <f t="shared" ref="AD117:AN117" si="58">IF($Z$115&gt;AD116,(IF($Z$115-AE116&gt;0,(AE116-AD116)*$B$16*AD119,($Z$115-AD116)*$B$16*AD119)),0)</f>
        <v>135856</v>
      </c>
      <c r="AE117" s="1">
        <f t="shared" si="58"/>
        <v>67928</v>
      </c>
      <c r="AF117" s="1">
        <f t="shared" si="58"/>
        <v>0</v>
      </c>
      <c r="AG117" s="1">
        <f t="shared" si="58"/>
        <v>0</v>
      </c>
      <c r="AH117" s="1">
        <f t="shared" si="58"/>
        <v>0</v>
      </c>
      <c r="AI117" s="1">
        <f t="shared" si="58"/>
        <v>0</v>
      </c>
      <c r="AJ117" s="1">
        <f t="shared" si="58"/>
        <v>0</v>
      </c>
      <c r="AK117" s="1">
        <f t="shared" si="58"/>
        <v>0</v>
      </c>
      <c r="AL117" s="1">
        <f t="shared" si="58"/>
        <v>0</v>
      </c>
      <c r="AM117" s="1">
        <f t="shared" si="58"/>
        <v>0</v>
      </c>
      <c r="AN117" s="1">
        <f t="shared" si="58"/>
        <v>0</v>
      </c>
    </row>
    <row r="119" spans="7:41" x14ac:dyDescent="0.2">
      <c r="AB119" s="1" t="s">
        <v>109</v>
      </c>
      <c r="AD119" s="218">
        <f t="shared" ref="AD119:AO119" si="59">AD16</f>
        <v>0.14000000000000001</v>
      </c>
      <c r="AE119" s="218">
        <f t="shared" si="59"/>
        <v>0.14000000000000001</v>
      </c>
      <c r="AF119" s="218">
        <f t="shared" si="59"/>
        <v>0</v>
      </c>
      <c r="AG119" s="218">
        <f t="shared" si="59"/>
        <v>0</v>
      </c>
      <c r="AH119" s="218">
        <f t="shared" si="59"/>
        <v>0</v>
      </c>
      <c r="AI119" s="218">
        <f t="shared" si="59"/>
        <v>0</v>
      </c>
      <c r="AJ119" s="218">
        <f t="shared" si="59"/>
        <v>0</v>
      </c>
      <c r="AK119" s="218">
        <f t="shared" si="59"/>
        <v>0</v>
      </c>
      <c r="AL119" s="218">
        <f t="shared" si="59"/>
        <v>0</v>
      </c>
      <c r="AM119" s="218">
        <f t="shared" si="59"/>
        <v>0</v>
      </c>
      <c r="AN119" s="218">
        <f t="shared" si="59"/>
        <v>0</v>
      </c>
      <c r="AO119" s="218">
        <f t="shared" si="59"/>
        <v>0</v>
      </c>
    </row>
    <row r="122" spans="7:41" x14ac:dyDescent="0.2">
      <c r="H122" s="22"/>
      <c r="I122" s="22"/>
      <c r="J122" s="22"/>
      <c r="K122" s="22"/>
      <c r="L122" s="22"/>
      <c r="M122" s="22"/>
      <c r="N122" s="22"/>
      <c r="O122" s="22"/>
      <c r="P122" s="22"/>
      <c r="Q122" s="22"/>
      <c r="R122" s="22"/>
      <c r="S122" s="22"/>
      <c r="T122" s="22"/>
      <c r="U122" s="22"/>
      <c r="V122" s="22"/>
      <c r="W122" s="22"/>
      <c r="Y122" s="235" t="s">
        <v>14</v>
      </c>
      <c r="Z122" s="1">
        <f>C38</f>
        <v>565</v>
      </c>
      <c r="AB122" s="1" t="s">
        <v>103</v>
      </c>
      <c r="AD122" s="1" t="str">
        <f t="shared" ref="AD122:AN122" si="60">AD20</f>
        <v>0-40</v>
      </c>
      <c r="AE122" s="1" t="str">
        <f t="shared" si="60"/>
        <v>40-60</v>
      </c>
      <c r="AF122" s="1" t="str">
        <f t="shared" si="60"/>
        <v>60-80</v>
      </c>
      <c r="AG122" s="1">
        <f t="shared" si="60"/>
        <v>0</v>
      </c>
      <c r="AH122" s="1">
        <f t="shared" si="60"/>
        <v>0</v>
      </c>
      <c r="AI122" s="1">
        <f t="shared" si="60"/>
        <v>0</v>
      </c>
      <c r="AJ122" s="1">
        <f t="shared" si="60"/>
        <v>0</v>
      </c>
      <c r="AK122" s="1">
        <f t="shared" si="60"/>
        <v>0</v>
      </c>
      <c r="AL122" s="1">
        <f t="shared" si="60"/>
        <v>0</v>
      </c>
      <c r="AM122" s="1">
        <f t="shared" si="60"/>
        <v>0</v>
      </c>
      <c r="AN122" s="1">
        <f t="shared" si="60"/>
        <v>0</v>
      </c>
    </row>
    <row r="123" spans="7:41" x14ac:dyDescent="0.2">
      <c r="H123" s="22"/>
      <c r="I123" s="22"/>
      <c r="J123" s="22"/>
      <c r="K123" s="22"/>
      <c r="L123" s="22"/>
      <c r="M123" s="22"/>
      <c r="N123" s="22"/>
      <c r="O123" s="22"/>
      <c r="P123" s="22"/>
      <c r="Q123" s="22"/>
      <c r="R123" s="22"/>
      <c r="S123" s="22"/>
      <c r="T123" s="22"/>
      <c r="U123" s="22"/>
      <c r="V123" s="22"/>
      <c r="W123" s="22"/>
      <c r="AD123" s="1">
        <f t="shared" ref="AD123:AO123" si="61">AD13</f>
        <v>0</v>
      </c>
      <c r="AE123" s="1">
        <f t="shared" si="61"/>
        <v>40</v>
      </c>
      <c r="AF123" s="1">
        <f t="shared" si="61"/>
        <v>60</v>
      </c>
      <c r="AG123" s="1">
        <f t="shared" si="61"/>
        <v>0</v>
      </c>
      <c r="AH123" s="1">
        <f t="shared" si="61"/>
        <v>0</v>
      </c>
      <c r="AI123" s="1">
        <f t="shared" si="61"/>
        <v>0</v>
      </c>
      <c r="AJ123" s="1">
        <f t="shared" si="61"/>
        <v>0</v>
      </c>
      <c r="AK123" s="1">
        <f t="shared" si="61"/>
        <v>0</v>
      </c>
      <c r="AL123" s="1">
        <f t="shared" si="61"/>
        <v>0</v>
      </c>
      <c r="AM123" s="1">
        <f t="shared" si="61"/>
        <v>0</v>
      </c>
      <c r="AN123" s="1">
        <f t="shared" si="61"/>
        <v>0</v>
      </c>
      <c r="AO123" s="1">
        <f t="shared" si="61"/>
        <v>0</v>
      </c>
    </row>
    <row r="124" spans="7:41" x14ac:dyDescent="0.2">
      <c r="Y124" s="235" t="s">
        <v>33</v>
      </c>
      <c r="Z124" s="1">
        <f>SUM(AD124:AO124)</f>
        <v>203784</v>
      </c>
      <c r="AB124" s="1" t="s">
        <v>106</v>
      </c>
      <c r="AD124" s="1">
        <f t="shared" ref="AD124:AN124" si="62">IF($Z$122&gt;AD123,(IF($Z$122-AE123&gt;0,(AE123-AD123)*$B$16*AD126,($Z$122-AD123)*$B$16*AD126)),0)</f>
        <v>135856</v>
      </c>
      <c r="AE124" s="1">
        <f t="shared" si="62"/>
        <v>67928</v>
      </c>
      <c r="AF124" s="1">
        <f t="shared" si="62"/>
        <v>0</v>
      </c>
      <c r="AG124" s="1">
        <f t="shared" si="62"/>
        <v>0</v>
      </c>
      <c r="AH124" s="1">
        <f t="shared" si="62"/>
        <v>0</v>
      </c>
      <c r="AI124" s="1">
        <f t="shared" si="62"/>
        <v>0</v>
      </c>
      <c r="AJ124" s="1">
        <f t="shared" si="62"/>
        <v>0</v>
      </c>
      <c r="AK124" s="1">
        <f t="shared" si="62"/>
        <v>0</v>
      </c>
      <c r="AL124" s="1">
        <f t="shared" si="62"/>
        <v>0</v>
      </c>
      <c r="AM124" s="1">
        <f t="shared" si="62"/>
        <v>0</v>
      </c>
      <c r="AN124" s="1">
        <f t="shared" si="62"/>
        <v>0</v>
      </c>
    </row>
    <row r="125" spans="7:41" x14ac:dyDescent="0.2">
      <c r="G125" s="24"/>
      <c r="H125" s="281"/>
      <c r="I125" s="281"/>
      <c r="J125" s="281"/>
      <c r="K125" s="281"/>
      <c r="L125" s="281"/>
      <c r="M125" s="281"/>
      <c r="N125" s="281"/>
      <c r="O125" s="281"/>
      <c r="P125" s="281"/>
      <c r="Q125" s="281"/>
      <c r="R125" s="281"/>
      <c r="S125" s="281"/>
      <c r="T125" s="281"/>
      <c r="U125" s="281"/>
      <c r="V125" s="281"/>
      <c r="W125" s="281"/>
    </row>
    <row r="126" spans="7:41" x14ac:dyDescent="0.2">
      <c r="H126" s="25"/>
      <c r="I126" s="25"/>
      <c r="J126" s="25"/>
      <c r="K126" s="25"/>
      <c r="L126" s="25"/>
      <c r="M126" s="25"/>
      <c r="N126" s="25"/>
      <c r="O126" s="25"/>
      <c r="P126" s="25"/>
      <c r="Q126" s="25"/>
      <c r="R126" s="25"/>
      <c r="S126" s="25"/>
      <c r="T126" s="25"/>
      <c r="U126" s="25"/>
      <c r="V126" s="25"/>
      <c r="W126" s="25"/>
      <c r="AB126" s="1" t="s">
        <v>109</v>
      </c>
      <c r="AD126" s="218">
        <f t="shared" ref="AD126:AO126" si="63">AD16</f>
        <v>0.14000000000000001</v>
      </c>
      <c r="AE126" s="218">
        <f t="shared" si="63"/>
        <v>0.14000000000000001</v>
      </c>
      <c r="AF126" s="218">
        <f t="shared" si="63"/>
        <v>0</v>
      </c>
      <c r="AG126" s="218">
        <f t="shared" si="63"/>
        <v>0</v>
      </c>
      <c r="AH126" s="218">
        <f t="shared" si="63"/>
        <v>0</v>
      </c>
      <c r="AI126" s="218">
        <f t="shared" si="63"/>
        <v>0</v>
      </c>
      <c r="AJ126" s="218">
        <f t="shared" si="63"/>
        <v>0</v>
      </c>
      <c r="AK126" s="218">
        <f t="shared" si="63"/>
        <v>0</v>
      </c>
      <c r="AL126" s="218">
        <f t="shared" si="63"/>
        <v>0</v>
      </c>
      <c r="AM126" s="218">
        <f t="shared" si="63"/>
        <v>0</v>
      </c>
      <c r="AN126" s="218">
        <f t="shared" si="63"/>
        <v>0</v>
      </c>
      <c r="AO126" s="218">
        <f t="shared" si="63"/>
        <v>0</v>
      </c>
    </row>
    <row r="127" spans="7:41" x14ac:dyDescent="0.2">
      <c r="H127" s="115"/>
      <c r="I127" s="115"/>
      <c r="J127" s="115"/>
      <c r="K127" s="115"/>
      <c r="L127" s="115"/>
      <c r="M127" s="115"/>
      <c r="N127" s="115"/>
      <c r="O127" s="115"/>
      <c r="P127" s="115"/>
      <c r="Q127" s="115"/>
      <c r="R127" s="115"/>
      <c r="S127" s="115"/>
      <c r="T127" s="115"/>
      <c r="U127" s="115"/>
      <c r="V127" s="115"/>
      <c r="W127" s="115"/>
    </row>
    <row r="130" spans="25:41" x14ac:dyDescent="0.2">
      <c r="Y130" s="235" t="s">
        <v>23</v>
      </c>
      <c r="Z130" s="1">
        <f>C39</f>
        <v>1080</v>
      </c>
      <c r="AB130" s="1" t="s">
        <v>103</v>
      </c>
      <c r="AD130" s="1" t="str">
        <f t="shared" ref="AD130:AN130" si="64">AD122</f>
        <v>0-40</v>
      </c>
      <c r="AE130" s="1" t="str">
        <f t="shared" si="64"/>
        <v>40-60</v>
      </c>
      <c r="AF130" s="1" t="str">
        <f t="shared" si="64"/>
        <v>60-80</v>
      </c>
      <c r="AG130" s="1">
        <f t="shared" si="64"/>
        <v>0</v>
      </c>
      <c r="AH130" s="1">
        <f t="shared" si="64"/>
        <v>0</v>
      </c>
      <c r="AI130" s="1">
        <f t="shared" si="64"/>
        <v>0</v>
      </c>
      <c r="AJ130" s="1">
        <f t="shared" si="64"/>
        <v>0</v>
      </c>
      <c r="AK130" s="1">
        <f t="shared" si="64"/>
        <v>0</v>
      </c>
      <c r="AL130" s="1">
        <f t="shared" si="64"/>
        <v>0</v>
      </c>
      <c r="AM130" s="1">
        <f t="shared" si="64"/>
        <v>0</v>
      </c>
      <c r="AN130" s="1">
        <f t="shared" si="64"/>
        <v>0</v>
      </c>
    </row>
    <row r="131" spans="25:41" x14ac:dyDescent="0.2">
      <c r="AD131" s="1">
        <f t="shared" ref="AD131:AO131" si="65">AD13</f>
        <v>0</v>
      </c>
      <c r="AE131" s="1">
        <f t="shared" si="65"/>
        <v>40</v>
      </c>
      <c r="AF131" s="1">
        <f t="shared" si="65"/>
        <v>60</v>
      </c>
      <c r="AG131" s="1">
        <f t="shared" si="65"/>
        <v>0</v>
      </c>
      <c r="AH131" s="1">
        <f t="shared" si="65"/>
        <v>0</v>
      </c>
      <c r="AI131" s="1">
        <f t="shared" si="65"/>
        <v>0</v>
      </c>
      <c r="AJ131" s="1">
        <f t="shared" si="65"/>
        <v>0</v>
      </c>
      <c r="AK131" s="1">
        <f t="shared" si="65"/>
        <v>0</v>
      </c>
      <c r="AL131" s="1">
        <f t="shared" si="65"/>
        <v>0</v>
      </c>
      <c r="AM131" s="1">
        <f t="shared" si="65"/>
        <v>0</v>
      </c>
      <c r="AN131" s="1">
        <f t="shared" si="65"/>
        <v>0</v>
      </c>
      <c r="AO131" s="1">
        <f t="shared" si="65"/>
        <v>0</v>
      </c>
    </row>
    <row r="132" spans="25:41" x14ac:dyDescent="0.2">
      <c r="Y132" s="235" t="s">
        <v>33</v>
      </c>
      <c r="Z132" s="1">
        <f>SUM(AD132:AO132)</f>
        <v>203784</v>
      </c>
      <c r="AB132" s="1" t="s">
        <v>106</v>
      </c>
      <c r="AD132" s="1">
        <f t="shared" ref="AD132:AN132" si="66">IF($Z$130&gt;AD131,(IF($Z$130-AE131&gt;0,(AE131-AD131)*$B$16*AD134,($Z$130-AD131)*$B$16*AD134)),0)</f>
        <v>135856</v>
      </c>
      <c r="AE132" s="1">
        <f t="shared" si="66"/>
        <v>67928</v>
      </c>
      <c r="AF132" s="1">
        <f t="shared" si="66"/>
        <v>0</v>
      </c>
      <c r="AG132" s="1">
        <f t="shared" si="66"/>
        <v>0</v>
      </c>
      <c r="AH132" s="1">
        <f t="shared" si="66"/>
        <v>0</v>
      </c>
      <c r="AI132" s="1">
        <f t="shared" si="66"/>
        <v>0</v>
      </c>
      <c r="AJ132" s="1">
        <f t="shared" si="66"/>
        <v>0</v>
      </c>
      <c r="AK132" s="1">
        <f t="shared" si="66"/>
        <v>0</v>
      </c>
      <c r="AL132" s="1">
        <f t="shared" si="66"/>
        <v>0</v>
      </c>
      <c r="AM132" s="1">
        <f t="shared" si="66"/>
        <v>0</v>
      </c>
      <c r="AN132" s="1">
        <f t="shared" si="66"/>
        <v>0</v>
      </c>
    </row>
    <row r="134" spans="25:41" x14ac:dyDescent="0.2">
      <c r="AB134" s="1" t="s">
        <v>109</v>
      </c>
      <c r="AD134" s="218">
        <f t="shared" ref="AD134:AO134" si="67">AD16</f>
        <v>0.14000000000000001</v>
      </c>
      <c r="AE134" s="218">
        <f t="shared" si="67"/>
        <v>0.14000000000000001</v>
      </c>
      <c r="AF134" s="218">
        <f t="shared" si="67"/>
        <v>0</v>
      </c>
      <c r="AG134" s="218">
        <f t="shared" si="67"/>
        <v>0</v>
      </c>
      <c r="AH134" s="218">
        <f t="shared" si="67"/>
        <v>0</v>
      </c>
      <c r="AI134" s="218">
        <f t="shared" si="67"/>
        <v>0</v>
      </c>
      <c r="AJ134" s="218">
        <f t="shared" si="67"/>
        <v>0</v>
      </c>
      <c r="AK134" s="218">
        <f t="shared" si="67"/>
        <v>0</v>
      </c>
      <c r="AL134" s="218">
        <f t="shared" si="67"/>
        <v>0</v>
      </c>
      <c r="AM134" s="218">
        <f t="shared" si="67"/>
        <v>0</v>
      </c>
      <c r="AN134" s="218">
        <f t="shared" si="67"/>
        <v>0</v>
      </c>
      <c r="AO134" s="218">
        <f t="shared" si="67"/>
        <v>0</v>
      </c>
    </row>
    <row r="137" spans="25:41" x14ac:dyDescent="0.2">
      <c r="Y137" s="235" t="s">
        <v>138</v>
      </c>
      <c r="Z137" s="1">
        <f>SUM(Z130+Z122+Z115+Z107+Z100+Z92+Z80+Z72+Z65+Z57+Z50+Z42+Z35+Z27+Z20+Z12)</f>
        <v>3138</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O137"/>
  <sheetViews>
    <sheetView topLeftCell="A11" zoomScale="70" zoomScaleNormal="70" workbookViewId="0">
      <selection activeCell="I23" sqref="I23:J23"/>
    </sheetView>
  </sheetViews>
  <sheetFormatPr defaultColWidth="8.88671875" defaultRowHeight="15" x14ac:dyDescent="0.2"/>
  <cols>
    <col min="1" max="1" width="8.88671875" style="1"/>
    <col min="2" max="2" width="14.88671875" style="1" customWidth="1"/>
    <col min="3" max="3" width="17" style="1" customWidth="1"/>
    <col min="4" max="4" width="12" style="1" customWidth="1"/>
    <col min="5" max="5" width="9.44140625" style="1" bestFit="1" customWidth="1"/>
    <col min="6" max="6" width="9.77734375" style="1" bestFit="1" customWidth="1"/>
    <col min="7" max="7" width="18.6640625" style="1" customWidth="1"/>
    <col min="8" max="8" width="12.109375" style="1" customWidth="1"/>
    <col min="9" max="9" width="19.44140625" style="1" customWidth="1"/>
    <col min="10" max="10" width="22.88671875" style="1" customWidth="1"/>
    <col min="11" max="11" width="7.33203125" style="1" customWidth="1"/>
    <col min="12" max="12" width="9" style="1" customWidth="1"/>
    <col min="13" max="14" width="13.77734375" style="1" customWidth="1"/>
    <col min="15" max="19" width="10.5546875" style="1" bestFit="1" customWidth="1"/>
    <col min="20" max="20" width="9.6640625" style="1" bestFit="1" customWidth="1"/>
    <col min="21" max="22" width="8.88671875" style="1"/>
    <col min="23" max="23" width="11.109375" style="1" customWidth="1"/>
    <col min="24" max="24" width="8.88671875" style="1"/>
    <col min="25" max="25" width="8.88671875" style="235"/>
    <col min="26" max="31" width="8.88671875" style="1"/>
    <col min="32" max="32" width="13.109375" style="1" customWidth="1"/>
    <col min="33" max="16384" width="8.88671875" style="1"/>
  </cols>
  <sheetData>
    <row r="3" spans="1:41" ht="34.5" thickBot="1" x14ac:dyDescent="0.55000000000000004">
      <c r="B3" s="753" t="s">
        <v>179</v>
      </c>
      <c r="C3" s="750"/>
      <c r="D3" s="750"/>
    </row>
    <row r="4" spans="1:41" ht="15.75" thickTop="1" x14ac:dyDescent="0.2"/>
    <row r="5" spans="1:41" x14ac:dyDescent="0.2">
      <c r="B5" s="751" t="s">
        <v>412</v>
      </c>
    </row>
    <row r="6" spans="1:41" x14ac:dyDescent="0.2">
      <c r="B6" s="751" t="s">
        <v>413</v>
      </c>
    </row>
    <row r="7" spans="1:41" x14ac:dyDescent="0.2">
      <c r="B7" s="751" t="s">
        <v>411</v>
      </c>
    </row>
    <row r="9" spans="1:41" x14ac:dyDescent="0.2">
      <c r="B9" s="119"/>
      <c r="C9" s="119"/>
      <c r="D9" s="119"/>
      <c r="E9" s="119"/>
      <c r="F9"/>
    </row>
    <row r="10" spans="1:41" ht="28.5" thickBot="1" x14ac:dyDescent="0.45">
      <c r="B10" s="752" t="s">
        <v>414</v>
      </c>
      <c r="C10" s="749"/>
      <c r="D10" s="749"/>
      <c r="E10" s="749"/>
    </row>
    <row r="11" spans="1:41" ht="15.75" thickTop="1" x14ac:dyDescent="0.2"/>
    <row r="12" spans="1:41" x14ac:dyDescent="0.2">
      <c r="Y12" s="235" t="s">
        <v>102</v>
      </c>
      <c r="Z12" s="1">
        <f>C24</f>
        <v>52</v>
      </c>
      <c r="AB12" s="1" t="s">
        <v>103</v>
      </c>
      <c r="AD12" s="1" t="str">
        <f>I18</f>
        <v>0-40</v>
      </c>
      <c r="AE12" s="1" t="str">
        <f t="shared" ref="AE12:AN12" si="0">J18</f>
        <v>40-60</v>
      </c>
      <c r="AF12" s="1" t="str">
        <f t="shared" si="0"/>
        <v>60-80</v>
      </c>
      <c r="AG12" s="1">
        <f t="shared" si="0"/>
        <v>0</v>
      </c>
      <c r="AH12" s="1">
        <f t="shared" si="0"/>
        <v>0</v>
      </c>
      <c r="AI12" s="1">
        <f t="shared" si="0"/>
        <v>0</v>
      </c>
      <c r="AJ12" s="1">
        <f t="shared" si="0"/>
        <v>0</v>
      </c>
      <c r="AK12" s="1">
        <f t="shared" si="0"/>
        <v>0</v>
      </c>
      <c r="AL12" s="1">
        <f t="shared" si="0"/>
        <v>0</v>
      </c>
      <c r="AM12" s="1">
        <f t="shared" si="0"/>
        <v>0</v>
      </c>
      <c r="AN12" s="1">
        <f t="shared" si="0"/>
        <v>0</v>
      </c>
    </row>
    <row r="13" spans="1:41" ht="16.5" thickBot="1" x14ac:dyDescent="0.3">
      <c r="B13" s="1" t="s">
        <v>460</v>
      </c>
      <c r="G13" s="5" t="s">
        <v>104</v>
      </c>
      <c r="AD13" s="1">
        <f t="shared" ref="AD13:AO13" si="1">I19</f>
        <v>0</v>
      </c>
      <c r="AE13" s="1">
        <f t="shared" si="1"/>
        <v>40</v>
      </c>
      <c r="AF13" s="1">
        <f t="shared" si="1"/>
        <v>60</v>
      </c>
      <c r="AG13" s="1">
        <f t="shared" si="1"/>
        <v>0</v>
      </c>
      <c r="AH13" s="1">
        <f t="shared" si="1"/>
        <v>0</v>
      </c>
      <c r="AI13" s="1">
        <f t="shared" si="1"/>
        <v>0</v>
      </c>
      <c r="AJ13" s="1">
        <f t="shared" si="1"/>
        <v>0</v>
      </c>
      <c r="AK13" s="1">
        <f t="shared" si="1"/>
        <v>0</v>
      </c>
      <c r="AL13" s="1">
        <f t="shared" si="1"/>
        <v>0</v>
      </c>
      <c r="AM13" s="1">
        <f t="shared" si="1"/>
        <v>0</v>
      </c>
      <c r="AN13" s="1">
        <f t="shared" si="1"/>
        <v>0</v>
      </c>
      <c r="AO13" s="1">
        <f t="shared" si="1"/>
        <v>2000</v>
      </c>
    </row>
    <row r="14" spans="1:41" ht="15.75" x14ac:dyDescent="0.25">
      <c r="B14" s="229" t="s">
        <v>105</v>
      </c>
      <c r="G14" s="99"/>
      <c r="H14" s="100"/>
      <c r="I14" s="100"/>
      <c r="J14" s="100"/>
      <c r="K14" s="100"/>
      <c r="L14" s="100"/>
      <c r="M14" s="100"/>
      <c r="N14" s="100"/>
      <c r="O14" s="100"/>
      <c r="P14" s="100"/>
      <c r="Q14" s="100"/>
      <c r="R14" s="100"/>
      <c r="S14" s="100"/>
      <c r="T14" s="101"/>
      <c r="Y14" s="235" t="s">
        <v>33</v>
      </c>
      <c r="Z14" s="1">
        <f>SUM(AD14:AO14)</f>
        <v>164278.69639999999</v>
      </c>
      <c r="AB14" s="1" t="s">
        <v>106</v>
      </c>
      <c r="AD14" s="1">
        <f>IF($Z$12&gt;AD13,(IF($Z$12-AE13&gt;0,(AE13-AD13)*$B$16*AD16,($Z$12-AD13)*$B$16*AD16)),0)</f>
        <v>138437.264</v>
      </c>
      <c r="AE14" s="1">
        <f>IF($Z$12&gt;AE13,(IF($Z$12-AF13&gt;0,(AF13-AE13)*$B$17*AE16,($Z$12-AE13)*$B$17*AE16)),0)</f>
        <v>25841.432399999998</v>
      </c>
      <c r="AF14" s="1">
        <f t="shared" ref="AF14:AN14" si="2">IF($Z$12&gt;AF13,(IF($Z$12-AG13&gt;0,(AG13-AF13)*$B$16*AF16,($Z$12-AF13)*$B$16*AF16)),0)</f>
        <v>0</v>
      </c>
      <c r="AG14" s="1">
        <f t="shared" si="2"/>
        <v>0</v>
      </c>
      <c r="AH14" s="1">
        <f t="shared" si="2"/>
        <v>0</v>
      </c>
      <c r="AI14" s="1">
        <f t="shared" si="2"/>
        <v>0</v>
      </c>
      <c r="AJ14" s="1">
        <f t="shared" si="2"/>
        <v>0</v>
      </c>
      <c r="AK14" s="1">
        <f t="shared" si="2"/>
        <v>0</v>
      </c>
      <c r="AL14" s="1">
        <f t="shared" si="2"/>
        <v>0</v>
      </c>
      <c r="AM14" s="1">
        <f t="shared" si="2"/>
        <v>0</v>
      </c>
      <c r="AN14" s="1">
        <f t="shared" si="2"/>
        <v>0</v>
      </c>
    </row>
    <row r="15" spans="1:41" ht="15.75" x14ac:dyDescent="0.25">
      <c r="B15" s="236" t="s">
        <v>0</v>
      </c>
      <c r="C15" s="1">
        <v>10782</v>
      </c>
      <c r="G15" s="237"/>
      <c r="H15" s="97"/>
      <c r="I15" s="66" t="s">
        <v>107</v>
      </c>
      <c r="J15" s="97"/>
      <c r="K15" s="97"/>
      <c r="L15" s="97"/>
      <c r="M15" s="97"/>
      <c r="N15" s="97"/>
      <c r="O15" s="97"/>
      <c r="P15" s="97"/>
      <c r="Q15" s="97"/>
      <c r="R15" s="97"/>
      <c r="S15" s="97"/>
      <c r="T15" s="102"/>
    </row>
    <row r="16" spans="1:41" ht="15.75" x14ac:dyDescent="0.25">
      <c r="A16" s="1" t="s">
        <v>110</v>
      </c>
      <c r="B16" s="238">
        <f>Kontrollpanel!P42*Kontrollpanel!K30</f>
        <v>24720.94</v>
      </c>
      <c r="C16" s="239">
        <v>303.55799872530275</v>
      </c>
      <c r="G16" s="237"/>
      <c r="H16" s="240" t="s">
        <v>108</v>
      </c>
      <c r="I16" s="241">
        <v>1</v>
      </c>
      <c r="J16" s="97"/>
      <c r="K16" s="97"/>
      <c r="L16" s="97"/>
      <c r="M16" s="97"/>
      <c r="N16" s="97"/>
      <c r="O16" s="97"/>
      <c r="P16" s="97"/>
      <c r="Q16" s="97"/>
      <c r="R16" s="97"/>
      <c r="S16" s="97"/>
      <c r="T16" s="102"/>
      <c r="AB16" s="1" t="s">
        <v>109</v>
      </c>
      <c r="AD16" s="218">
        <f t="shared" ref="AD16:AO16" si="3">I22</f>
        <v>0.14000000000000001</v>
      </c>
      <c r="AE16" s="218">
        <f t="shared" si="3"/>
        <v>0.14000000000000001</v>
      </c>
      <c r="AF16" s="218">
        <f t="shared" si="3"/>
        <v>0</v>
      </c>
      <c r="AG16" s="218">
        <f t="shared" si="3"/>
        <v>0</v>
      </c>
      <c r="AH16" s="218">
        <f t="shared" si="3"/>
        <v>0</v>
      </c>
      <c r="AI16" s="218">
        <f t="shared" si="3"/>
        <v>0</v>
      </c>
      <c r="AJ16" s="218">
        <f t="shared" si="3"/>
        <v>0</v>
      </c>
      <c r="AK16" s="218">
        <f t="shared" si="3"/>
        <v>0</v>
      </c>
      <c r="AL16" s="218">
        <f t="shared" si="3"/>
        <v>0</v>
      </c>
      <c r="AM16" s="218">
        <f t="shared" si="3"/>
        <v>0</v>
      </c>
      <c r="AN16" s="218">
        <f t="shared" si="3"/>
        <v>0</v>
      </c>
      <c r="AO16" s="218">
        <f t="shared" si="3"/>
        <v>0</v>
      </c>
    </row>
    <row r="17" spans="1:41" ht="15.75" x14ac:dyDescent="0.25">
      <c r="A17" s="1" t="s">
        <v>111</v>
      </c>
      <c r="B17" s="238">
        <f>Kontrollpanel!P43*Kontrollpanel!K30</f>
        <v>15381.804999999998</v>
      </c>
      <c r="G17" s="237"/>
      <c r="H17" s="97"/>
      <c r="I17" s="97"/>
      <c r="J17" s="97"/>
      <c r="K17" s="97"/>
      <c r="L17" s="97"/>
      <c r="M17" s="97"/>
      <c r="N17" s="97"/>
      <c r="O17" s="97"/>
      <c r="P17" s="97"/>
      <c r="Q17" s="97"/>
      <c r="R17" s="97"/>
      <c r="S17" s="97"/>
      <c r="T17" s="102"/>
    </row>
    <row r="18" spans="1:41" ht="15.75" x14ac:dyDescent="0.25">
      <c r="G18" s="242" t="s">
        <v>103</v>
      </c>
      <c r="H18" s="243"/>
      <c r="I18" s="243" t="str">
        <f>Kontrollpanel!H42</f>
        <v>0-40</v>
      </c>
      <c r="J18" s="243" t="str">
        <f>Kontrollpanel!I42</f>
        <v>40-60</v>
      </c>
      <c r="K18" s="243" t="str">
        <f>Kontrollpanel!J42</f>
        <v>60-80</v>
      </c>
      <c r="L18" s="243"/>
      <c r="M18" s="243"/>
      <c r="N18" s="243"/>
      <c r="O18" s="243"/>
      <c r="P18" s="243"/>
      <c r="Q18" s="243"/>
      <c r="R18" s="243"/>
      <c r="S18" s="243"/>
      <c r="T18" s="244"/>
      <c r="U18" s="5"/>
      <c r="V18" s="5"/>
      <c r="W18" s="5"/>
      <c r="X18" s="5"/>
      <c r="Z18" s="5"/>
      <c r="AA18" s="5"/>
      <c r="AB18" s="5"/>
      <c r="AC18" s="5"/>
      <c r="AD18" s="5"/>
    </row>
    <row r="19" spans="1:41" ht="15.75" x14ac:dyDescent="0.25">
      <c r="F19" s="245" t="s">
        <v>121</v>
      </c>
      <c r="G19" s="229" t="s">
        <v>122</v>
      </c>
      <c r="H19" s="229"/>
      <c r="I19" s="229">
        <f>Kontrollpanel!H43</f>
        <v>0</v>
      </c>
      <c r="J19" s="229">
        <f>Kontrollpanel!I43</f>
        <v>40</v>
      </c>
      <c r="K19" s="229">
        <f>Kontrollpanel!J43</f>
        <v>60</v>
      </c>
      <c r="L19" s="229"/>
      <c r="M19" s="229"/>
      <c r="N19" s="229"/>
      <c r="O19" s="229"/>
      <c r="P19" s="229"/>
      <c r="Q19" s="229"/>
      <c r="R19" s="229"/>
      <c r="S19" s="229"/>
      <c r="T19" s="229">
        <v>2000</v>
      </c>
    </row>
    <row r="20" spans="1:41" ht="15.75" x14ac:dyDescent="0.25">
      <c r="G20" s="246" t="s">
        <v>106</v>
      </c>
      <c r="H20" s="97"/>
      <c r="I20" s="98">
        <f>IF($I$16&gt;I19,(IF($I$16-J19&gt;0,(J19-I19)*$B$16*I22,($I$16-I19)*$B$16*I22)),0)</f>
        <v>3460.9316000000003</v>
      </c>
      <c r="J20" s="98">
        <f>IF($I$16&gt;J19,(IF($I$16-K19&gt;0,(K19-J19)*$B$16*J22,($I$16-J19)*$B$16*J22)),0)</f>
        <v>0</v>
      </c>
      <c r="K20" s="98">
        <f>IF($I$16&gt;K19,(IF($I$16-L19&gt;0,(L19-K19)*$B$16*K22,($I$16-K19)*$B$16*K22)),0)</f>
        <v>0</v>
      </c>
      <c r="L20" s="98"/>
      <c r="M20" s="98"/>
      <c r="N20" s="98"/>
      <c r="O20" s="98"/>
      <c r="P20" s="98"/>
      <c r="Q20" s="98"/>
      <c r="R20" s="98"/>
      <c r="S20" s="98"/>
      <c r="T20" s="247"/>
      <c r="Y20" s="235" t="s">
        <v>8</v>
      </c>
      <c r="Z20" s="1">
        <f>C25</f>
        <v>42</v>
      </c>
      <c r="AB20" s="1" t="s">
        <v>103</v>
      </c>
      <c r="AD20" s="1" t="str">
        <f t="shared" ref="AD20:AO21" si="4">AD12</f>
        <v>0-40</v>
      </c>
      <c r="AE20" s="1" t="str">
        <f t="shared" si="4"/>
        <v>40-60</v>
      </c>
      <c r="AF20" s="1" t="str">
        <f t="shared" si="4"/>
        <v>60-80</v>
      </c>
      <c r="AG20" s="1">
        <f t="shared" si="4"/>
        <v>0</v>
      </c>
      <c r="AH20" s="1">
        <f t="shared" si="4"/>
        <v>0</v>
      </c>
      <c r="AI20" s="1">
        <f t="shared" si="4"/>
        <v>0</v>
      </c>
      <c r="AJ20" s="1">
        <f t="shared" si="4"/>
        <v>0</v>
      </c>
      <c r="AK20" s="1">
        <f t="shared" si="4"/>
        <v>0</v>
      </c>
      <c r="AL20" s="1">
        <f t="shared" si="4"/>
        <v>0</v>
      </c>
      <c r="AM20" s="1">
        <f t="shared" si="4"/>
        <v>0</v>
      </c>
      <c r="AN20" s="1">
        <f t="shared" si="4"/>
        <v>0</v>
      </c>
    </row>
    <row r="21" spans="1:41" ht="15.75" x14ac:dyDescent="0.25">
      <c r="A21" s="5"/>
      <c r="B21" s="5"/>
      <c r="C21" s="5"/>
      <c r="G21" s="237"/>
      <c r="H21" s="97"/>
      <c r="I21" s="97"/>
      <c r="J21" s="97"/>
      <c r="K21" s="97"/>
      <c r="L21" s="97"/>
      <c r="M21" s="97"/>
      <c r="N21" s="97"/>
      <c r="O21" s="97"/>
      <c r="P21" s="97"/>
      <c r="Q21" s="97"/>
      <c r="R21" s="97"/>
      <c r="S21" s="97"/>
      <c r="T21" s="102"/>
      <c r="AD21" s="1">
        <f t="shared" si="4"/>
        <v>0</v>
      </c>
      <c r="AE21" s="1">
        <f t="shared" si="4"/>
        <v>40</v>
      </c>
      <c r="AF21" s="1">
        <f t="shared" si="4"/>
        <v>60</v>
      </c>
      <c r="AG21" s="1">
        <f t="shared" si="4"/>
        <v>0</v>
      </c>
      <c r="AH21" s="1">
        <f t="shared" si="4"/>
        <v>0</v>
      </c>
      <c r="AI21" s="1">
        <f t="shared" si="4"/>
        <v>0</v>
      </c>
      <c r="AJ21" s="1">
        <f t="shared" si="4"/>
        <v>0</v>
      </c>
      <c r="AK21" s="1">
        <f t="shared" si="4"/>
        <v>0</v>
      </c>
      <c r="AL21" s="1">
        <f t="shared" si="4"/>
        <v>0</v>
      </c>
      <c r="AM21" s="1">
        <f t="shared" si="4"/>
        <v>0</v>
      </c>
      <c r="AN21" s="1">
        <f t="shared" si="4"/>
        <v>0</v>
      </c>
      <c r="AO21" s="1">
        <f t="shared" si="4"/>
        <v>2000</v>
      </c>
    </row>
    <row r="22" spans="1:41" ht="15.75" x14ac:dyDescent="0.25">
      <c r="A22" s="5"/>
      <c r="B22" s="5" t="s">
        <v>123</v>
      </c>
      <c r="C22" s="5" t="s">
        <v>124</v>
      </c>
      <c r="E22" s="1" t="s">
        <v>784</v>
      </c>
      <c r="F22" s="245" t="s">
        <v>660</v>
      </c>
      <c r="G22" s="248" t="s">
        <v>109</v>
      </c>
      <c r="H22" s="249"/>
      <c r="I22" s="250">
        <v>0.14000000000000001</v>
      </c>
      <c r="J22" s="250">
        <v>0.14000000000000001</v>
      </c>
      <c r="K22" s="250">
        <v>0</v>
      </c>
      <c r="L22" s="250"/>
      <c r="M22" s="250"/>
      <c r="N22" s="250"/>
      <c r="O22" s="250"/>
      <c r="P22" s="250"/>
      <c r="Q22" s="250"/>
      <c r="R22" s="250"/>
      <c r="S22" s="250"/>
      <c r="T22" s="251">
        <v>0</v>
      </c>
      <c r="Y22" s="235" t="s">
        <v>33</v>
      </c>
      <c r="Z22" s="1">
        <f>SUM(AD22:AO22)</f>
        <v>193724.22990000001</v>
      </c>
      <c r="AB22" s="1" t="s">
        <v>106</v>
      </c>
      <c r="AD22" s="1">
        <f>IF($Z$20&gt;AD21,(IF($Z$20-AE21&gt;0,(AE21-AD21)*$B$16*AD24,($Z$20-AD21)*$B$16*AD24)),0)</f>
        <v>187879.144</v>
      </c>
      <c r="AE22" s="1">
        <f>IF($Z$20&gt;AE21,(IF($Z$20-AF21&gt;0,(AF21-AE21)*$B$17*AE24,($Z$20-AE21)*$B$17*AE24)),0)</f>
        <v>5845.0858999999991</v>
      </c>
      <c r="AF22" s="1">
        <f t="shared" ref="AF22:AN22" si="5">IF($Z$20&gt;AF21,(IF($Z$20-AG21&gt;0,(AG21-AF21)*$B$16*AF24,($Z$20-AF21)*$B$16*AF24)),0)</f>
        <v>0</v>
      </c>
      <c r="AG22" s="1">
        <f t="shared" si="5"/>
        <v>0</v>
      </c>
      <c r="AH22" s="1">
        <f t="shared" si="5"/>
        <v>0</v>
      </c>
      <c r="AI22" s="1">
        <f t="shared" si="5"/>
        <v>0</v>
      </c>
      <c r="AJ22" s="1">
        <f t="shared" si="5"/>
        <v>0</v>
      </c>
      <c r="AK22" s="1">
        <f t="shared" si="5"/>
        <v>0</v>
      </c>
      <c r="AL22" s="1">
        <f t="shared" si="5"/>
        <v>0</v>
      </c>
      <c r="AM22" s="1">
        <f t="shared" si="5"/>
        <v>0</v>
      </c>
      <c r="AN22" s="1">
        <f t="shared" si="5"/>
        <v>0</v>
      </c>
    </row>
    <row r="23" spans="1:41" ht="15.75" x14ac:dyDescent="0.25">
      <c r="A23" s="252" t="s">
        <v>126</v>
      </c>
      <c r="B23" s="5"/>
      <c r="C23" s="5" t="s">
        <v>458</v>
      </c>
      <c r="E23" s="1" t="s">
        <v>785</v>
      </c>
      <c r="F23" s="1" t="s">
        <v>783</v>
      </c>
      <c r="G23" s="248" t="s">
        <v>109</v>
      </c>
      <c r="H23" s="97"/>
      <c r="I23" s="250">
        <v>0.19</v>
      </c>
      <c r="J23" s="250">
        <v>0.19</v>
      </c>
      <c r="K23" s="97"/>
      <c r="L23" s="97"/>
      <c r="M23" s="97"/>
      <c r="N23" s="97"/>
      <c r="O23" s="97"/>
      <c r="P23" s="97"/>
      <c r="Q23" s="97"/>
      <c r="R23" s="97"/>
      <c r="S23" s="97"/>
      <c r="T23" s="102"/>
    </row>
    <row r="24" spans="1:41" ht="16.5" thickBot="1" x14ac:dyDescent="0.3">
      <c r="B24" s="229" t="s">
        <v>102</v>
      </c>
      <c r="C24" s="229">
        <v>52</v>
      </c>
      <c r="G24" s="253"/>
      <c r="H24" s="105"/>
      <c r="I24" s="105"/>
      <c r="J24" s="105"/>
      <c r="K24" s="105"/>
      <c r="L24" s="105"/>
      <c r="M24" s="105"/>
      <c r="N24" s="105"/>
      <c r="O24" s="105"/>
      <c r="P24" s="105"/>
      <c r="Q24" s="105"/>
      <c r="R24" s="105"/>
      <c r="S24" s="105"/>
      <c r="T24" s="106"/>
      <c r="AB24" s="1" t="s">
        <v>109</v>
      </c>
      <c r="AD24" s="218">
        <f>I23</f>
        <v>0.19</v>
      </c>
      <c r="AE24" s="218">
        <f>J23</f>
        <v>0.19</v>
      </c>
      <c r="AF24" s="218">
        <f t="shared" ref="AF24:AO24" si="6">AF16</f>
        <v>0</v>
      </c>
      <c r="AG24" s="218">
        <f t="shared" si="6"/>
        <v>0</v>
      </c>
      <c r="AH24" s="218">
        <f t="shared" si="6"/>
        <v>0</v>
      </c>
      <c r="AI24" s="218">
        <f t="shared" si="6"/>
        <v>0</v>
      </c>
      <c r="AJ24" s="218">
        <f t="shared" si="6"/>
        <v>0</v>
      </c>
      <c r="AK24" s="218">
        <f t="shared" si="6"/>
        <v>0</v>
      </c>
      <c r="AL24" s="218">
        <f t="shared" si="6"/>
        <v>0</v>
      </c>
      <c r="AM24" s="218">
        <f t="shared" si="6"/>
        <v>0</v>
      </c>
      <c r="AN24" s="218">
        <f t="shared" si="6"/>
        <v>0</v>
      </c>
      <c r="AO24" s="218">
        <f t="shared" si="6"/>
        <v>0</v>
      </c>
    </row>
    <row r="25" spans="1:41" ht="16.5" thickBot="1" x14ac:dyDescent="0.3">
      <c r="B25" s="229" t="s">
        <v>8</v>
      </c>
      <c r="C25" s="229">
        <v>42</v>
      </c>
    </row>
    <row r="26" spans="1:41" ht="16.5" thickBot="1" x14ac:dyDescent="0.3">
      <c r="B26" s="229" t="s">
        <v>11</v>
      </c>
      <c r="C26" s="229">
        <v>63</v>
      </c>
      <c r="I26" s="1233" t="s">
        <v>656</v>
      </c>
      <c r="L26" s="22"/>
    </row>
    <row r="27" spans="1:41" ht="18.75" thickBot="1" x14ac:dyDescent="0.3">
      <c r="B27" s="254" t="s">
        <v>22</v>
      </c>
      <c r="C27" s="255">
        <v>45</v>
      </c>
      <c r="G27" s="1231" t="s">
        <v>653</v>
      </c>
      <c r="H27" s="1231"/>
      <c r="I27" s="1232">
        <f>Kontrollpanel!M44</f>
        <v>0.05</v>
      </c>
      <c r="Y27" s="235" t="s">
        <v>11</v>
      </c>
      <c r="Z27" s="1">
        <f>C26</f>
        <v>63</v>
      </c>
      <c r="AB27" s="1" t="s">
        <v>103</v>
      </c>
      <c r="AD27" s="1" t="str">
        <f t="shared" ref="AD27:AN27" si="7">AD20</f>
        <v>0-40</v>
      </c>
      <c r="AE27" s="1" t="str">
        <f t="shared" si="7"/>
        <v>40-60</v>
      </c>
      <c r="AF27" s="1" t="str">
        <f t="shared" si="7"/>
        <v>60-80</v>
      </c>
      <c r="AG27" s="1">
        <f t="shared" si="7"/>
        <v>0</v>
      </c>
      <c r="AH27" s="1">
        <f t="shared" si="7"/>
        <v>0</v>
      </c>
      <c r="AI27" s="1">
        <f t="shared" si="7"/>
        <v>0</v>
      </c>
      <c r="AJ27" s="1">
        <f t="shared" si="7"/>
        <v>0</v>
      </c>
      <c r="AK27" s="1">
        <f t="shared" si="7"/>
        <v>0</v>
      </c>
      <c r="AL27" s="1">
        <f t="shared" si="7"/>
        <v>0</v>
      </c>
      <c r="AM27" s="1">
        <f t="shared" si="7"/>
        <v>0</v>
      </c>
      <c r="AN27" s="1">
        <f t="shared" si="7"/>
        <v>0</v>
      </c>
    </row>
    <row r="28" spans="1:41" ht="15.75" x14ac:dyDescent="0.25">
      <c r="B28" s="229" t="s">
        <v>15</v>
      </c>
      <c r="C28" s="229">
        <v>24</v>
      </c>
      <c r="AD28" s="1">
        <f t="shared" ref="AD28:AO28" si="8">AD13</f>
        <v>0</v>
      </c>
      <c r="AE28" s="1">
        <f t="shared" si="8"/>
        <v>40</v>
      </c>
      <c r="AF28" s="1">
        <f t="shared" si="8"/>
        <v>60</v>
      </c>
      <c r="AG28" s="1">
        <f t="shared" si="8"/>
        <v>0</v>
      </c>
      <c r="AH28" s="1">
        <f t="shared" si="8"/>
        <v>0</v>
      </c>
      <c r="AI28" s="1">
        <f t="shared" si="8"/>
        <v>0</v>
      </c>
      <c r="AJ28" s="1">
        <f t="shared" si="8"/>
        <v>0</v>
      </c>
      <c r="AK28" s="1">
        <f t="shared" si="8"/>
        <v>0</v>
      </c>
      <c r="AL28" s="1">
        <f t="shared" si="8"/>
        <v>0</v>
      </c>
      <c r="AM28" s="1">
        <f t="shared" si="8"/>
        <v>0</v>
      </c>
      <c r="AN28" s="1">
        <f t="shared" si="8"/>
        <v>0</v>
      </c>
      <c r="AO28" s="1">
        <f t="shared" si="8"/>
        <v>2000</v>
      </c>
    </row>
    <row r="29" spans="1:41" ht="15.75" x14ac:dyDescent="0.25">
      <c r="B29" s="229" t="s">
        <v>128</v>
      </c>
      <c r="C29" s="229">
        <v>8</v>
      </c>
      <c r="G29" s="5" t="s">
        <v>33</v>
      </c>
      <c r="H29" s="5"/>
      <c r="I29" s="217">
        <f>SUM(I20:S20)</f>
        <v>3460.9316000000003</v>
      </c>
      <c r="Y29" s="235" t="s">
        <v>33</v>
      </c>
      <c r="Z29" s="1">
        <f>SUM(AD29:AO29)</f>
        <v>181506.318</v>
      </c>
      <c r="AB29" s="1" t="s">
        <v>106</v>
      </c>
      <c r="AD29" s="1">
        <f>IF($Z$27&gt;AD28,(IF($Z$27-AE28&gt;0,(AE28-AD28)*$B$16*AD31,($Z$27-AD28)*$B$16*AD31)),0)</f>
        <v>138437.264</v>
      </c>
      <c r="AE29" s="1">
        <f>IF($Z$27&gt;AE28,(IF($Z$27-AF28&gt;0,(AF28-AE28)*$B$17*AE31,($Z$27-AE28)*$B$17*AE31)),0)</f>
        <v>43069.054000000004</v>
      </c>
      <c r="AF29" s="1">
        <f t="shared" ref="AF29:AN29" si="9">IF($Z$27&gt;AF28,(IF($Z$27-AG28&gt;0,(AG28-AF28)*$B$16*AF31,($Z$27-AF28)*$B$16*AF31)),0)</f>
        <v>0</v>
      </c>
      <c r="AG29" s="1">
        <f t="shared" si="9"/>
        <v>0</v>
      </c>
      <c r="AH29" s="1">
        <f t="shared" si="9"/>
        <v>0</v>
      </c>
      <c r="AI29" s="1">
        <f t="shared" si="9"/>
        <v>0</v>
      </c>
      <c r="AJ29" s="1">
        <f t="shared" si="9"/>
        <v>0</v>
      </c>
      <c r="AK29" s="1">
        <f t="shared" si="9"/>
        <v>0</v>
      </c>
      <c r="AL29" s="1">
        <f t="shared" si="9"/>
        <v>0</v>
      </c>
      <c r="AM29" s="1">
        <f t="shared" si="9"/>
        <v>0</v>
      </c>
      <c r="AN29" s="1">
        <f t="shared" si="9"/>
        <v>0</v>
      </c>
    </row>
    <row r="30" spans="1:41" ht="15.75" x14ac:dyDescent="0.25">
      <c r="B30" s="229" t="s">
        <v>16</v>
      </c>
      <c r="C30" s="229">
        <v>26</v>
      </c>
    </row>
    <row r="31" spans="1:41" ht="15.75" x14ac:dyDescent="0.25">
      <c r="B31" s="229" t="s">
        <v>9</v>
      </c>
      <c r="C31" s="229">
        <v>84</v>
      </c>
      <c r="AB31" s="1" t="s">
        <v>109</v>
      </c>
      <c r="AD31" s="218">
        <f t="shared" ref="AD31:AO31" si="10">AD16</f>
        <v>0.14000000000000001</v>
      </c>
      <c r="AE31" s="218">
        <f t="shared" si="10"/>
        <v>0.14000000000000001</v>
      </c>
      <c r="AF31" s="218">
        <f t="shared" si="10"/>
        <v>0</v>
      </c>
      <c r="AG31" s="218">
        <f t="shared" si="10"/>
        <v>0</v>
      </c>
      <c r="AH31" s="218">
        <f t="shared" si="10"/>
        <v>0</v>
      </c>
      <c r="AI31" s="218">
        <f t="shared" si="10"/>
        <v>0</v>
      </c>
      <c r="AJ31" s="218">
        <f t="shared" si="10"/>
        <v>0</v>
      </c>
      <c r="AK31" s="218">
        <f t="shared" si="10"/>
        <v>0</v>
      </c>
      <c r="AL31" s="218">
        <f t="shared" si="10"/>
        <v>0</v>
      </c>
      <c r="AM31" s="218">
        <f t="shared" si="10"/>
        <v>0</v>
      </c>
      <c r="AN31" s="218">
        <f t="shared" si="10"/>
        <v>0</v>
      </c>
      <c r="AO31" s="218">
        <f t="shared" si="10"/>
        <v>0</v>
      </c>
    </row>
    <row r="32" spans="1:41" ht="16.5" thickBot="1" x14ac:dyDescent="0.3">
      <c r="B32" s="256" t="s">
        <v>21</v>
      </c>
      <c r="C32" s="256">
        <v>109</v>
      </c>
    </row>
    <row r="33" spans="2:41" ht="15.75" x14ac:dyDescent="0.25">
      <c r="B33" s="229" t="s">
        <v>18</v>
      </c>
      <c r="C33" s="229">
        <v>48</v>
      </c>
      <c r="G33" s="257"/>
      <c r="H33" s="258"/>
      <c r="I33" s="258"/>
      <c r="J33" s="258"/>
      <c r="K33" s="258"/>
      <c r="L33" s="258"/>
      <c r="M33" s="258"/>
      <c r="N33" s="258"/>
      <c r="O33" s="258"/>
      <c r="P33" s="258"/>
      <c r="Q33" s="258"/>
      <c r="R33" s="258"/>
      <c r="S33" s="258"/>
      <c r="T33" s="259"/>
    </row>
    <row r="34" spans="2:41" ht="15.75" x14ac:dyDescent="0.25">
      <c r="B34" s="229" t="s">
        <v>13</v>
      </c>
      <c r="C34" s="229">
        <v>181</v>
      </c>
      <c r="G34" s="260"/>
      <c r="H34" s="261" t="s">
        <v>123</v>
      </c>
      <c r="I34" s="261" t="s">
        <v>129</v>
      </c>
      <c r="J34" s="261" t="s">
        <v>130</v>
      </c>
      <c r="K34" s="262" t="s">
        <v>131</v>
      </c>
      <c r="L34" s="262"/>
      <c r="M34" s="262" t="s">
        <v>132</v>
      </c>
      <c r="N34" s="263"/>
      <c r="O34" s="263"/>
      <c r="P34" s="263"/>
      <c r="Q34" s="263"/>
      <c r="R34" s="263"/>
      <c r="S34" s="263"/>
      <c r="T34" s="264"/>
    </row>
    <row r="35" spans="2:41" ht="15.75" x14ac:dyDescent="0.25">
      <c r="B35" s="229" t="s">
        <v>17</v>
      </c>
      <c r="C35" s="229">
        <v>273</v>
      </c>
      <c r="G35" s="265"/>
      <c r="H35" s="266"/>
      <c r="I35" s="267"/>
      <c r="J35" s="268"/>
      <c r="K35" s="269"/>
      <c r="L35" s="263"/>
      <c r="M35" s="270"/>
      <c r="N35" s="263"/>
      <c r="O35" s="263"/>
      <c r="P35" s="263"/>
      <c r="Q35" s="263"/>
      <c r="R35" s="263"/>
      <c r="S35" s="263"/>
      <c r="T35" s="264"/>
      <c r="Y35" s="235" t="s">
        <v>22</v>
      </c>
      <c r="Z35" s="1">
        <f>C27</f>
        <v>45</v>
      </c>
      <c r="AB35" s="1" t="s">
        <v>103</v>
      </c>
      <c r="AD35" s="1" t="str">
        <f t="shared" ref="AD35:AN35" si="11">AD20</f>
        <v>0-40</v>
      </c>
      <c r="AE35" s="1" t="str">
        <f t="shared" si="11"/>
        <v>40-60</v>
      </c>
      <c r="AF35" s="1" t="str">
        <f t="shared" si="11"/>
        <v>60-80</v>
      </c>
      <c r="AG35" s="1">
        <f t="shared" si="11"/>
        <v>0</v>
      </c>
      <c r="AH35" s="1">
        <f t="shared" si="11"/>
        <v>0</v>
      </c>
      <c r="AI35" s="1">
        <f t="shared" si="11"/>
        <v>0</v>
      </c>
      <c r="AJ35" s="1">
        <f t="shared" si="11"/>
        <v>0</v>
      </c>
      <c r="AK35" s="1">
        <f t="shared" si="11"/>
        <v>0</v>
      </c>
      <c r="AL35" s="1">
        <f t="shared" si="11"/>
        <v>0</v>
      </c>
      <c r="AM35" s="1">
        <f t="shared" si="11"/>
        <v>0</v>
      </c>
      <c r="AN35" s="1">
        <f t="shared" si="11"/>
        <v>0</v>
      </c>
    </row>
    <row r="36" spans="2:41" ht="15.75" x14ac:dyDescent="0.25">
      <c r="B36" s="229" t="s">
        <v>19</v>
      </c>
      <c r="C36" s="229">
        <v>214</v>
      </c>
      <c r="E36" s="22">
        <f>F36-I36</f>
        <v>-12438.729900000006</v>
      </c>
      <c r="F36" s="268">
        <v>181285.5</v>
      </c>
      <c r="G36" s="265" t="s">
        <v>8</v>
      </c>
      <c r="H36" s="271">
        <v>42</v>
      </c>
      <c r="I36" s="268">
        <f>Z22</f>
        <v>193724.22990000001</v>
      </c>
      <c r="J36" s="268">
        <v>351676.10343388136</v>
      </c>
      <c r="K36" s="269">
        <f t="shared" ref="K36:K41" si="12">I36/J36</f>
        <v>0.55085980539596746</v>
      </c>
      <c r="L36" s="263"/>
      <c r="M36" s="270">
        <f t="shared" ref="M36:M41" si="13">I36/H36</f>
        <v>4612.481664285714</v>
      </c>
      <c r="N36" s="263"/>
      <c r="O36" s="263"/>
      <c r="P36" s="263"/>
      <c r="Q36" s="263"/>
      <c r="R36" s="263"/>
      <c r="S36" s="263"/>
      <c r="T36" s="264"/>
      <c r="AD36" s="1">
        <f t="shared" ref="AD36:AO36" si="14">AD13</f>
        <v>0</v>
      </c>
      <c r="AE36" s="1">
        <f t="shared" si="14"/>
        <v>40</v>
      </c>
      <c r="AF36" s="1">
        <f t="shared" si="14"/>
        <v>60</v>
      </c>
      <c r="AG36" s="1">
        <f t="shared" si="14"/>
        <v>0</v>
      </c>
      <c r="AH36" s="1">
        <f t="shared" si="14"/>
        <v>0</v>
      </c>
      <c r="AI36" s="1">
        <f t="shared" si="14"/>
        <v>0</v>
      </c>
      <c r="AJ36" s="1">
        <f t="shared" si="14"/>
        <v>0</v>
      </c>
      <c r="AK36" s="1">
        <f t="shared" si="14"/>
        <v>0</v>
      </c>
      <c r="AL36" s="1">
        <f t="shared" si="14"/>
        <v>0</v>
      </c>
      <c r="AM36" s="1">
        <f t="shared" si="14"/>
        <v>0</v>
      </c>
      <c r="AN36" s="1">
        <f t="shared" si="14"/>
        <v>0</v>
      </c>
      <c r="AO36" s="1">
        <f t="shared" si="14"/>
        <v>2000</v>
      </c>
    </row>
    <row r="37" spans="2:41" ht="15.75" x14ac:dyDescent="0.25">
      <c r="B37" s="229" t="s">
        <v>133</v>
      </c>
      <c r="C37" s="229">
        <v>313</v>
      </c>
      <c r="E37" s="22">
        <f t="shared" ref="E37:E42" si="15">F37-I37</f>
        <v>16259.682000000001</v>
      </c>
      <c r="F37" s="267">
        <v>197766</v>
      </c>
      <c r="G37" s="265" t="s">
        <v>11</v>
      </c>
      <c r="H37" s="266">
        <v>63</v>
      </c>
      <c r="I37" s="267">
        <f>Z29</f>
        <v>181506.318</v>
      </c>
      <c r="J37" s="268">
        <v>496933.62441744097</v>
      </c>
      <c r="K37" s="269">
        <f t="shared" si="12"/>
        <v>0.36525263955076742</v>
      </c>
      <c r="L37" s="263"/>
      <c r="M37" s="270">
        <f t="shared" si="13"/>
        <v>2881.0526666666665</v>
      </c>
      <c r="N37" s="263"/>
      <c r="O37" s="263"/>
      <c r="P37" s="263"/>
      <c r="Q37" s="263"/>
      <c r="R37" s="263"/>
      <c r="S37" s="263"/>
      <c r="T37" s="264"/>
      <c r="Y37" s="235" t="s">
        <v>33</v>
      </c>
      <c r="Z37" s="1">
        <f>SUM(AD37:AO37)</f>
        <v>149204.5275</v>
      </c>
      <c r="AB37" s="1" t="s">
        <v>106</v>
      </c>
      <c r="AD37" s="1">
        <f>IF($Z$35&gt;AD36,(IF($Z$35-AE36&gt;0,(AE36-AD36)*$B$16*AD39,($Z$35-AD36)*$B$16*AD39)),0)</f>
        <v>138437.264</v>
      </c>
      <c r="AE37" s="1">
        <f>IF($Z$35&gt;AE36,(IF($Z$35-AF36&gt;0,(AF36-AE36)*$B$17*AE39,($Z$35-AE36)*$B$17*AE39)),0)</f>
        <v>10767.263500000001</v>
      </c>
      <c r="AF37" s="1">
        <f t="shared" ref="AF37:AN37" si="16">IF($Z$35&gt;AF36,(IF($Z$35-AG36&gt;0,(AG36-AF36)*$B$16*AF39,($Z$35-AF36)*$B$16*AF39)),0)</f>
        <v>0</v>
      </c>
      <c r="AG37" s="1">
        <f t="shared" si="16"/>
        <v>0</v>
      </c>
      <c r="AH37" s="1">
        <f t="shared" si="16"/>
        <v>0</v>
      </c>
      <c r="AI37" s="1">
        <f t="shared" si="16"/>
        <v>0</v>
      </c>
      <c r="AJ37" s="1">
        <f t="shared" si="16"/>
        <v>0</v>
      </c>
      <c r="AK37" s="1">
        <f t="shared" si="16"/>
        <v>0</v>
      </c>
      <c r="AL37" s="1">
        <f t="shared" si="16"/>
        <v>0</v>
      </c>
      <c r="AM37" s="1">
        <f t="shared" si="16"/>
        <v>0</v>
      </c>
      <c r="AN37" s="1">
        <f t="shared" si="16"/>
        <v>0</v>
      </c>
    </row>
    <row r="38" spans="2:41" ht="15.75" x14ac:dyDescent="0.25">
      <c r="B38" s="229" t="s">
        <v>134</v>
      </c>
      <c r="C38" s="229">
        <v>581</v>
      </c>
      <c r="E38" s="22">
        <f t="shared" si="15"/>
        <v>15600.472500000003</v>
      </c>
      <c r="F38" s="267">
        <v>164805</v>
      </c>
      <c r="G38" s="265" t="s">
        <v>22</v>
      </c>
      <c r="H38" s="266">
        <v>45</v>
      </c>
      <c r="I38" s="267">
        <f>Z37</f>
        <v>149204.5275</v>
      </c>
      <c r="J38" s="268">
        <v>336385.83806719084</v>
      </c>
      <c r="K38" s="269">
        <f t="shared" si="12"/>
        <v>0.44355175104071232</v>
      </c>
      <c r="L38" s="263"/>
      <c r="M38" s="270">
        <f t="shared" si="13"/>
        <v>3315.6561666666666</v>
      </c>
      <c r="N38" s="263"/>
      <c r="O38" s="263"/>
      <c r="P38" s="263"/>
      <c r="Q38" s="263"/>
      <c r="R38" s="263"/>
      <c r="S38" s="263"/>
      <c r="T38" s="264"/>
    </row>
    <row r="39" spans="2:41" ht="15.75" customHeight="1" x14ac:dyDescent="0.25">
      <c r="B39" s="229" t="s">
        <v>135</v>
      </c>
      <c r="C39" s="229">
        <v>1102</v>
      </c>
      <c r="E39" s="22">
        <f t="shared" si="15"/>
        <v>-7252.2864000000118</v>
      </c>
      <c r="F39" s="267">
        <v>105475.19999999998</v>
      </c>
      <c r="G39" s="265" t="s">
        <v>15</v>
      </c>
      <c r="H39" s="266">
        <v>24</v>
      </c>
      <c r="I39" s="267">
        <f>Z44</f>
        <v>112727.48639999999</v>
      </c>
      <c r="J39" s="268">
        <v>252289.37855039316</v>
      </c>
      <c r="K39" s="269">
        <f t="shared" si="12"/>
        <v>0.44681820157356889</v>
      </c>
      <c r="L39" s="263"/>
      <c r="M39" s="270">
        <f t="shared" si="13"/>
        <v>4696.9785999999995</v>
      </c>
      <c r="N39" s="263"/>
      <c r="O39" s="263"/>
      <c r="P39" s="263"/>
      <c r="Q39" s="263"/>
      <c r="R39" s="263"/>
      <c r="S39" s="263"/>
      <c r="T39" s="264"/>
      <c r="AB39" s="1" t="s">
        <v>109</v>
      </c>
      <c r="AD39" s="218">
        <f t="shared" ref="AD39:AO39" si="17">AD16</f>
        <v>0.14000000000000001</v>
      </c>
      <c r="AE39" s="218">
        <f t="shared" si="17"/>
        <v>0.14000000000000001</v>
      </c>
      <c r="AF39" s="218">
        <f t="shared" si="17"/>
        <v>0</v>
      </c>
      <c r="AG39" s="218">
        <f t="shared" si="17"/>
        <v>0</v>
      </c>
      <c r="AH39" s="218">
        <f t="shared" si="17"/>
        <v>0</v>
      </c>
      <c r="AI39" s="218">
        <f t="shared" si="17"/>
        <v>0</v>
      </c>
      <c r="AJ39" s="218">
        <f t="shared" si="17"/>
        <v>0</v>
      </c>
      <c r="AK39" s="218">
        <f t="shared" si="17"/>
        <v>0</v>
      </c>
      <c r="AL39" s="218">
        <f t="shared" si="17"/>
        <v>0</v>
      </c>
      <c r="AM39" s="218">
        <f t="shared" si="17"/>
        <v>0</v>
      </c>
      <c r="AN39" s="218">
        <f t="shared" si="17"/>
        <v>0</v>
      </c>
      <c r="AO39" s="218">
        <f t="shared" si="17"/>
        <v>0</v>
      </c>
    </row>
    <row r="40" spans="2:41" ht="15" customHeight="1" x14ac:dyDescent="0.25">
      <c r="B40" s="229"/>
      <c r="C40" s="229"/>
      <c r="E40" s="22">
        <f t="shared" si="15"/>
        <v>-2417.4287999999942</v>
      </c>
      <c r="F40" s="267">
        <v>35158.400000000001</v>
      </c>
      <c r="G40" s="265" t="s">
        <v>128</v>
      </c>
      <c r="H40" s="266">
        <v>8</v>
      </c>
      <c r="I40" s="267">
        <f>Z52</f>
        <v>37575.828799999996</v>
      </c>
      <c r="J40" s="268">
        <v>61161.061466761974</v>
      </c>
      <c r="K40" s="269">
        <f t="shared" si="12"/>
        <v>0.61437502716365722</v>
      </c>
      <c r="L40" s="263"/>
      <c r="M40" s="270">
        <f t="shared" si="13"/>
        <v>4696.9785999999995</v>
      </c>
      <c r="N40" s="263"/>
      <c r="O40" s="263"/>
      <c r="P40" s="263"/>
      <c r="Q40" s="263"/>
      <c r="R40" s="263"/>
      <c r="S40" s="263"/>
      <c r="T40" s="264"/>
    </row>
    <row r="41" spans="2:41" ht="15.75" x14ac:dyDescent="0.25">
      <c r="B41" s="229" t="s">
        <v>32</v>
      </c>
      <c r="C41" s="229">
        <f>SUM(C24:C39)</f>
        <v>3165</v>
      </c>
      <c r="E41" s="22">
        <f t="shared" si="15"/>
        <v>-7856.6435999999812</v>
      </c>
      <c r="F41" s="267">
        <v>114264.8</v>
      </c>
      <c r="G41" s="265" t="s">
        <v>16</v>
      </c>
      <c r="H41" s="266">
        <v>26</v>
      </c>
      <c r="I41" s="267">
        <f>Z59</f>
        <v>122121.44359999998</v>
      </c>
      <c r="J41" s="268">
        <v>229353.98050035737</v>
      </c>
      <c r="K41" s="269">
        <f t="shared" si="12"/>
        <v>0.53245835687516962</v>
      </c>
      <c r="L41" s="263"/>
      <c r="M41" s="270">
        <f t="shared" si="13"/>
        <v>4696.9785999999995</v>
      </c>
      <c r="N41" s="263"/>
      <c r="O41" s="263"/>
      <c r="P41" s="263"/>
      <c r="Q41" s="263"/>
      <c r="R41" s="263"/>
      <c r="S41" s="263"/>
      <c r="T41" s="264"/>
    </row>
    <row r="42" spans="2:41" ht="15.75" x14ac:dyDescent="0.25">
      <c r="B42" s="229"/>
      <c r="C42" s="229"/>
      <c r="E42" s="22">
        <f t="shared" si="15"/>
        <v>798754.9</v>
      </c>
      <c r="F42" s="1339">
        <f>SUM(F36:F41)</f>
        <v>798754.9</v>
      </c>
      <c r="G42" s="265"/>
      <c r="H42" s="266"/>
      <c r="I42" s="267"/>
      <c r="J42" s="268"/>
      <c r="K42" s="269"/>
      <c r="L42" s="263"/>
      <c r="M42" s="270"/>
      <c r="N42" s="263"/>
      <c r="O42" s="263"/>
      <c r="P42" s="263"/>
      <c r="Q42" s="263"/>
      <c r="R42" s="263"/>
      <c r="S42" s="263"/>
      <c r="T42" s="264"/>
      <c r="Y42" s="235" t="s">
        <v>15</v>
      </c>
      <c r="Z42" s="1">
        <f>C28</f>
        <v>24</v>
      </c>
      <c r="AB42" s="1" t="s">
        <v>103</v>
      </c>
      <c r="AD42" s="1" t="str">
        <f t="shared" ref="AD42:AN42" si="18">AD20</f>
        <v>0-40</v>
      </c>
      <c r="AE42" s="1" t="str">
        <f t="shared" si="18"/>
        <v>40-60</v>
      </c>
      <c r="AF42" s="1" t="str">
        <f t="shared" si="18"/>
        <v>60-80</v>
      </c>
      <c r="AG42" s="1">
        <f t="shared" si="18"/>
        <v>0</v>
      </c>
      <c r="AH42" s="1">
        <f t="shared" si="18"/>
        <v>0</v>
      </c>
      <c r="AI42" s="1">
        <f t="shared" si="18"/>
        <v>0</v>
      </c>
      <c r="AJ42" s="1">
        <f t="shared" si="18"/>
        <v>0</v>
      </c>
      <c r="AK42" s="1">
        <f t="shared" si="18"/>
        <v>0</v>
      </c>
      <c r="AL42" s="1">
        <f t="shared" si="18"/>
        <v>0</v>
      </c>
      <c r="AM42" s="1">
        <f t="shared" si="18"/>
        <v>0</v>
      </c>
      <c r="AN42" s="1">
        <f t="shared" si="18"/>
        <v>0</v>
      </c>
    </row>
    <row r="43" spans="2:41" ht="15.75" x14ac:dyDescent="0.25">
      <c r="B43" s="229" t="s">
        <v>136</v>
      </c>
      <c r="C43" s="229">
        <v>3165</v>
      </c>
      <c r="G43" s="265"/>
      <c r="H43" s="266"/>
      <c r="I43" s="267"/>
      <c r="J43" s="268"/>
      <c r="K43" s="269"/>
      <c r="L43" s="263"/>
      <c r="M43" s="270"/>
      <c r="N43" s="263"/>
      <c r="O43" s="263"/>
      <c r="P43" s="263"/>
      <c r="Q43" s="263"/>
      <c r="R43" s="263"/>
      <c r="S43" s="263"/>
      <c r="T43" s="264"/>
      <c r="AD43" s="1">
        <f t="shared" ref="AD43:AO43" si="19">AD13</f>
        <v>0</v>
      </c>
      <c r="AE43" s="1">
        <f t="shared" si="19"/>
        <v>40</v>
      </c>
      <c r="AF43" s="1">
        <f t="shared" si="19"/>
        <v>60</v>
      </c>
      <c r="AG43" s="1">
        <f t="shared" si="19"/>
        <v>0</v>
      </c>
      <c r="AH43" s="1">
        <f t="shared" si="19"/>
        <v>0</v>
      </c>
      <c r="AI43" s="1">
        <f t="shared" si="19"/>
        <v>0</v>
      </c>
      <c r="AJ43" s="1">
        <f t="shared" si="19"/>
        <v>0</v>
      </c>
      <c r="AK43" s="1">
        <f t="shared" si="19"/>
        <v>0</v>
      </c>
      <c r="AL43" s="1">
        <f t="shared" si="19"/>
        <v>0</v>
      </c>
      <c r="AM43" s="1">
        <f t="shared" si="19"/>
        <v>0</v>
      </c>
      <c r="AN43" s="1">
        <f t="shared" si="19"/>
        <v>0</v>
      </c>
      <c r="AO43" s="1">
        <f t="shared" si="19"/>
        <v>2000</v>
      </c>
    </row>
    <row r="44" spans="2:41" ht="15.75" x14ac:dyDescent="0.25">
      <c r="G44" s="265"/>
      <c r="H44" s="271"/>
      <c r="I44" s="268"/>
      <c r="J44" s="268"/>
      <c r="K44" s="269"/>
      <c r="L44" s="263"/>
      <c r="M44" s="270"/>
      <c r="N44" s="263"/>
      <c r="O44" s="263"/>
      <c r="P44" s="263"/>
      <c r="Q44" s="263"/>
      <c r="R44" s="263"/>
      <c r="S44" s="263"/>
      <c r="T44" s="264"/>
      <c r="Y44" s="235" t="s">
        <v>33</v>
      </c>
      <c r="Z44" s="1">
        <f>SUM(AD44:AO44)</f>
        <v>112727.48639999999</v>
      </c>
      <c r="AB44" s="1" t="s">
        <v>106</v>
      </c>
      <c r="AD44" s="1">
        <f>IF($Z$42&gt;AD43,(IF($Z$42-AE43&gt;0,(AE43-AD43)*$B$16*AD46,($Z$42-AD43)*$B$16*AD46)),0)</f>
        <v>112727.48639999999</v>
      </c>
      <c r="AE44" s="1">
        <f>IF($Z$42&gt;AE43,(IF($Z$42-AF43&gt;0,(AF43-AE43)*$B$17*AE46,($Z$42-AE43)*$B$17*AE46)),0)</f>
        <v>0</v>
      </c>
      <c r="AF44" s="1">
        <f t="shared" ref="AF44:AN44" si="20">IF($Z$42&gt;AF43,(IF($Z$42-AG43&gt;0,(AG43-AF43)*$B$16*AF46,($Z$42-AF43)*$B$16*AF46)),0)</f>
        <v>0</v>
      </c>
      <c r="AG44" s="1">
        <f t="shared" si="20"/>
        <v>0</v>
      </c>
      <c r="AH44" s="1">
        <f t="shared" si="20"/>
        <v>0</v>
      </c>
      <c r="AI44" s="1">
        <f t="shared" si="20"/>
        <v>0</v>
      </c>
      <c r="AJ44" s="1">
        <f t="shared" si="20"/>
        <v>0</v>
      </c>
      <c r="AK44" s="1">
        <f t="shared" si="20"/>
        <v>0</v>
      </c>
      <c r="AL44" s="1">
        <f t="shared" si="20"/>
        <v>0</v>
      </c>
      <c r="AM44" s="1">
        <f t="shared" si="20"/>
        <v>0</v>
      </c>
      <c r="AN44" s="1">
        <f t="shared" si="20"/>
        <v>0</v>
      </c>
    </row>
    <row r="45" spans="2:41" ht="15.75" x14ac:dyDescent="0.25">
      <c r="G45" s="265"/>
      <c r="H45" s="271"/>
      <c r="I45" s="268"/>
      <c r="J45" s="268"/>
      <c r="K45" s="269"/>
      <c r="L45" s="263"/>
      <c r="M45" s="270"/>
      <c r="N45" s="263"/>
      <c r="O45" s="263"/>
      <c r="P45" s="263"/>
      <c r="Q45" s="263"/>
      <c r="R45" s="263"/>
      <c r="S45" s="263"/>
      <c r="T45" s="264"/>
    </row>
    <row r="46" spans="2:41" ht="15.75" x14ac:dyDescent="0.25">
      <c r="G46" s="265"/>
      <c r="H46" s="266"/>
      <c r="I46" s="267"/>
      <c r="J46" s="268"/>
      <c r="K46" s="269"/>
      <c r="L46" s="263"/>
      <c r="M46" s="270"/>
      <c r="N46" s="263"/>
      <c r="O46" s="263"/>
      <c r="P46" s="263"/>
      <c r="Q46" s="263"/>
      <c r="R46" s="263"/>
      <c r="S46" s="263"/>
      <c r="T46" s="264"/>
      <c r="AB46" s="1" t="s">
        <v>109</v>
      </c>
      <c r="AD46" s="218">
        <f>I23</f>
        <v>0.19</v>
      </c>
      <c r="AE46" s="218">
        <f>J23</f>
        <v>0.19</v>
      </c>
      <c r="AF46" s="218">
        <f t="shared" ref="AF46:AO46" si="21">AF16</f>
        <v>0</v>
      </c>
      <c r="AG46" s="218">
        <f t="shared" si="21"/>
        <v>0</v>
      </c>
      <c r="AH46" s="218">
        <f t="shared" si="21"/>
        <v>0</v>
      </c>
      <c r="AI46" s="218">
        <f t="shared" si="21"/>
        <v>0</v>
      </c>
      <c r="AJ46" s="218">
        <f t="shared" si="21"/>
        <v>0</v>
      </c>
      <c r="AK46" s="218">
        <f t="shared" si="21"/>
        <v>0</v>
      </c>
      <c r="AL46" s="218">
        <f t="shared" si="21"/>
        <v>0</v>
      </c>
      <c r="AM46" s="218">
        <f t="shared" si="21"/>
        <v>0</v>
      </c>
      <c r="AN46" s="218">
        <f t="shared" si="21"/>
        <v>0</v>
      </c>
      <c r="AO46" s="218">
        <f t="shared" si="21"/>
        <v>0</v>
      </c>
    </row>
    <row r="47" spans="2:41" ht="15.75" x14ac:dyDescent="0.25">
      <c r="G47" s="265"/>
      <c r="H47" s="266"/>
      <c r="I47" s="267"/>
      <c r="J47" s="268"/>
      <c r="K47" s="269"/>
      <c r="L47" s="263"/>
      <c r="M47" s="270"/>
      <c r="N47" s="263"/>
      <c r="O47" s="263"/>
      <c r="P47" s="263"/>
      <c r="Q47" s="263"/>
      <c r="R47" s="263"/>
      <c r="S47" s="263"/>
      <c r="T47" s="264"/>
    </row>
    <row r="48" spans="2:41" ht="15.75" x14ac:dyDescent="0.25">
      <c r="G48" s="265"/>
      <c r="H48" s="266"/>
      <c r="I48" s="267"/>
      <c r="J48" s="268"/>
      <c r="K48" s="269"/>
      <c r="L48" s="263"/>
      <c r="M48" s="270"/>
      <c r="N48" s="263"/>
      <c r="O48" s="263"/>
      <c r="P48" s="263"/>
      <c r="Q48" s="263"/>
      <c r="R48" s="263"/>
      <c r="S48" s="263"/>
      <c r="T48" s="264"/>
    </row>
    <row r="49" spans="2:41" ht="15.75" x14ac:dyDescent="0.25">
      <c r="G49" s="265"/>
      <c r="H49" s="266"/>
      <c r="I49" s="267"/>
      <c r="J49" s="268"/>
      <c r="K49" s="269"/>
      <c r="L49" s="263"/>
      <c r="M49" s="270"/>
      <c r="N49" s="263"/>
      <c r="O49" s="263"/>
      <c r="P49" s="263"/>
      <c r="Q49" s="263"/>
      <c r="R49" s="263"/>
      <c r="S49" s="263"/>
      <c r="T49" s="264"/>
    </row>
    <row r="50" spans="2:41" ht="15.75" x14ac:dyDescent="0.25">
      <c r="G50" s="265"/>
      <c r="H50" s="266"/>
      <c r="I50" s="267"/>
      <c r="J50" s="268"/>
      <c r="K50" s="269"/>
      <c r="L50" s="263"/>
      <c r="M50" s="270"/>
      <c r="N50" s="263"/>
      <c r="O50" s="263"/>
      <c r="P50" s="263"/>
      <c r="Q50" s="263"/>
      <c r="R50" s="263"/>
      <c r="S50" s="263"/>
      <c r="T50" s="264"/>
      <c r="Y50" s="235" t="s">
        <v>128</v>
      </c>
      <c r="Z50" s="1">
        <f>C29</f>
        <v>8</v>
      </c>
      <c r="AB50" s="1" t="s">
        <v>103</v>
      </c>
      <c r="AD50" s="1" t="str">
        <f t="shared" ref="AD50:AN50" si="22">AD20</f>
        <v>0-40</v>
      </c>
      <c r="AE50" s="1" t="str">
        <f t="shared" si="22"/>
        <v>40-60</v>
      </c>
      <c r="AF50" s="1" t="str">
        <f t="shared" si="22"/>
        <v>60-80</v>
      </c>
      <c r="AG50" s="1">
        <f t="shared" si="22"/>
        <v>0</v>
      </c>
      <c r="AH50" s="1">
        <f t="shared" si="22"/>
        <v>0</v>
      </c>
      <c r="AI50" s="1">
        <f t="shared" si="22"/>
        <v>0</v>
      </c>
      <c r="AJ50" s="1">
        <f t="shared" si="22"/>
        <v>0</v>
      </c>
      <c r="AK50" s="1">
        <f t="shared" si="22"/>
        <v>0</v>
      </c>
      <c r="AL50" s="1">
        <f t="shared" si="22"/>
        <v>0</v>
      </c>
      <c r="AM50" s="1">
        <f t="shared" si="22"/>
        <v>0</v>
      </c>
      <c r="AN50" s="1">
        <f t="shared" si="22"/>
        <v>0</v>
      </c>
    </row>
    <row r="51" spans="2:41" ht="15.75" x14ac:dyDescent="0.25">
      <c r="G51" s="265"/>
      <c r="H51" s="266"/>
      <c r="I51" s="267"/>
      <c r="J51" s="268"/>
      <c r="K51" s="269"/>
      <c r="L51" s="263"/>
      <c r="M51" s="270"/>
      <c r="N51" s="263"/>
      <c r="O51" s="263"/>
      <c r="P51" s="263"/>
      <c r="Q51" s="263"/>
      <c r="R51" s="263"/>
      <c r="S51" s="263"/>
      <c r="T51" s="264"/>
      <c r="AD51" s="1">
        <f t="shared" ref="AD51:AO51" si="23">AD13</f>
        <v>0</v>
      </c>
      <c r="AE51" s="1">
        <f t="shared" si="23"/>
        <v>40</v>
      </c>
      <c r="AF51" s="1">
        <f t="shared" si="23"/>
        <v>60</v>
      </c>
      <c r="AG51" s="1">
        <f t="shared" si="23"/>
        <v>0</v>
      </c>
      <c r="AH51" s="1">
        <f t="shared" si="23"/>
        <v>0</v>
      </c>
      <c r="AI51" s="1">
        <f t="shared" si="23"/>
        <v>0</v>
      </c>
      <c r="AJ51" s="1">
        <f t="shared" si="23"/>
        <v>0</v>
      </c>
      <c r="AK51" s="1">
        <f t="shared" si="23"/>
        <v>0</v>
      </c>
      <c r="AL51" s="1">
        <f t="shared" si="23"/>
        <v>0</v>
      </c>
      <c r="AM51" s="1">
        <f t="shared" si="23"/>
        <v>0</v>
      </c>
      <c r="AN51" s="1">
        <f t="shared" si="23"/>
        <v>0</v>
      </c>
      <c r="AO51" s="1">
        <f t="shared" si="23"/>
        <v>2000</v>
      </c>
    </row>
    <row r="52" spans="2:41" ht="15.75" x14ac:dyDescent="0.25">
      <c r="G52" s="265" t="s">
        <v>32</v>
      </c>
      <c r="H52" s="266">
        <f>SUM(H35:H50)</f>
        <v>208</v>
      </c>
      <c r="I52" s="267">
        <f>SUM(I35:I50)</f>
        <v>796859.83420000004</v>
      </c>
      <c r="J52" s="267">
        <f>SUM(J35:J50)</f>
        <v>1727799.9864360255</v>
      </c>
      <c r="K52" s="269">
        <f>I52/J52</f>
        <v>0.46119912053229145</v>
      </c>
      <c r="L52" s="263"/>
      <c r="M52" s="270">
        <f>I52/H52</f>
        <v>3831.0568951923078</v>
      </c>
      <c r="N52" s="263"/>
      <c r="O52" s="263"/>
      <c r="P52" s="263"/>
      <c r="Q52" s="263"/>
      <c r="R52" s="263"/>
      <c r="S52" s="263"/>
      <c r="T52" s="264"/>
      <c r="Y52" s="235" t="s">
        <v>33</v>
      </c>
      <c r="Z52" s="1">
        <f>SUM(AD52:AO52)</f>
        <v>37575.828799999996</v>
      </c>
      <c r="AB52" s="1" t="s">
        <v>106</v>
      </c>
      <c r="AD52" s="1">
        <f>IF($Z$50&gt;AD51,(IF($Z$50-AE51&gt;0,(AE51-AD51)*$B$16*AD54,($Z$50-AD51)*$B$16*AD54)),0)</f>
        <v>37575.828799999996</v>
      </c>
      <c r="AE52" s="1">
        <f>IF($Z$50&gt;AE51,(IF($Z$50-AF51&gt;0,(AF51-AE51)*$B$17*AE54,($Z$50-AE51)*$B$17*AE54)),0)</f>
        <v>0</v>
      </c>
      <c r="AF52" s="1">
        <f t="shared" ref="AF52:AN52" si="24">IF($Z$50&gt;AF51,(IF($Z$50-AG51&gt;0,(AG51-AF51)*$B$16*AF54,($Z$50-AF51)*$B$16*AF54)),0)</f>
        <v>0</v>
      </c>
      <c r="AG52" s="1">
        <f t="shared" si="24"/>
        <v>0</v>
      </c>
      <c r="AH52" s="1">
        <f t="shared" si="24"/>
        <v>0</v>
      </c>
      <c r="AI52" s="1">
        <f t="shared" si="24"/>
        <v>0</v>
      </c>
      <c r="AJ52" s="1">
        <f t="shared" si="24"/>
        <v>0</v>
      </c>
      <c r="AK52" s="1">
        <f t="shared" si="24"/>
        <v>0</v>
      </c>
      <c r="AL52" s="1">
        <f t="shared" si="24"/>
        <v>0</v>
      </c>
      <c r="AM52" s="1">
        <f t="shared" si="24"/>
        <v>0</v>
      </c>
      <c r="AN52" s="1">
        <f t="shared" si="24"/>
        <v>0</v>
      </c>
    </row>
    <row r="53" spans="2:41" ht="15.75" x14ac:dyDescent="0.25">
      <c r="G53" s="265"/>
      <c r="H53" s="272"/>
      <c r="I53" s="273"/>
      <c r="J53" s="274"/>
      <c r="K53" s="263"/>
      <c r="L53" s="263"/>
      <c r="M53" s="263"/>
      <c r="N53" s="263"/>
      <c r="O53" s="263"/>
      <c r="P53" s="263"/>
      <c r="Q53" s="263"/>
      <c r="R53" s="263"/>
      <c r="S53" s="263"/>
      <c r="T53" s="264"/>
    </row>
    <row r="54" spans="2:41" x14ac:dyDescent="0.2">
      <c r="G54" s="260"/>
      <c r="H54" s="272"/>
      <c r="I54" s="273"/>
      <c r="J54" s="263"/>
      <c r="K54" s="263"/>
      <c r="L54" s="263"/>
      <c r="M54" s="263"/>
      <c r="N54" s="263"/>
      <c r="O54" s="263"/>
      <c r="P54" s="263"/>
      <c r="Q54" s="263"/>
      <c r="R54" s="263"/>
      <c r="S54" s="263"/>
      <c r="T54" s="264"/>
      <c r="AB54" s="1" t="s">
        <v>109</v>
      </c>
      <c r="AD54" s="218">
        <f>I23</f>
        <v>0.19</v>
      </c>
      <c r="AE54" s="218">
        <f>J23</f>
        <v>0.19</v>
      </c>
      <c r="AF54" s="218">
        <f t="shared" ref="AF54:AO54" si="25">AF16</f>
        <v>0</v>
      </c>
      <c r="AG54" s="218">
        <f t="shared" si="25"/>
        <v>0</v>
      </c>
      <c r="AH54" s="218">
        <f t="shared" si="25"/>
        <v>0</v>
      </c>
      <c r="AI54" s="218">
        <f t="shared" si="25"/>
        <v>0</v>
      </c>
      <c r="AJ54" s="218">
        <f t="shared" si="25"/>
        <v>0</v>
      </c>
      <c r="AK54" s="218">
        <f t="shared" si="25"/>
        <v>0</v>
      </c>
      <c r="AL54" s="218">
        <f t="shared" si="25"/>
        <v>0</v>
      </c>
      <c r="AM54" s="218">
        <f t="shared" si="25"/>
        <v>0</v>
      </c>
      <c r="AN54" s="218">
        <f t="shared" si="25"/>
        <v>0</v>
      </c>
      <c r="AO54" s="218">
        <f t="shared" si="25"/>
        <v>0</v>
      </c>
    </row>
    <row r="55" spans="2:41" x14ac:dyDescent="0.2">
      <c r="G55" s="260"/>
      <c r="H55" s="272"/>
      <c r="I55" s="273"/>
      <c r="J55" s="263"/>
      <c r="K55" s="263"/>
      <c r="L55" s="263"/>
      <c r="M55" s="263"/>
      <c r="N55" s="263"/>
      <c r="O55" s="263"/>
      <c r="P55" s="263"/>
      <c r="Q55" s="263"/>
      <c r="R55" s="263"/>
      <c r="S55" s="263"/>
      <c r="T55" s="264"/>
    </row>
    <row r="56" spans="2:41" ht="15.75" thickBot="1" x14ac:dyDescent="0.25">
      <c r="G56" s="275"/>
      <c r="H56" s="276"/>
      <c r="I56" s="277"/>
      <c r="J56" s="278"/>
      <c r="K56" s="278"/>
      <c r="L56" s="278"/>
      <c r="M56" s="278"/>
      <c r="N56" s="278"/>
      <c r="O56" s="278"/>
      <c r="P56" s="278"/>
      <c r="Q56" s="278"/>
      <c r="R56" s="278"/>
      <c r="S56" s="278"/>
      <c r="T56" s="279"/>
    </row>
    <row r="57" spans="2:41" ht="15.75" x14ac:dyDescent="0.25">
      <c r="Y57" s="280" t="s">
        <v>16</v>
      </c>
      <c r="Z57" s="1">
        <f>C30</f>
        <v>26</v>
      </c>
      <c r="AB57" s="1" t="s">
        <v>103</v>
      </c>
      <c r="AD57" s="1" t="str">
        <f t="shared" ref="AD57:AN57" si="26">AD20</f>
        <v>0-40</v>
      </c>
      <c r="AE57" s="1" t="str">
        <f t="shared" si="26"/>
        <v>40-60</v>
      </c>
      <c r="AF57" s="1" t="str">
        <f t="shared" si="26"/>
        <v>60-80</v>
      </c>
      <c r="AG57" s="1">
        <f t="shared" si="26"/>
        <v>0</v>
      </c>
      <c r="AH57" s="1">
        <f t="shared" si="26"/>
        <v>0</v>
      </c>
      <c r="AI57" s="1">
        <f t="shared" si="26"/>
        <v>0</v>
      </c>
      <c r="AJ57" s="1">
        <f t="shared" si="26"/>
        <v>0</v>
      </c>
      <c r="AK57" s="1">
        <f t="shared" si="26"/>
        <v>0</v>
      </c>
      <c r="AL57" s="1">
        <f t="shared" si="26"/>
        <v>0</v>
      </c>
      <c r="AM57" s="1">
        <f t="shared" si="26"/>
        <v>0</v>
      </c>
      <c r="AN57" s="1">
        <f t="shared" si="26"/>
        <v>0</v>
      </c>
    </row>
    <row r="58" spans="2:41" ht="28.5" thickBot="1" x14ac:dyDescent="0.45">
      <c r="B58" s="752" t="s">
        <v>416</v>
      </c>
      <c r="C58" s="749"/>
      <c r="D58" s="749"/>
      <c r="E58" s="749"/>
      <c r="F58" s="749"/>
      <c r="AD58" s="1">
        <f t="shared" ref="AD58:AO58" si="27">AD13</f>
        <v>0</v>
      </c>
      <c r="AE58" s="1">
        <f t="shared" si="27"/>
        <v>40</v>
      </c>
      <c r="AF58" s="1">
        <f t="shared" si="27"/>
        <v>60</v>
      </c>
      <c r="AG58" s="1">
        <f t="shared" si="27"/>
        <v>0</v>
      </c>
      <c r="AH58" s="1">
        <f t="shared" si="27"/>
        <v>0</v>
      </c>
      <c r="AI58" s="1">
        <f t="shared" si="27"/>
        <v>0</v>
      </c>
      <c r="AJ58" s="1">
        <f t="shared" si="27"/>
        <v>0</v>
      </c>
      <c r="AK58" s="1">
        <f t="shared" si="27"/>
        <v>0</v>
      </c>
      <c r="AL58" s="1">
        <f t="shared" si="27"/>
        <v>0</v>
      </c>
      <c r="AM58" s="1">
        <f t="shared" si="27"/>
        <v>0</v>
      </c>
      <c r="AN58" s="1">
        <f t="shared" si="27"/>
        <v>0</v>
      </c>
      <c r="AO58" s="1">
        <f t="shared" si="27"/>
        <v>2000</v>
      </c>
    </row>
    <row r="59" spans="2:41" ht="15.75" thickTop="1" x14ac:dyDescent="0.2">
      <c r="Y59" s="235" t="s">
        <v>33</v>
      </c>
      <c r="Z59" s="1">
        <f>SUM(AD59:AO59)</f>
        <v>122121.44359999998</v>
      </c>
      <c r="AB59" s="1" t="s">
        <v>106</v>
      </c>
      <c r="AD59" s="1">
        <f>IF($Z$57&gt;AD58,(IF($Z$57-AE58&gt;0,(AE58-AD58)*$B$16*AD61,($Z$57-AD58)*$B$16*AD61)),0)</f>
        <v>122121.44359999998</v>
      </c>
      <c r="AE59" s="1">
        <f>IF($Z$57&gt;AE58,(IF($Z$57-AF58&gt;0,(AF58-AE58)*$B$17*AE61,($Z$57-AE58)*$B$17*AE61)),0)</f>
        <v>0</v>
      </c>
      <c r="AF59" s="1">
        <f t="shared" ref="AF59:AN59" si="28">IF($Z$57&gt;AF58,(IF($Z$57-AG58&gt;0,(AG58-AF58)*$B$16*AF61,($Z$57-AF58)*$B$16*AF61)),0)</f>
        <v>0</v>
      </c>
      <c r="AG59" s="1">
        <f t="shared" si="28"/>
        <v>0</v>
      </c>
      <c r="AH59" s="1">
        <f t="shared" si="28"/>
        <v>0</v>
      </c>
      <c r="AI59" s="1">
        <f t="shared" si="28"/>
        <v>0</v>
      </c>
      <c r="AJ59" s="1">
        <f t="shared" si="28"/>
        <v>0</v>
      </c>
      <c r="AK59" s="1">
        <f t="shared" si="28"/>
        <v>0</v>
      </c>
      <c r="AL59" s="1">
        <f t="shared" si="28"/>
        <v>0</v>
      </c>
      <c r="AM59" s="1">
        <f t="shared" si="28"/>
        <v>0</v>
      </c>
      <c r="AN59" s="1">
        <f t="shared" si="28"/>
        <v>0</v>
      </c>
    </row>
    <row r="60" spans="2:41" x14ac:dyDescent="0.2">
      <c r="G60" s="1" t="s">
        <v>137</v>
      </c>
    </row>
    <row r="61" spans="2:41" x14ac:dyDescent="0.2">
      <c r="G61" s="219"/>
      <c r="H61" s="219"/>
      <c r="I61" s="219"/>
      <c r="J61" s="219"/>
      <c r="K61" s="219"/>
      <c r="L61" s="219"/>
      <c r="M61" s="219"/>
      <c r="N61" s="219"/>
      <c r="O61" s="219"/>
      <c r="P61" s="219"/>
      <c r="Q61" s="219"/>
      <c r="R61" s="219"/>
      <c r="S61" s="219"/>
      <c r="T61" s="219"/>
      <c r="U61" s="219"/>
      <c r="V61" s="219"/>
      <c r="AB61" s="1" t="s">
        <v>109</v>
      </c>
      <c r="AD61" s="218">
        <f>I23</f>
        <v>0.19</v>
      </c>
      <c r="AE61" s="218">
        <f>J23</f>
        <v>0.19</v>
      </c>
      <c r="AF61" s="218">
        <f t="shared" ref="AF61:AO61" si="29">AF16</f>
        <v>0</v>
      </c>
      <c r="AG61" s="218">
        <f t="shared" si="29"/>
        <v>0</v>
      </c>
      <c r="AH61" s="218">
        <f t="shared" si="29"/>
        <v>0</v>
      </c>
      <c r="AI61" s="218">
        <f t="shared" si="29"/>
        <v>0</v>
      </c>
      <c r="AJ61" s="218">
        <f t="shared" si="29"/>
        <v>0</v>
      </c>
      <c r="AK61" s="218">
        <f t="shared" si="29"/>
        <v>0</v>
      </c>
      <c r="AL61" s="218">
        <f t="shared" si="29"/>
        <v>0</v>
      </c>
      <c r="AM61" s="218">
        <f t="shared" si="29"/>
        <v>0</v>
      </c>
      <c r="AN61" s="218">
        <f t="shared" si="29"/>
        <v>0</v>
      </c>
      <c r="AO61" s="218">
        <f t="shared" si="29"/>
        <v>0</v>
      </c>
    </row>
    <row r="62" spans="2:41" ht="15.75" thickBot="1" x14ac:dyDescent="0.25">
      <c r="B62" s="1" t="s">
        <v>511</v>
      </c>
      <c r="G62" s="219"/>
      <c r="H62" s="219"/>
      <c r="I62" s="219"/>
      <c r="J62" s="21"/>
      <c r="K62" s="21"/>
      <c r="L62" s="21"/>
      <c r="M62" s="21"/>
      <c r="N62" s="21"/>
      <c r="O62" s="21"/>
      <c r="P62" s="21"/>
      <c r="Q62" s="21"/>
      <c r="R62" s="21"/>
      <c r="S62" s="21"/>
      <c r="T62" s="21"/>
      <c r="U62" s="21"/>
      <c r="V62" s="219"/>
      <c r="W62" s="219"/>
    </row>
    <row r="63" spans="2:41" ht="16.5" thickBot="1" x14ac:dyDescent="0.3">
      <c r="B63" s="435" t="s">
        <v>463</v>
      </c>
      <c r="C63" s="436"/>
      <c r="D63" s="437"/>
      <c r="E63" s="437"/>
      <c r="F63" s="437"/>
      <c r="G63" s="437"/>
      <c r="H63" s="437"/>
      <c r="I63" s="422"/>
      <c r="J63" s="9"/>
      <c r="K63" s="9"/>
      <c r="L63" s="43" t="s">
        <v>0</v>
      </c>
      <c r="M63" s="39"/>
      <c r="N63" s="47" t="s">
        <v>465</v>
      </c>
      <c r="O63" s="9"/>
      <c r="P63" s="9"/>
      <c r="Q63" s="9"/>
      <c r="R63" s="9"/>
      <c r="S63" s="9"/>
      <c r="T63" s="138"/>
      <c r="U63" s="9"/>
    </row>
    <row r="64" spans="2:41" ht="15.75" x14ac:dyDescent="0.25">
      <c r="B64" s="58" t="s">
        <v>2</v>
      </c>
      <c r="C64" s="126" t="s">
        <v>8</v>
      </c>
      <c r="D64" s="57" t="s">
        <v>11</v>
      </c>
      <c r="E64" s="57" t="s">
        <v>15</v>
      </c>
      <c r="F64" s="57" t="s">
        <v>16</v>
      </c>
      <c r="G64" s="57" t="s">
        <v>20</v>
      </c>
      <c r="H64" s="57" t="s">
        <v>22</v>
      </c>
      <c r="I64" s="127"/>
      <c r="J64" s="9"/>
      <c r="K64" s="432"/>
      <c r="L64" s="40" t="s">
        <v>49</v>
      </c>
      <c r="M64" s="38"/>
      <c r="N64" s="41"/>
      <c r="O64" s="432"/>
      <c r="P64" s="432"/>
      <c r="Q64" s="432"/>
      <c r="R64" s="432"/>
      <c r="S64" s="432"/>
      <c r="T64" s="196"/>
      <c r="U64" s="9"/>
    </row>
    <row r="65" spans="2:41" ht="15.75" x14ac:dyDescent="0.25">
      <c r="B65" s="59" t="s">
        <v>3</v>
      </c>
      <c r="C65" s="130">
        <v>17</v>
      </c>
      <c r="D65" s="54">
        <v>24</v>
      </c>
      <c r="E65" s="54">
        <v>13</v>
      </c>
      <c r="F65" s="54">
        <v>8</v>
      </c>
      <c r="G65" s="54">
        <v>1</v>
      </c>
      <c r="H65" s="54">
        <v>29</v>
      </c>
      <c r="I65" s="131"/>
      <c r="J65" s="9"/>
      <c r="K65" s="433"/>
      <c r="L65" s="40" t="s">
        <v>3</v>
      </c>
      <c r="M65" s="38"/>
      <c r="N65" s="48">
        <f>'B3. Förslag, socialvård (2014)'!L7</f>
        <v>10880</v>
      </c>
      <c r="O65" s="433"/>
      <c r="P65" s="433"/>
      <c r="Q65" s="433"/>
      <c r="R65" s="433"/>
      <c r="S65" s="433"/>
      <c r="T65" s="196"/>
      <c r="U65" s="9"/>
      <c r="Y65" s="235" t="s">
        <v>9</v>
      </c>
      <c r="Z65" s="1">
        <f>C31</f>
        <v>84</v>
      </c>
      <c r="AB65" s="1" t="s">
        <v>103</v>
      </c>
      <c r="AD65" s="1" t="str">
        <f t="shared" ref="AD65:AN65" si="30">AD20</f>
        <v>0-40</v>
      </c>
      <c r="AE65" s="1" t="str">
        <f t="shared" si="30"/>
        <v>40-60</v>
      </c>
      <c r="AF65" s="1" t="str">
        <f t="shared" si="30"/>
        <v>60-80</v>
      </c>
      <c r="AG65" s="1">
        <f t="shared" si="30"/>
        <v>0</v>
      </c>
      <c r="AH65" s="1">
        <f t="shared" si="30"/>
        <v>0</v>
      </c>
      <c r="AI65" s="1">
        <f t="shared" si="30"/>
        <v>0</v>
      </c>
      <c r="AJ65" s="1">
        <f t="shared" si="30"/>
        <v>0</v>
      </c>
      <c r="AK65" s="1">
        <f t="shared" si="30"/>
        <v>0</v>
      </c>
      <c r="AL65" s="1">
        <f t="shared" si="30"/>
        <v>0</v>
      </c>
      <c r="AM65" s="1">
        <f t="shared" si="30"/>
        <v>0</v>
      </c>
      <c r="AN65" s="1">
        <f t="shared" si="30"/>
        <v>0</v>
      </c>
    </row>
    <row r="66" spans="2:41" ht="15.75" x14ac:dyDescent="0.25">
      <c r="B66" s="59" t="s">
        <v>4</v>
      </c>
      <c r="C66" s="130">
        <v>323</v>
      </c>
      <c r="D66" s="54">
        <v>402</v>
      </c>
      <c r="E66" s="54">
        <v>229</v>
      </c>
      <c r="F66" s="54">
        <v>161</v>
      </c>
      <c r="G66" s="54">
        <v>67</v>
      </c>
      <c r="H66" s="54">
        <v>272</v>
      </c>
      <c r="I66" s="131"/>
      <c r="J66" s="9"/>
      <c r="K66" s="433" t="s">
        <v>582</v>
      </c>
      <c r="L66" s="40" t="s">
        <v>4</v>
      </c>
      <c r="M66" s="38"/>
      <c r="N66" s="48">
        <v>0</v>
      </c>
      <c r="O66" s="433"/>
      <c r="P66" s="433"/>
      <c r="Q66" s="433"/>
      <c r="R66" s="433"/>
      <c r="S66" s="433"/>
      <c r="T66" s="196"/>
      <c r="U66" s="9"/>
      <c r="AD66" s="1">
        <f t="shared" ref="AD66:AO66" si="31">AD13</f>
        <v>0</v>
      </c>
      <c r="AE66" s="1">
        <f t="shared" si="31"/>
        <v>40</v>
      </c>
      <c r="AF66" s="1">
        <f t="shared" si="31"/>
        <v>60</v>
      </c>
      <c r="AG66" s="1">
        <f t="shared" si="31"/>
        <v>0</v>
      </c>
      <c r="AH66" s="1">
        <f t="shared" si="31"/>
        <v>0</v>
      </c>
      <c r="AI66" s="1">
        <f t="shared" si="31"/>
        <v>0</v>
      </c>
      <c r="AJ66" s="1">
        <f t="shared" si="31"/>
        <v>0</v>
      </c>
      <c r="AK66" s="1">
        <f t="shared" si="31"/>
        <v>0</v>
      </c>
      <c r="AL66" s="1">
        <f t="shared" si="31"/>
        <v>0</v>
      </c>
      <c r="AM66" s="1">
        <f t="shared" si="31"/>
        <v>0</v>
      </c>
      <c r="AN66" s="1">
        <f t="shared" si="31"/>
        <v>0</v>
      </c>
      <c r="AO66" s="1">
        <f t="shared" si="31"/>
        <v>2000</v>
      </c>
    </row>
    <row r="67" spans="2:41" ht="15.75" x14ac:dyDescent="0.25">
      <c r="B67" s="59" t="s">
        <v>5</v>
      </c>
      <c r="C67" s="130">
        <v>75</v>
      </c>
      <c r="D67" s="54">
        <v>76</v>
      </c>
      <c r="E67" s="54">
        <v>40</v>
      </c>
      <c r="F67" s="54">
        <v>44</v>
      </c>
      <c r="G67" s="54">
        <v>13</v>
      </c>
      <c r="H67" s="54">
        <v>54</v>
      </c>
      <c r="I67" s="131"/>
      <c r="J67" s="9"/>
      <c r="K67" s="433"/>
      <c r="L67" s="40" t="s">
        <v>5</v>
      </c>
      <c r="M67" s="38"/>
      <c r="N67" s="48">
        <f>'B3. Förslag, socialvård (2014)'!L9</f>
        <v>1410</v>
      </c>
      <c r="O67" s="433"/>
      <c r="P67" s="433"/>
      <c r="Q67" s="433"/>
      <c r="R67" s="433"/>
      <c r="S67" s="433"/>
      <c r="T67" s="196"/>
      <c r="U67" s="9"/>
      <c r="Y67" s="235" t="s">
        <v>33</v>
      </c>
      <c r="Z67" s="1">
        <f>SUM(AD67:AO67)</f>
        <v>207655.89600000001</v>
      </c>
      <c r="AB67" s="1" t="s">
        <v>106</v>
      </c>
      <c r="AD67" s="1">
        <f>IF($Z$65&gt;AD66,(IF($Z$65-AE66&gt;0,(AE66-AD66)*$B$16*AD69,($Z$65-AD66)*$B$16*AD69)),0)</f>
        <v>138437.264</v>
      </c>
      <c r="AE67" s="1">
        <f t="shared" ref="AE67:AN67" si="32">IF($Z$65&gt;AE66,(IF($Z$65-AF66&gt;0,(AF66-AE66)*$B$16*AE69,($Z$65-AE66)*$B$16*AE69)),0)</f>
        <v>69218.631999999998</v>
      </c>
      <c r="AF67" s="1">
        <f t="shared" si="32"/>
        <v>0</v>
      </c>
      <c r="AG67" s="1">
        <f t="shared" si="32"/>
        <v>0</v>
      </c>
      <c r="AH67" s="1">
        <f t="shared" si="32"/>
        <v>0</v>
      </c>
      <c r="AI67" s="1">
        <f t="shared" si="32"/>
        <v>0</v>
      </c>
      <c r="AJ67" s="1">
        <f t="shared" si="32"/>
        <v>0</v>
      </c>
      <c r="AK67" s="1">
        <f t="shared" si="32"/>
        <v>0</v>
      </c>
      <c r="AL67" s="1">
        <f t="shared" si="32"/>
        <v>0</v>
      </c>
      <c r="AM67" s="1">
        <f t="shared" si="32"/>
        <v>0</v>
      </c>
      <c r="AN67" s="1">
        <f t="shared" si="32"/>
        <v>0</v>
      </c>
    </row>
    <row r="68" spans="2:41" ht="15.75" x14ac:dyDescent="0.25">
      <c r="B68" s="59" t="s">
        <v>6</v>
      </c>
      <c r="C68" s="130">
        <v>40</v>
      </c>
      <c r="D68" s="54">
        <v>46</v>
      </c>
      <c r="E68" s="54">
        <v>36</v>
      </c>
      <c r="F68" s="54">
        <v>23</v>
      </c>
      <c r="G68" s="54">
        <v>9</v>
      </c>
      <c r="H68" s="54">
        <v>51</v>
      </c>
      <c r="I68" s="131"/>
      <c r="J68" s="9"/>
      <c r="K68" s="433"/>
      <c r="L68" s="40" t="s">
        <v>6</v>
      </c>
      <c r="M68" s="38"/>
      <c r="N68" s="48">
        <f>'B3. Förslag, socialvård (2014)'!L10</f>
        <v>6691</v>
      </c>
      <c r="O68" s="433"/>
      <c r="P68" s="433"/>
      <c r="Q68" s="433"/>
      <c r="R68" s="433"/>
      <c r="S68" s="433"/>
      <c r="T68" s="196"/>
      <c r="U68" s="9"/>
    </row>
    <row r="69" spans="2:41" ht="16.5" thickBot="1" x14ac:dyDescent="0.3">
      <c r="B69" s="59" t="s">
        <v>7</v>
      </c>
      <c r="C69" s="130">
        <v>21</v>
      </c>
      <c r="D69" s="54">
        <v>30</v>
      </c>
      <c r="E69" s="54">
        <v>20</v>
      </c>
      <c r="F69" s="54">
        <v>9</v>
      </c>
      <c r="G69" s="54">
        <v>11</v>
      </c>
      <c r="H69" s="54">
        <v>16</v>
      </c>
      <c r="I69" s="131"/>
      <c r="J69" s="9"/>
      <c r="K69" s="433"/>
      <c r="L69" s="42" t="s">
        <v>7</v>
      </c>
      <c r="M69" s="44"/>
      <c r="N69" s="49">
        <f>'B3. Förslag, socialvård (2014)'!L11</f>
        <v>21156</v>
      </c>
      <c r="O69" s="433"/>
      <c r="P69" s="433"/>
      <c r="Q69" s="433"/>
      <c r="R69" s="433"/>
      <c r="S69" s="433"/>
      <c r="T69" s="196"/>
      <c r="U69" s="9"/>
      <c r="AB69" s="1" t="s">
        <v>109</v>
      </c>
      <c r="AD69" s="218">
        <f t="shared" ref="AD69:AO69" si="33">AD16</f>
        <v>0.14000000000000001</v>
      </c>
      <c r="AE69" s="218">
        <f t="shared" si="33"/>
        <v>0.14000000000000001</v>
      </c>
      <c r="AF69" s="218">
        <f t="shared" si="33"/>
        <v>0</v>
      </c>
      <c r="AG69" s="218">
        <f t="shared" si="33"/>
        <v>0</v>
      </c>
      <c r="AH69" s="218">
        <f t="shared" si="33"/>
        <v>0</v>
      </c>
      <c r="AI69" s="218">
        <f t="shared" si="33"/>
        <v>0</v>
      </c>
      <c r="AJ69" s="218">
        <f t="shared" si="33"/>
        <v>0</v>
      </c>
      <c r="AK69" s="218">
        <f t="shared" si="33"/>
        <v>0</v>
      </c>
      <c r="AL69" s="218">
        <f t="shared" si="33"/>
        <v>0</v>
      </c>
      <c r="AM69" s="218">
        <f t="shared" si="33"/>
        <v>0</v>
      </c>
      <c r="AN69" s="218">
        <f t="shared" si="33"/>
        <v>0</v>
      </c>
      <c r="AO69" s="218">
        <f t="shared" si="33"/>
        <v>0</v>
      </c>
    </row>
    <row r="70" spans="2:41" ht="15.75" x14ac:dyDescent="0.25">
      <c r="B70" s="59"/>
      <c r="C70" s="130"/>
      <c r="D70" s="54"/>
      <c r="E70" s="54"/>
      <c r="F70" s="54"/>
      <c r="G70" s="54"/>
      <c r="H70" s="54"/>
      <c r="I70" s="438"/>
      <c r="J70" s="9"/>
      <c r="K70" s="124"/>
      <c r="L70" s="124"/>
      <c r="M70" s="124"/>
      <c r="N70" s="124"/>
      <c r="O70" s="124"/>
      <c r="P70" s="124"/>
      <c r="Q70" s="124"/>
      <c r="R70" s="124"/>
      <c r="S70" s="434"/>
      <c r="T70" s="196"/>
      <c r="U70" s="9"/>
    </row>
    <row r="71" spans="2:41" ht="15.75" x14ac:dyDescent="0.25">
      <c r="B71" s="59" t="s">
        <v>25</v>
      </c>
      <c r="C71" s="130"/>
      <c r="D71" s="54"/>
      <c r="E71" s="54"/>
      <c r="F71" s="54"/>
      <c r="G71" s="54"/>
      <c r="H71" s="54"/>
      <c r="I71" s="438"/>
      <c r="J71" s="9"/>
      <c r="K71" s="124"/>
      <c r="L71" s="124"/>
      <c r="M71" s="124"/>
      <c r="N71" s="124"/>
      <c r="O71" s="124"/>
      <c r="P71" s="124"/>
      <c r="Q71" s="124"/>
      <c r="R71" s="124"/>
      <c r="S71" s="434"/>
      <c r="T71" s="196"/>
      <c r="U71" s="9"/>
    </row>
    <row r="72" spans="2:41" ht="15.75" x14ac:dyDescent="0.25">
      <c r="B72" s="59" t="s">
        <v>26</v>
      </c>
      <c r="C72" s="130"/>
      <c r="D72" s="54"/>
      <c r="E72" s="54"/>
      <c r="F72" s="54"/>
      <c r="G72" s="54"/>
      <c r="H72" s="54"/>
      <c r="I72" s="438"/>
      <c r="J72" s="9"/>
      <c r="K72" s="124"/>
      <c r="L72" s="124"/>
      <c r="M72" s="124"/>
      <c r="N72" s="124"/>
      <c r="O72" s="124"/>
      <c r="P72" s="124"/>
      <c r="Q72" s="124"/>
      <c r="R72" s="124"/>
      <c r="S72" s="434"/>
      <c r="T72" s="196"/>
      <c r="U72" s="9"/>
      <c r="Y72" s="235" t="s">
        <v>21</v>
      </c>
      <c r="Z72" s="1">
        <f>C32</f>
        <v>109</v>
      </c>
      <c r="AB72" s="1" t="s">
        <v>103</v>
      </c>
      <c r="AD72" s="1" t="str">
        <f t="shared" ref="AD72:AN72" si="34">AD20</f>
        <v>0-40</v>
      </c>
      <c r="AE72" s="1" t="str">
        <f t="shared" si="34"/>
        <v>40-60</v>
      </c>
      <c r="AF72" s="1" t="str">
        <f t="shared" si="34"/>
        <v>60-80</v>
      </c>
      <c r="AG72" s="1">
        <f t="shared" si="34"/>
        <v>0</v>
      </c>
      <c r="AH72" s="1">
        <f t="shared" si="34"/>
        <v>0</v>
      </c>
      <c r="AI72" s="1">
        <f t="shared" si="34"/>
        <v>0</v>
      </c>
      <c r="AJ72" s="1">
        <f t="shared" si="34"/>
        <v>0</v>
      </c>
      <c r="AK72" s="1">
        <f t="shared" si="34"/>
        <v>0</v>
      </c>
      <c r="AL72" s="1">
        <f t="shared" si="34"/>
        <v>0</v>
      </c>
      <c r="AM72" s="1">
        <f t="shared" si="34"/>
        <v>0</v>
      </c>
      <c r="AN72" s="1">
        <f t="shared" si="34"/>
        <v>0</v>
      </c>
    </row>
    <row r="73" spans="2:41" ht="15.75" x14ac:dyDescent="0.25">
      <c r="B73" s="59"/>
      <c r="C73" s="130"/>
      <c r="D73" s="54"/>
      <c r="E73" s="54"/>
      <c r="F73" s="54"/>
      <c r="G73" s="54"/>
      <c r="H73" s="54"/>
      <c r="I73" s="438"/>
      <c r="J73" s="9"/>
      <c r="K73" s="124"/>
      <c r="L73" s="124"/>
      <c r="M73" s="124"/>
      <c r="N73" s="124"/>
      <c r="O73" s="124"/>
      <c r="P73" s="124"/>
      <c r="Q73" s="124"/>
      <c r="R73" s="124"/>
      <c r="S73" s="434"/>
      <c r="T73" s="196"/>
      <c r="U73" s="9"/>
      <c r="AD73" s="1">
        <f t="shared" ref="AD73:AO73" si="35">AD13</f>
        <v>0</v>
      </c>
      <c r="AE73" s="1">
        <f t="shared" si="35"/>
        <v>40</v>
      </c>
      <c r="AF73" s="1">
        <f t="shared" si="35"/>
        <v>60</v>
      </c>
      <c r="AG73" s="1">
        <f t="shared" si="35"/>
        <v>0</v>
      </c>
      <c r="AH73" s="1">
        <f t="shared" si="35"/>
        <v>0</v>
      </c>
      <c r="AI73" s="1">
        <f t="shared" si="35"/>
        <v>0</v>
      </c>
      <c r="AJ73" s="1">
        <f t="shared" si="35"/>
        <v>0</v>
      </c>
      <c r="AK73" s="1">
        <f t="shared" si="35"/>
        <v>0</v>
      </c>
      <c r="AL73" s="1">
        <f t="shared" si="35"/>
        <v>0</v>
      </c>
      <c r="AM73" s="1">
        <f t="shared" si="35"/>
        <v>0</v>
      </c>
      <c r="AN73" s="1">
        <f t="shared" si="35"/>
        <v>0</v>
      </c>
      <c r="AO73" s="1">
        <f t="shared" si="35"/>
        <v>2000</v>
      </c>
    </row>
    <row r="74" spans="2:41" ht="16.5" thickBot="1" x14ac:dyDescent="0.3">
      <c r="B74" s="60" t="s">
        <v>27</v>
      </c>
      <c r="C74" s="439">
        <f t="shared" ref="C74:H74" si="36">SUM(C65:C69)</f>
        <v>476</v>
      </c>
      <c r="D74" s="439">
        <f t="shared" si="36"/>
        <v>578</v>
      </c>
      <c r="E74" s="439">
        <f t="shared" si="36"/>
        <v>338</v>
      </c>
      <c r="F74" s="439">
        <f t="shared" si="36"/>
        <v>245</v>
      </c>
      <c r="G74" s="439">
        <f t="shared" si="36"/>
        <v>101</v>
      </c>
      <c r="H74" s="439">
        <f t="shared" si="36"/>
        <v>422</v>
      </c>
      <c r="I74" s="440"/>
      <c r="J74" s="9"/>
      <c r="K74" s="433"/>
      <c r="L74" s="433"/>
      <c r="M74" s="433"/>
      <c r="N74" s="433"/>
      <c r="O74" s="433"/>
      <c r="P74" s="433"/>
      <c r="Q74" s="433"/>
      <c r="R74" s="433"/>
      <c r="S74" s="433"/>
      <c r="T74" s="196"/>
      <c r="U74" s="9"/>
      <c r="Y74" s="235" t="s">
        <v>33</v>
      </c>
      <c r="Z74" s="1">
        <f>SUM(AD74:AO74)</f>
        <v>207655.89600000001</v>
      </c>
      <c r="AB74" s="1" t="s">
        <v>106</v>
      </c>
      <c r="AD74" s="1">
        <f>IF($Z$72&gt;AD73,(IF($Z$72-AE73&gt;0,(AE73-AD73)*$B$16*AD76,($Z$72-AD73)*$B$16*AD76)),0)</f>
        <v>138437.264</v>
      </c>
      <c r="AE74" s="1">
        <f t="shared" ref="AE74:AN74" si="37">IF($Z$72&gt;AE73,(IF($Z$72-AF73&gt;0,(AF73-AE73)*$B$16*AE76,($Z$72-AE73)*$B$16*AE76)),0)</f>
        <v>69218.631999999998</v>
      </c>
      <c r="AF74" s="1">
        <f t="shared" si="37"/>
        <v>0</v>
      </c>
      <c r="AG74" s="1">
        <f t="shared" si="37"/>
        <v>0</v>
      </c>
      <c r="AH74" s="1">
        <f t="shared" si="37"/>
        <v>0</v>
      </c>
      <c r="AI74" s="1">
        <f t="shared" si="37"/>
        <v>0</v>
      </c>
      <c r="AJ74" s="1">
        <f t="shared" si="37"/>
        <v>0</v>
      </c>
      <c r="AK74" s="1">
        <f t="shared" si="37"/>
        <v>0</v>
      </c>
      <c r="AL74" s="1">
        <f t="shared" si="37"/>
        <v>0</v>
      </c>
      <c r="AM74" s="1">
        <f t="shared" si="37"/>
        <v>0</v>
      </c>
      <c r="AN74" s="1">
        <f t="shared" si="37"/>
        <v>0</v>
      </c>
    </row>
    <row r="75" spans="2:41" x14ac:dyDescent="0.2">
      <c r="C75" s="7">
        <v>476</v>
      </c>
      <c r="D75" s="7">
        <v>578</v>
      </c>
      <c r="E75" s="7">
        <v>338</v>
      </c>
      <c r="F75" s="7">
        <v>245</v>
      </c>
      <c r="G75" s="7">
        <v>101</v>
      </c>
      <c r="H75" s="7">
        <v>422</v>
      </c>
      <c r="J75" s="9"/>
      <c r="K75" s="9"/>
      <c r="L75" s="9"/>
      <c r="M75" s="9"/>
      <c r="N75" s="9"/>
      <c r="O75" s="9"/>
      <c r="P75" s="9"/>
      <c r="Q75" s="9"/>
      <c r="R75" s="9"/>
      <c r="S75" s="9"/>
      <c r="T75" s="9"/>
      <c r="U75" s="9"/>
    </row>
    <row r="76" spans="2:41" ht="15.75" thickBot="1" x14ac:dyDescent="0.25">
      <c r="C76" s="7"/>
      <c r="D76" s="7"/>
      <c r="E76" s="7"/>
      <c r="F76" s="7"/>
      <c r="G76" s="7"/>
      <c r="H76" s="7"/>
      <c r="J76" s="9"/>
      <c r="K76" s="9"/>
      <c r="L76" s="9"/>
      <c r="M76" s="9"/>
      <c r="N76" s="9"/>
      <c r="O76" s="9"/>
      <c r="P76" s="9"/>
      <c r="Q76" s="9"/>
      <c r="R76" s="9"/>
      <c r="S76" s="9"/>
      <c r="T76" s="9"/>
      <c r="U76" s="9"/>
      <c r="AB76" s="1" t="s">
        <v>109</v>
      </c>
      <c r="AD76" s="218">
        <f t="shared" ref="AD76:AO76" si="38">AD16</f>
        <v>0.14000000000000001</v>
      </c>
      <c r="AE76" s="218">
        <f t="shared" si="38"/>
        <v>0.14000000000000001</v>
      </c>
      <c r="AF76" s="218">
        <f t="shared" si="38"/>
        <v>0</v>
      </c>
      <c r="AG76" s="218">
        <f t="shared" si="38"/>
        <v>0</v>
      </c>
      <c r="AH76" s="218">
        <f t="shared" si="38"/>
        <v>0</v>
      </c>
      <c r="AI76" s="218">
        <f t="shared" si="38"/>
        <v>0</v>
      </c>
      <c r="AJ76" s="218">
        <f t="shared" si="38"/>
        <v>0</v>
      </c>
      <c r="AK76" s="218">
        <f t="shared" si="38"/>
        <v>0</v>
      </c>
      <c r="AL76" s="218">
        <f t="shared" si="38"/>
        <v>0</v>
      </c>
      <c r="AM76" s="218">
        <f t="shared" si="38"/>
        <v>0</v>
      </c>
      <c r="AN76" s="218">
        <f t="shared" si="38"/>
        <v>0</v>
      </c>
      <c r="AO76" s="218">
        <f t="shared" si="38"/>
        <v>0</v>
      </c>
    </row>
    <row r="77" spans="2:41" ht="16.5" thickBot="1" x14ac:dyDescent="0.3">
      <c r="B77" s="411" t="s">
        <v>31</v>
      </c>
      <c r="C77" s="1241">
        <f>Kontrollpanel!$M$47</f>
        <v>0.2</v>
      </c>
      <c r="D77" s="1242">
        <f>Kontrollpanel!$G$47</f>
        <v>0.15</v>
      </c>
      <c r="E77" s="1243">
        <f>Kontrollpanel!$M$47</f>
        <v>0.2</v>
      </c>
      <c r="F77" s="1243">
        <f>Kontrollpanel!$M$47</f>
        <v>0.2</v>
      </c>
      <c r="G77" s="1243">
        <f>Kontrollpanel!$M$47</f>
        <v>0.2</v>
      </c>
      <c r="H77" s="1244">
        <f>Kontrollpanel!$G$47</f>
        <v>0.15</v>
      </c>
      <c r="I77" s="69"/>
      <c r="J77" s="9"/>
      <c r="K77" s="152"/>
      <c r="L77" s="152"/>
      <c r="M77" s="194"/>
      <c r="N77" s="152"/>
      <c r="O77" s="152"/>
      <c r="P77" s="152"/>
      <c r="Q77" s="152"/>
      <c r="R77" s="152"/>
      <c r="S77" s="153"/>
      <c r="T77" s="152"/>
      <c r="U77" s="9"/>
    </row>
    <row r="78" spans="2:41" ht="15.75" x14ac:dyDescent="0.25">
      <c r="B78" s="70" t="s">
        <v>3</v>
      </c>
      <c r="C78" s="430">
        <f>C65*$N65*Kontrollpanel!$M$47</f>
        <v>36992</v>
      </c>
      <c r="D78" s="430">
        <f>D65*$N65*Kontrollpanel!$G$47</f>
        <v>39168</v>
      </c>
      <c r="E78" s="430">
        <f>E65*$N65*Kontrollpanel!$M$47</f>
        <v>28288</v>
      </c>
      <c r="F78" s="430">
        <f>F65*$N65*Kontrollpanel!$M$47</f>
        <v>17408</v>
      </c>
      <c r="G78" s="430">
        <f>G65*$N65*Kontrollpanel!$M$47</f>
        <v>2176</v>
      </c>
      <c r="H78" s="430">
        <f>H65*$N65*Kontrollpanel!$G$47</f>
        <v>47328</v>
      </c>
      <c r="I78" s="443"/>
      <c r="J78" s="9"/>
      <c r="K78" s="186"/>
      <c r="L78" s="186"/>
      <c r="M78" s="186"/>
      <c r="N78" s="186"/>
      <c r="O78" s="186"/>
      <c r="P78" s="186"/>
      <c r="Q78" s="186"/>
      <c r="R78" s="186"/>
      <c r="S78" s="153"/>
      <c r="T78" s="152"/>
      <c r="U78" s="9"/>
    </row>
    <row r="79" spans="2:41" ht="15.75" x14ac:dyDescent="0.25">
      <c r="B79" s="70" t="s">
        <v>4</v>
      </c>
      <c r="C79" s="430">
        <f>C66*$N66*Kontrollpanel!$M$47</f>
        <v>0</v>
      </c>
      <c r="D79" s="430">
        <f>D66*$N66*Kontrollpanel!$G$47</f>
        <v>0</v>
      </c>
      <c r="E79" s="430">
        <f>E66*$N66*Kontrollpanel!$M$47</f>
        <v>0</v>
      </c>
      <c r="F79" s="430">
        <f>F66*$N66*Kontrollpanel!$M$47</f>
        <v>0</v>
      </c>
      <c r="G79" s="430">
        <f>G66*$N66*Kontrollpanel!$M$47</f>
        <v>0</v>
      </c>
      <c r="H79" s="430">
        <f>H66*$N66*Kontrollpanel!$G$47</f>
        <v>0</v>
      </c>
      <c r="I79" s="443"/>
      <c r="J79" s="9"/>
      <c r="K79" s="186"/>
      <c r="L79" s="186"/>
      <c r="M79" s="186"/>
      <c r="N79" s="186"/>
      <c r="O79" s="186"/>
      <c r="P79" s="186"/>
      <c r="Q79" s="186"/>
      <c r="R79" s="186"/>
      <c r="S79" s="152"/>
      <c r="T79" s="152"/>
      <c r="U79" s="9"/>
    </row>
    <row r="80" spans="2:41" ht="15.75" x14ac:dyDescent="0.25">
      <c r="B80" s="70" t="s">
        <v>5</v>
      </c>
      <c r="C80" s="430">
        <f>C67*$N67*Kontrollpanel!$M$47</f>
        <v>21150</v>
      </c>
      <c r="D80" s="430">
        <f>D67*$N67*Kontrollpanel!$G$47</f>
        <v>16074</v>
      </c>
      <c r="E80" s="430">
        <f>E67*$N67*Kontrollpanel!$M$47</f>
        <v>11280</v>
      </c>
      <c r="F80" s="430">
        <f>F67*$N67*Kontrollpanel!$M$47</f>
        <v>12408</v>
      </c>
      <c r="G80" s="430">
        <f>G67*$N67*Kontrollpanel!$M$47</f>
        <v>3666</v>
      </c>
      <c r="H80" s="430">
        <f>H67*$N67*Kontrollpanel!$G$47</f>
        <v>11421</v>
      </c>
      <c r="I80" s="443"/>
      <c r="J80" s="9"/>
      <c r="K80" s="186"/>
      <c r="L80" s="186"/>
      <c r="M80" s="186"/>
      <c r="N80" s="186"/>
      <c r="O80" s="186"/>
      <c r="P80" s="186"/>
      <c r="Q80" s="186"/>
      <c r="R80" s="186"/>
      <c r="S80" s="153"/>
      <c r="T80" s="152"/>
      <c r="U80" s="9"/>
      <c r="Y80" s="235" t="s">
        <v>18</v>
      </c>
      <c r="Z80" s="1">
        <f>C33</f>
        <v>48</v>
      </c>
      <c r="AB80" s="1" t="s">
        <v>103</v>
      </c>
      <c r="AD80" s="1" t="str">
        <f t="shared" ref="AD80:AN80" si="39">AD20</f>
        <v>0-40</v>
      </c>
      <c r="AE80" s="1" t="str">
        <f t="shared" si="39"/>
        <v>40-60</v>
      </c>
      <c r="AF80" s="1" t="str">
        <f t="shared" si="39"/>
        <v>60-80</v>
      </c>
      <c r="AG80" s="1">
        <f t="shared" si="39"/>
        <v>0</v>
      </c>
      <c r="AH80" s="1">
        <f t="shared" si="39"/>
        <v>0</v>
      </c>
      <c r="AI80" s="1">
        <f t="shared" si="39"/>
        <v>0</v>
      </c>
      <c r="AJ80" s="1">
        <f t="shared" si="39"/>
        <v>0</v>
      </c>
      <c r="AK80" s="1">
        <f t="shared" si="39"/>
        <v>0</v>
      </c>
      <c r="AL80" s="1">
        <f t="shared" si="39"/>
        <v>0</v>
      </c>
      <c r="AM80" s="1">
        <f t="shared" si="39"/>
        <v>0</v>
      </c>
      <c r="AN80" s="1">
        <f t="shared" si="39"/>
        <v>0</v>
      </c>
    </row>
    <row r="81" spans="2:41" ht="15.75" x14ac:dyDescent="0.25">
      <c r="B81" s="70" t="s">
        <v>6</v>
      </c>
      <c r="C81" s="430">
        <f>C68*$N68*Kontrollpanel!$M$47</f>
        <v>53528</v>
      </c>
      <c r="D81" s="430">
        <f>D68*$N68*Kontrollpanel!$G$47</f>
        <v>46167.9</v>
      </c>
      <c r="E81" s="430">
        <f>E68*$N68*Kontrollpanel!$M$47</f>
        <v>48175.200000000004</v>
      </c>
      <c r="F81" s="430">
        <f>F68*$N68*Kontrollpanel!$M$47</f>
        <v>30778.600000000002</v>
      </c>
      <c r="G81" s="430">
        <f>G68*$N68*Kontrollpanel!$M$47</f>
        <v>12043.800000000001</v>
      </c>
      <c r="H81" s="430">
        <f>H68*$N68*Kontrollpanel!$G$47</f>
        <v>51186.15</v>
      </c>
      <c r="I81" s="443"/>
      <c r="J81" s="9"/>
      <c r="K81" s="186"/>
      <c r="L81" s="186"/>
      <c r="M81" s="186"/>
      <c r="N81" s="186"/>
      <c r="O81" s="186"/>
      <c r="P81" s="186"/>
      <c r="Q81" s="186"/>
      <c r="R81" s="186"/>
      <c r="S81" s="153"/>
      <c r="T81" s="152"/>
      <c r="U81" s="9"/>
      <c r="AD81" s="1">
        <f t="shared" ref="AD81:AO81" si="40">AD13</f>
        <v>0</v>
      </c>
      <c r="AE81" s="1">
        <f t="shared" si="40"/>
        <v>40</v>
      </c>
      <c r="AF81" s="1">
        <f t="shared" si="40"/>
        <v>60</v>
      </c>
      <c r="AG81" s="1">
        <f t="shared" si="40"/>
        <v>0</v>
      </c>
      <c r="AH81" s="1">
        <f t="shared" si="40"/>
        <v>0</v>
      </c>
      <c r="AI81" s="1">
        <f t="shared" si="40"/>
        <v>0</v>
      </c>
      <c r="AJ81" s="1">
        <f t="shared" si="40"/>
        <v>0</v>
      </c>
      <c r="AK81" s="1">
        <f t="shared" si="40"/>
        <v>0</v>
      </c>
      <c r="AL81" s="1">
        <f t="shared" si="40"/>
        <v>0</v>
      </c>
      <c r="AM81" s="1">
        <f t="shared" si="40"/>
        <v>0</v>
      </c>
      <c r="AN81" s="1">
        <f t="shared" si="40"/>
        <v>0</v>
      </c>
      <c r="AO81" s="1">
        <f t="shared" si="40"/>
        <v>2000</v>
      </c>
    </row>
    <row r="82" spans="2:41" ht="16.5" thickBot="1" x14ac:dyDescent="0.3">
      <c r="B82" s="72" t="s">
        <v>7</v>
      </c>
      <c r="C82" s="430">
        <f>C69*$N69*Kontrollpanel!$M$47</f>
        <v>88855.200000000012</v>
      </c>
      <c r="D82" s="430">
        <f>D69*$N69*Kontrollpanel!$G$47</f>
        <v>95202</v>
      </c>
      <c r="E82" s="430">
        <f>E69*$N69*Kontrollpanel!$M$47</f>
        <v>84624</v>
      </c>
      <c r="F82" s="430">
        <f>F69*$N69*Kontrollpanel!$M$47</f>
        <v>38080.800000000003</v>
      </c>
      <c r="G82" s="430">
        <f>G69*$N69*Kontrollpanel!$M$47</f>
        <v>46543.200000000004</v>
      </c>
      <c r="H82" s="430">
        <f>H69*$N69*Kontrollpanel!$G$47</f>
        <v>50774.400000000001</v>
      </c>
      <c r="I82" s="444"/>
      <c r="J82" s="9"/>
      <c r="K82" s="186"/>
      <c r="L82" s="186"/>
      <c r="M82" s="186"/>
      <c r="N82" s="186"/>
      <c r="O82" s="186"/>
      <c r="P82" s="186"/>
      <c r="Q82" s="186"/>
      <c r="R82" s="186"/>
      <c r="S82" s="153"/>
      <c r="T82" s="152"/>
      <c r="U82" s="9"/>
      <c r="Y82" s="235" t="s">
        <v>33</v>
      </c>
      <c r="Z82" s="1">
        <f>SUM(AD82:AO82)</f>
        <v>166124.71679999999</v>
      </c>
      <c r="AB82" s="1" t="s">
        <v>106</v>
      </c>
      <c r="AD82" s="1">
        <f>IF($Z$80&gt;AD81,(IF($Z$80-AE81&gt;0,(AE81-AD81)*$B$16*AD84,($Z$80-AD81)*$B$16*AD84)),0)</f>
        <v>138437.264</v>
      </c>
      <c r="AE82" s="1">
        <f t="shared" ref="AE82:AN82" si="41">IF($Z$80&gt;AE81,(IF($Z$80-AF81&gt;0,(AF81-AE81)*$B$16*AE84,($Z$80-AE81)*$B$16*AE84)),0)</f>
        <v>27687.452800000003</v>
      </c>
      <c r="AF82" s="1">
        <f t="shared" si="41"/>
        <v>0</v>
      </c>
      <c r="AG82" s="1">
        <f t="shared" si="41"/>
        <v>0</v>
      </c>
      <c r="AH82" s="1">
        <f t="shared" si="41"/>
        <v>0</v>
      </c>
      <c r="AI82" s="1">
        <f t="shared" si="41"/>
        <v>0</v>
      </c>
      <c r="AJ82" s="1">
        <f t="shared" si="41"/>
        <v>0</v>
      </c>
      <c r="AK82" s="1">
        <f t="shared" si="41"/>
        <v>0</v>
      </c>
      <c r="AL82" s="1">
        <f t="shared" si="41"/>
        <v>0</v>
      </c>
      <c r="AM82" s="1">
        <f t="shared" si="41"/>
        <v>0</v>
      </c>
      <c r="AN82" s="1">
        <f t="shared" si="41"/>
        <v>0</v>
      </c>
    </row>
    <row r="83" spans="2:41" ht="15.75" thickBot="1" x14ac:dyDescent="0.25">
      <c r="J83" s="9"/>
      <c r="K83" s="9"/>
      <c r="L83" s="9"/>
      <c r="M83" s="9"/>
      <c r="N83" s="9"/>
      <c r="O83" s="9"/>
      <c r="P83" s="9"/>
      <c r="Q83" s="9"/>
      <c r="R83" s="9"/>
      <c r="S83" s="9"/>
      <c r="T83" s="9"/>
      <c r="U83" s="9"/>
    </row>
    <row r="84" spans="2:41" ht="16.5" thickBot="1" x14ac:dyDescent="0.3">
      <c r="B84" s="411" t="s">
        <v>81</v>
      </c>
      <c r="C84" s="445">
        <f t="shared" ref="C84:H84" si="42">SUM(C78:C82)</f>
        <v>200525.2</v>
      </c>
      <c r="D84" s="445">
        <f t="shared" si="42"/>
        <v>196611.9</v>
      </c>
      <c r="E84" s="445">
        <f t="shared" si="42"/>
        <v>172367.2</v>
      </c>
      <c r="F84" s="445">
        <f t="shared" si="42"/>
        <v>98675.400000000009</v>
      </c>
      <c r="G84" s="445">
        <f t="shared" si="42"/>
        <v>64429.000000000007</v>
      </c>
      <c r="H84" s="445">
        <f t="shared" si="42"/>
        <v>160709.54999999999</v>
      </c>
      <c r="I84" s="446"/>
      <c r="J84" s="9"/>
      <c r="K84" s="9"/>
      <c r="L84" s="9"/>
      <c r="M84" s="9"/>
      <c r="N84" s="9"/>
      <c r="O84" s="9"/>
      <c r="P84" s="9"/>
      <c r="Q84" s="9"/>
      <c r="R84" s="9"/>
      <c r="S84" s="9"/>
      <c r="T84" s="9"/>
      <c r="U84" s="9"/>
      <c r="AB84" s="1" t="s">
        <v>109</v>
      </c>
      <c r="AD84" s="218">
        <f t="shared" ref="AD84:AO84" si="43">AD16</f>
        <v>0.14000000000000001</v>
      </c>
      <c r="AE84" s="218">
        <f t="shared" si="43"/>
        <v>0.14000000000000001</v>
      </c>
      <c r="AF84" s="218">
        <f t="shared" si="43"/>
        <v>0</v>
      </c>
      <c r="AG84" s="218">
        <f t="shared" si="43"/>
        <v>0</v>
      </c>
      <c r="AH84" s="218">
        <f t="shared" si="43"/>
        <v>0</v>
      </c>
      <c r="AI84" s="218">
        <f t="shared" si="43"/>
        <v>0</v>
      </c>
      <c r="AJ84" s="218">
        <f t="shared" si="43"/>
        <v>0</v>
      </c>
      <c r="AK84" s="218">
        <f t="shared" si="43"/>
        <v>0</v>
      </c>
      <c r="AL84" s="218">
        <f t="shared" si="43"/>
        <v>0</v>
      </c>
      <c r="AM84" s="218">
        <f t="shared" si="43"/>
        <v>0</v>
      </c>
      <c r="AN84" s="218">
        <f t="shared" si="43"/>
        <v>0</v>
      </c>
      <c r="AO84" s="218">
        <f t="shared" si="43"/>
        <v>0</v>
      </c>
    </row>
    <row r="85" spans="2:41" x14ac:dyDescent="0.2">
      <c r="J85" s="9"/>
      <c r="K85" s="9"/>
      <c r="L85" s="9"/>
      <c r="M85" s="9"/>
      <c r="N85" s="9"/>
      <c r="O85" s="9"/>
      <c r="P85" s="9"/>
      <c r="Q85" s="9"/>
      <c r="R85" s="9"/>
      <c r="S85" s="9"/>
      <c r="T85" s="9"/>
      <c r="U85" s="9"/>
    </row>
    <row r="86" spans="2:41" x14ac:dyDescent="0.2">
      <c r="C86" s="22">
        <v>180472.68</v>
      </c>
      <c r="D86" s="22">
        <v>235934.27999999997</v>
      </c>
      <c r="E86" s="22">
        <v>155130.47999999998</v>
      </c>
      <c r="F86" s="22">
        <v>88807.86</v>
      </c>
      <c r="G86" s="22">
        <v>57986.1</v>
      </c>
      <c r="H86" s="22">
        <v>192851.46</v>
      </c>
      <c r="J86" s="9"/>
      <c r="K86" s="9"/>
      <c r="L86" s="9"/>
      <c r="M86" s="9"/>
      <c r="N86" s="9"/>
      <c r="O86" s="9"/>
      <c r="P86" s="9"/>
      <c r="Q86" s="9"/>
      <c r="R86" s="9"/>
      <c r="S86" s="9"/>
      <c r="T86" s="9"/>
      <c r="U86" s="9"/>
    </row>
    <row r="87" spans="2:41" x14ac:dyDescent="0.2">
      <c r="J87" s="9"/>
      <c r="K87" s="9"/>
      <c r="L87" s="9"/>
      <c r="M87" s="9"/>
      <c r="N87" s="9"/>
      <c r="O87" s="9"/>
      <c r="P87" s="9"/>
      <c r="Q87" s="9"/>
      <c r="R87" s="9"/>
      <c r="S87" s="9"/>
      <c r="T87" s="9"/>
      <c r="U87" s="9"/>
    </row>
    <row r="88" spans="2:41" ht="28.5" thickBot="1" x14ac:dyDescent="0.45">
      <c r="B88" s="752" t="s">
        <v>415</v>
      </c>
      <c r="C88" s="752"/>
      <c r="D88" s="752"/>
      <c r="E88" s="752"/>
      <c r="F88" s="752"/>
      <c r="J88" s="9"/>
      <c r="K88" s="9"/>
      <c r="L88" s="9"/>
      <c r="M88" s="9"/>
      <c r="N88" s="9"/>
      <c r="O88" s="9"/>
      <c r="P88" s="9"/>
      <c r="Q88" s="9"/>
      <c r="R88" s="9"/>
      <c r="S88" s="9"/>
      <c r="T88" s="9"/>
      <c r="U88" s="9"/>
    </row>
    <row r="89" spans="2:41" ht="16.5" thickTop="1" x14ac:dyDescent="0.25">
      <c r="J89" s="9"/>
      <c r="K89" s="9"/>
      <c r="L89" s="43" t="s">
        <v>0</v>
      </c>
      <c r="M89" s="39"/>
      <c r="N89" s="47" t="s">
        <v>465</v>
      </c>
      <c r="O89" s="9"/>
      <c r="P89" s="9"/>
      <c r="Q89" s="9"/>
      <c r="R89" s="9"/>
      <c r="S89" s="9"/>
      <c r="T89" s="9"/>
      <c r="U89" s="9"/>
    </row>
    <row r="90" spans="2:41" ht="15.75" x14ac:dyDescent="0.25">
      <c r="D90" s="1" t="s">
        <v>659</v>
      </c>
      <c r="J90" s="9"/>
      <c r="K90" s="9"/>
      <c r="L90" s="40"/>
      <c r="M90" s="38"/>
      <c r="N90" s="41"/>
      <c r="O90" s="9"/>
      <c r="P90" s="9"/>
      <c r="Q90" s="9"/>
      <c r="R90" s="9"/>
      <c r="S90" s="9"/>
      <c r="T90" s="9"/>
      <c r="U90" s="9"/>
    </row>
    <row r="91" spans="2:41" ht="16.5" thickBot="1" x14ac:dyDescent="0.3">
      <c r="B91" s="1" t="s">
        <v>109</v>
      </c>
      <c r="C91" s="218">
        <f>Kontrollpanel!G50</f>
        <v>0</v>
      </c>
      <c r="D91" s="218">
        <f>Kontrollpanel!M50</f>
        <v>0</v>
      </c>
      <c r="J91" s="9"/>
      <c r="K91" s="9"/>
      <c r="L91" s="40" t="s">
        <v>417</v>
      </c>
      <c r="M91" s="38"/>
      <c r="N91" s="48">
        <f>'B6. Övriga delar (2014)'!G117</f>
        <v>152.85</v>
      </c>
      <c r="O91" s="9"/>
      <c r="P91" s="9"/>
      <c r="Q91" s="9"/>
      <c r="R91" s="9"/>
      <c r="S91" s="9"/>
      <c r="T91" s="9"/>
      <c r="U91" s="9"/>
    </row>
    <row r="92" spans="2:41" ht="15.75" x14ac:dyDescent="0.25">
      <c r="B92" s="84" t="s">
        <v>419</v>
      </c>
      <c r="C92" s="441"/>
      <c r="D92" s="442"/>
      <c r="E92" s="442"/>
      <c r="F92" s="442"/>
      <c r="G92" s="442"/>
      <c r="H92" s="442"/>
      <c r="I92" s="69"/>
      <c r="J92" s="9"/>
      <c r="K92" s="9"/>
      <c r="L92" s="40" t="s">
        <v>418</v>
      </c>
      <c r="M92" s="38"/>
      <c r="N92" s="48"/>
      <c r="O92" s="9"/>
      <c r="P92" s="9"/>
      <c r="Q92" s="9"/>
      <c r="R92" s="9"/>
      <c r="S92" s="9"/>
      <c r="T92" s="9"/>
      <c r="U92" s="9"/>
      <c r="Y92" s="235" t="s">
        <v>13</v>
      </c>
      <c r="Z92" s="1">
        <f>C34</f>
        <v>181</v>
      </c>
      <c r="AB92" s="1" t="s">
        <v>103</v>
      </c>
      <c r="AD92" s="1" t="str">
        <f t="shared" ref="AD92:AN92" si="44">AD20</f>
        <v>0-40</v>
      </c>
      <c r="AE92" s="1" t="str">
        <f t="shared" si="44"/>
        <v>40-60</v>
      </c>
      <c r="AF92" s="1" t="str">
        <f t="shared" si="44"/>
        <v>60-80</v>
      </c>
      <c r="AG92" s="1">
        <f t="shared" si="44"/>
        <v>0</v>
      </c>
      <c r="AH92" s="1">
        <f t="shared" si="44"/>
        <v>0</v>
      </c>
      <c r="AI92" s="1">
        <f t="shared" si="44"/>
        <v>0</v>
      </c>
      <c r="AJ92" s="1">
        <f t="shared" si="44"/>
        <v>0</v>
      </c>
      <c r="AK92" s="1">
        <f t="shared" si="44"/>
        <v>0</v>
      </c>
      <c r="AL92" s="1">
        <f t="shared" si="44"/>
        <v>0</v>
      </c>
      <c r="AM92" s="1">
        <f t="shared" si="44"/>
        <v>0</v>
      </c>
      <c r="AN92" s="1">
        <f t="shared" si="44"/>
        <v>0</v>
      </c>
    </row>
    <row r="93" spans="2:41" ht="15.75" x14ac:dyDescent="0.25">
      <c r="B93" s="70"/>
      <c r="C93" s="430"/>
      <c r="D93" s="754"/>
      <c r="E93" s="754"/>
      <c r="F93" s="754"/>
      <c r="G93" s="754"/>
      <c r="H93" s="754"/>
      <c r="I93" s="443"/>
      <c r="J93" s="9"/>
      <c r="K93" s="9"/>
      <c r="L93" s="40"/>
      <c r="M93" s="38"/>
      <c r="N93" s="48"/>
      <c r="O93" s="9"/>
      <c r="P93" s="9"/>
      <c r="Q93" s="9"/>
      <c r="R93" s="9"/>
      <c r="S93" s="9"/>
      <c r="T93" s="9"/>
      <c r="U93" s="9"/>
      <c r="AD93" s="1">
        <f t="shared" ref="AD93:AO93" si="45">AD13</f>
        <v>0</v>
      </c>
      <c r="AE93" s="1">
        <f t="shared" si="45"/>
        <v>40</v>
      </c>
      <c r="AF93" s="1">
        <f t="shared" si="45"/>
        <v>60</v>
      </c>
      <c r="AG93" s="1">
        <f t="shared" si="45"/>
        <v>0</v>
      </c>
      <c r="AH93" s="1">
        <f t="shared" si="45"/>
        <v>0</v>
      </c>
      <c r="AI93" s="1">
        <f t="shared" si="45"/>
        <v>0</v>
      </c>
      <c r="AJ93" s="1">
        <f t="shared" si="45"/>
        <v>0</v>
      </c>
      <c r="AK93" s="1">
        <f t="shared" si="45"/>
        <v>0</v>
      </c>
      <c r="AL93" s="1">
        <f t="shared" si="45"/>
        <v>0</v>
      </c>
      <c r="AM93" s="1">
        <f t="shared" si="45"/>
        <v>0</v>
      </c>
      <c r="AN93" s="1">
        <f t="shared" si="45"/>
        <v>0</v>
      </c>
      <c r="AO93" s="1">
        <f t="shared" si="45"/>
        <v>2000</v>
      </c>
    </row>
    <row r="94" spans="2:41" ht="15.75" x14ac:dyDescent="0.25">
      <c r="B94" s="756" t="s">
        <v>420</v>
      </c>
      <c r="C94" s="430">
        <f>N91*C91</f>
        <v>0</v>
      </c>
      <c r="D94" s="430">
        <f>N91*D91</f>
        <v>0</v>
      </c>
      <c r="E94" s="754"/>
      <c r="F94" s="754"/>
      <c r="G94" s="754"/>
      <c r="H94" s="754"/>
      <c r="I94" s="443"/>
      <c r="J94" s="9"/>
      <c r="K94" s="9"/>
      <c r="L94" s="40"/>
      <c r="M94" s="38"/>
      <c r="N94" s="48"/>
      <c r="O94" s="9"/>
      <c r="P94" s="9"/>
      <c r="Q94" s="9"/>
      <c r="R94" s="9"/>
      <c r="S94" s="9"/>
      <c r="T94" s="9"/>
      <c r="U94" s="9"/>
      <c r="Y94" s="235" t="s">
        <v>33</v>
      </c>
      <c r="Z94" s="1">
        <f>SUM(AD94:AO94)</f>
        <v>207655.89600000001</v>
      </c>
      <c r="AB94" s="1" t="s">
        <v>106</v>
      </c>
      <c r="AD94" s="1">
        <f t="shared" ref="AD94:AN94" si="46">IF($Z$92&gt;AD93,(IF($Z$92-AE93&gt;0,(AE93-AD93)*$B$16*AD96,($Z$92-AD93)*$B$16*AD96)),0)</f>
        <v>138437.264</v>
      </c>
      <c r="AE94" s="1">
        <f t="shared" si="46"/>
        <v>69218.631999999998</v>
      </c>
      <c r="AF94" s="1">
        <f t="shared" si="46"/>
        <v>0</v>
      </c>
      <c r="AG94" s="1">
        <f t="shared" si="46"/>
        <v>0</v>
      </c>
      <c r="AH94" s="1">
        <f t="shared" si="46"/>
        <v>0</v>
      </c>
      <c r="AI94" s="1">
        <f t="shared" si="46"/>
        <v>0</v>
      </c>
      <c r="AJ94" s="1">
        <f t="shared" si="46"/>
        <v>0</v>
      </c>
      <c r="AK94" s="1">
        <f t="shared" si="46"/>
        <v>0</v>
      </c>
      <c r="AL94" s="1">
        <f t="shared" si="46"/>
        <v>0</v>
      </c>
      <c r="AM94" s="1">
        <f t="shared" si="46"/>
        <v>0</v>
      </c>
      <c r="AN94" s="1">
        <f t="shared" si="46"/>
        <v>0</v>
      </c>
    </row>
    <row r="95" spans="2:41" ht="16.5" thickBot="1" x14ac:dyDescent="0.3">
      <c r="B95" s="70"/>
      <c r="C95" s="430"/>
      <c r="D95" s="754"/>
      <c r="E95" s="754"/>
      <c r="F95" s="754"/>
      <c r="G95" s="754"/>
      <c r="H95" s="754"/>
      <c r="I95" s="443"/>
      <c r="J95" s="9"/>
      <c r="K95" s="9"/>
      <c r="L95" s="42"/>
      <c r="M95" s="44"/>
      <c r="N95" s="49"/>
      <c r="O95" s="9"/>
      <c r="P95" s="9"/>
      <c r="Q95" s="9"/>
      <c r="R95" s="9"/>
      <c r="S95" s="9"/>
      <c r="T95" s="9"/>
      <c r="U95" s="9"/>
    </row>
    <row r="96" spans="2:41" ht="15.75" x14ac:dyDescent="0.25">
      <c r="B96" s="70"/>
      <c r="C96" s="430"/>
      <c r="D96" s="754"/>
      <c r="E96" s="754"/>
      <c r="F96" s="754"/>
      <c r="G96" s="754"/>
      <c r="H96" s="754"/>
      <c r="I96" s="443"/>
      <c r="J96" s="9"/>
      <c r="K96" s="9"/>
      <c r="L96" s="9"/>
      <c r="M96" s="9"/>
      <c r="N96" s="9"/>
      <c r="O96" s="9"/>
      <c r="P96" s="9"/>
      <c r="Q96" s="9"/>
      <c r="R96" s="9"/>
      <c r="S96" s="9"/>
      <c r="T96" s="9"/>
      <c r="U96" s="9"/>
      <c r="AB96" s="1" t="s">
        <v>109</v>
      </c>
      <c r="AD96" s="218">
        <f t="shared" ref="AD96:AO96" si="47">AD16</f>
        <v>0.14000000000000001</v>
      </c>
      <c r="AE96" s="218">
        <f t="shared" si="47"/>
        <v>0.14000000000000001</v>
      </c>
      <c r="AF96" s="218">
        <f t="shared" si="47"/>
        <v>0</v>
      </c>
      <c r="AG96" s="218">
        <f t="shared" si="47"/>
        <v>0</v>
      </c>
      <c r="AH96" s="218">
        <f t="shared" si="47"/>
        <v>0</v>
      </c>
      <c r="AI96" s="218">
        <f t="shared" si="47"/>
        <v>0</v>
      </c>
      <c r="AJ96" s="218">
        <f t="shared" si="47"/>
        <v>0</v>
      </c>
      <c r="AK96" s="218">
        <f t="shared" si="47"/>
        <v>0</v>
      </c>
      <c r="AL96" s="218">
        <f t="shared" si="47"/>
        <v>0</v>
      </c>
      <c r="AM96" s="218">
        <f t="shared" si="47"/>
        <v>0</v>
      </c>
      <c r="AN96" s="218">
        <f t="shared" si="47"/>
        <v>0</v>
      </c>
      <c r="AO96" s="218">
        <f t="shared" si="47"/>
        <v>0</v>
      </c>
    </row>
    <row r="97" spans="2:41" ht="16.5" thickBot="1" x14ac:dyDescent="0.3">
      <c r="B97" s="72"/>
      <c r="C97" s="431"/>
      <c r="D97" s="755"/>
      <c r="E97" s="755"/>
      <c r="F97" s="755"/>
      <c r="G97" s="755"/>
      <c r="H97" s="755"/>
      <c r="I97" s="444"/>
      <c r="J97" s="9"/>
      <c r="K97" s="9"/>
      <c r="L97" s="9"/>
      <c r="M97" s="9"/>
      <c r="N97" s="9"/>
      <c r="O97" s="9"/>
      <c r="P97" s="9"/>
      <c r="Q97" s="9"/>
      <c r="R97" s="9"/>
      <c r="S97" s="9"/>
      <c r="T97" s="9"/>
      <c r="U97" s="9"/>
    </row>
    <row r="98" spans="2:41" ht="15.75" thickBot="1" x14ac:dyDescent="0.25"/>
    <row r="99" spans="2:41" ht="16.5" thickBot="1" x14ac:dyDescent="0.3">
      <c r="B99" s="411" t="s">
        <v>81</v>
      </c>
      <c r="C99" s="445">
        <f>$D$94*C74</f>
        <v>0</v>
      </c>
      <c r="D99" s="445">
        <f t="shared" ref="D99:H99" si="48">$C$94*D74</f>
        <v>0</v>
      </c>
      <c r="E99" s="445">
        <f>$D$94*E74</f>
        <v>0</v>
      </c>
      <c r="F99" s="445">
        <f>$D$94*F74</f>
        <v>0</v>
      </c>
      <c r="G99" s="445">
        <f>$D$94*G74</f>
        <v>0</v>
      </c>
      <c r="H99" s="445">
        <f t="shared" si="48"/>
        <v>0</v>
      </c>
      <c r="I99" s="446"/>
    </row>
    <row r="100" spans="2:41" x14ac:dyDescent="0.2">
      <c r="Y100" s="235" t="s">
        <v>17</v>
      </c>
      <c r="Z100" s="1">
        <f>C35</f>
        <v>273</v>
      </c>
      <c r="AB100" s="1" t="s">
        <v>103</v>
      </c>
      <c r="AD100" s="1" t="str">
        <f t="shared" ref="AD100:AN100" si="49">AD20</f>
        <v>0-40</v>
      </c>
      <c r="AE100" s="1" t="str">
        <f t="shared" si="49"/>
        <v>40-60</v>
      </c>
      <c r="AF100" s="1" t="str">
        <f t="shared" si="49"/>
        <v>60-80</v>
      </c>
      <c r="AG100" s="1">
        <f t="shared" si="49"/>
        <v>0</v>
      </c>
      <c r="AH100" s="1">
        <f t="shared" si="49"/>
        <v>0</v>
      </c>
      <c r="AI100" s="1">
        <f t="shared" si="49"/>
        <v>0</v>
      </c>
      <c r="AJ100" s="1">
        <f t="shared" si="49"/>
        <v>0</v>
      </c>
      <c r="AK100" s="1">
        <f t="shared" si="49"/>
        <v>0</v>
      </c>
      <c r="AL100" s="1">
        <f t="shared" si="49"/>
        <v>0</v>
      </c>
      <c r="AM100" s="1">
        <f t="shared" si="49"/>
        <v>0</v>
      </c>
      <c r="AN100" s="1">
        <f t="shared" si="49"/>
        <v>0</v>
      </c>
    </row>
    <row r="101" spans="2:41" x14ac:dyDescent="0.2">
      <c r="AD101" s="1">
        <f t="shared" ref="AD101:AO101" si="50">AD13</f>
        <v>0</v>
      </c>
      <c r="AE101" s="1">
        <f t="shared" si="50"/>
        <v>40</v>
      </c>
      <c r="AF101" s="1">
        <f t="shared" si="50"/>
        <v>60</v>
      </c>
      <c r="AG101" s="1">
        <f t="shared" si="50"/>
        <v>0</v>
      </c>
      <c r="AH101" s="1">
        <f t="shared" si="50"/>
        <v>0</v>
      </c>
      <c r="AI101" s="1">
        <f t="shared" si="50"/>
        <v>0</v>
      </c>
      <c r="AJ101" s="1">
        <f t="shared" si="50"/>
        <v>0</v>
      </c>
      <c r="AK101" s="1">
        <f t="shared" si="50"/>
        <v>0</v>
      </c>
      <c r="AL101" s="1">
        <f t="shared" si="50"/>
        <v>0</v>
      </c>
      <c r="AM101" s="1">
        <f t="shared" si="50"/>
        <v>0</v>
      </c>
      <c r="AN101" s="1">
        <f t="shared" si="50"/>
        <v>0</v>
      </c>
      <c r="AO101" s="1">
        <f t="shared" si="50"/>
        <v>2000</v>
      </c>
    </row>
    <row r="102" spans="2:41" x14ac:dyDescent="0.2">
      <c r="Y102" s="235" t="s">
        <v>33</v>
      </c>
      <c r="Z102" s="1">
        <f>SUM(AD102:AO102)</f>
        <v>207655.89600000001</v>
      </c>
      <c r="AB102" s="1" t="s">
        <v>106</v>
      </c>
      <c r="AD102" s="1">
        <f t="shared" ref="AD102:AN102" si="51">IF($Z$100&gt;AD101,(IF($Z$100-AE101&gt;0,(AE101-AD101)*$B$16*AD104,($Z$100-AD101)*$B$16*AD104)),0)</f>
        <v>138437.264</v>
      </c>
      <c r="AE102" s="1">
        <f t="shared" si="51"/>
        <v>69218.631999999998</v>
      </c>
      <c r="AF102" s="1">
        <f t="shared" si="51"/>
        <v>0</v>
      </c>
      <c r="AG102" s="1">
        <f t="shared" si="51"/>
        <v>0</v>
      </c>
      <c r="AH102" s="1">
        <f t="shared" si="51"/>
        <v>0</v>
      </c>
      <c r="AI102" s="1">
        <f t="shared" si="51"/>
        <v>0</v>
      </c>
      <c r="AJ102" s="1">
        <f t="shared" si="51"/>
        <v>0</v>
      </c>
      <c r="AK102" s="1">
        <f t="shared" si="51"/>
        <v>0</v>
      </c>
      <c r="AL102" s="1">
        <f t="shared" si="51"/>
        <v>0</v>
      </c>
      <c r="AM102" s="1">
        <f t="shared" si="51"/>
        <v>0</v>
      </c>
      <c r="AN102" s="1">
        <f t="shared" si="51"/>
        <v>0</v>
      </c>
    </row>
    <row r="104" spans="2:41" ht="15.75" thickBot="1" x14ac:dyDescent="0.25">
      <c r="H104" s="22"/>
      <c r="I104" s="22"/>
      <c r="J104" s="22"/>
      <c r="K104" s="22"/>
      <c r="L104" s="22"/>
      <c r="M104" s="22"/>
      <c r="N104" s="22"/>
      <c r="O104" s="22"/>
      <c r="P104" s="22"/>
      <c r="Q104" s="22"/>
      <c r="R104" s="22"/>
      <c r="S104" s="22"/>
      <c r="T104" s="22"/>
      <c r="U104" s="22"/>
      <c r="V104" s="22"/>
      <c r="W104" s="22"/>
      <c r="AB104" s="1" t="s">
        <v>109</v>
      </c>
      <c r="AD104" s="218">
        <f t="shared" ref="AD104:AO104" si="52">AD16</f>
        <v>0.14000000000000001</v>
      </c>
      <c r="AE104" s="218">
        <f t="shared" si="52"/>
        <v>0.14000000000000001</v>
      </c>
      <c r="AF104" s="218">
        <f t="shared" si="52"/>
        <v>0</v>
      </c>
      <c r="AG104" s="218">
        <f t="shared" si="52"/>
        <v>0</v>
      </c>
      <c r="AH104" s="218">
        <f t="shared" si="52"/>
        <v>0</v>
      </c>
      <c r="AI104" s="218">
        <f t="shared" si="52"/>
        <v>0</v>
      </c>
      <c r="AJ104" s="218">
        <f t="shared" si="52"/>
        <v>0</v>
      </c>
      <c r="AK104" s="218">
        <f t="shared" si="52"/>
        <v>0</v>
      </c>
      <c r="AL104" s="218">
        <f t="shared" si="52"/>
        <v>0</v>
      </c>
      <c r="AM104" s="218">
        <f t="shared" si="52"/>
        <v>0</v>
      </c>
      <c r="AN104" s="218">
        <f t="shared" si="52"/>
        <v>0</v>
      </c>
      <c r="AO104" s="218">
        <f t="shared" si="52"/>
        <v>0</v>
      </c>
    </row>
    <row r="105" spans="2:41" ht="23.25" x14ac:dyDescent="0.35">
      <c r="F105" s="447" t="s">
        <v>8</v>
      </c>
      <c r="G105" s="448"/>
      <c r="H105" s="448"/>
      <c r="I105" s="448" t="s">
        <v>11</v>
      </c>
      <c r="J105" s="448"/>
      <c r="K105" s="448"/>
      <c r="L105" s="448"/>
      <c r="M105" s="448" t="s">
        <v>15</v>
      </c>
      <c r="N105" s="448" t="s">
        <v>16</v>
      </c>
      <c r="O105" s="448"/>
      <c r="P105" s="448"/>
      <c r="Q105" s="448"/>
      <c r="R105" s="448" t="s">
        <v>20</v>
      </c>
      <c r="S105" s="448"/>
      <c r="T105" s="448" t="s">
        <v>22</v>
      </c>
      <c r="U105" s="449"/>
      <c r="V105" s="22"/>
      <c r="W105" s="22"/>
    </row>
    <row r="106" spans="2:41" ht="23.25" x14ac:dyDescent="0.35">
      <c r="F106" s="450">
        <f>I36+C84+C99</f>
        <v>394249.42989999999</v>
      </c>
      <c r="G106" s="451"/>
      <c r="H106" s="451"/>
      <c r="I106" s="451">
        <f>I37+D84+D99</f>
        <v>378118.21799999999</v>
      </c>
      <c r="J106" s="451"/>
      <c r="K106" s="451"/>
      <c r="L106" s="451"/>
      <c r="M106" s="451">
        <f>I39+E84+E99</f>
        <v>285094.68640000001</v>
      </c>
      <c r="N106" s="451">
        <f>I41+F84+F99</f>
        <v>220796.84359999999</v>
      </c>
      <c r="O106" s="451"/>
      <c r="P106" s="451"/>
      <c r="Q106" s="451"/>
      <c r="R106" s="451">
        <f>I40+G84+G99</f>
        <v>102004.8288</v>
      </c>
      <c r="S106" s="451"/>
      <c r="T106" s="451">
        <f>I38+H84+H99</f>
        <v>309914.07750000001</v>
      </c>
      <c r="U106" s="452"/>
      <c r="V106" s="22"/>
      <c r="W106" s="22"/>
    </row>
    <row r="107" spans="2:41" ht="24" thickBot="1" x14ac:dyDescent="0.4">
      <c r="F107" s="453"/>
      <c r="G107" s="454"/>
      <c r="H107" s="454"/>
      <c r="I107" s="454"/>
      <c r="J107" s="454"/>
      <c r="K107" s="454"/>
      <c r="L107" s="454"/>
      <c r="M107" s="454"/>
      <c r="N107" s="454"/>
      <c r="O107" s="454"/>
      <c r="P107" s="454"/>
      <c r="Q107" s="454"/>
      <c r="R107" s="454"/>
      <c r="S107" s="454"/>
      <c r="T107" s="454"/>
      <c r="U107" s="455"/>
      <c r="Y107" s="235" t="s">
        <v>19</v>
      </c>
      <c r="Z107" s="1">
        <f>C36</f>
        <v>214</v>
      </c>
      <c r="AB107" s="1" t="s">
        <v>103</v>
      </c>
      <c r="AD107" s="1" t="str">
        <f t="shared" ref="AD107:AN107" si="53">AD20</f>
        <v>0-40</v>
      </c>
      <c r="AE107" s="1" t="str">
        <f t="shared" si="53"/>
        <v>40-60</v>
      </c>
      <c r="AF107" s="1" t="str">
        <f t="shared" si="53"/>
        <v>60-80</v>
      </c>
      <c r="AG107" s="1">
        <f t="shared" si="53"/>
        <v>0</v>
      </c>
      <c r="AH107" s="1">
        <f t="shared" si="53"/>
        <v>0</v>
      </c>
      <c r="AI107" s="1">
        <f t="shared" si="53"/>
        <v>0</v>
      </c>
      <c r="AJ107" s="1">
        <f t="shared" si="53"/>
        <v>0</v>
      </c>
      <c r="AK107" s="1">
        <f t="shared" si="53"/>
        <v>0</v>
      </c>
      <c r="AL107" s="1">
        <f t="shared" si="53"/>
        <v>0</v>
      </c>
      <c r="AM107" s="1">
        <f t="shared" si="53"/>
        <v>0</v>
      </c>
      <c r="AN107" s="1">
        <f t="shared" si="53"/>
        <v>0</v>
      </c>
    </row>
    <row r="108" spans="2:41" x14ac:dyDescent="0.2">
      <c r="H108" s="22"/>
      <c r="I108" s="22"/>
      <c r="J108" s="22"/>
      <c r="K108" s="22"/>
      <c r="L108" s="22"/>
      <c r="M108" s="22"/>
      <c r="N108" s="22"/>
      <c r="O108" s="22"/>
      <c r="P108" s="22"/>
      <c r="Q108" s="22"/>
      <c r="R108" s="22"/>
      <c r="S108" s="22"/>
      <c r="T108" s="22"/>
      <c r="U108" s="22"/>
      <c r="V108" s="22"/>
      <c r="W108" s="22"/>
      <c r="AD108" s="1">
        <f t="shared" ref="AD108:AO108" si="54">AD13</f>
        <v>0</v>
      </c>
      <c r="AE108" s="1">
        <f t="shared" si="54"/>
        <v>40</v>
      </c>
      <c r="AF108" s="1">
        <f t="shared" si="54"/>
        <v>60</v>
      </c>
      <c r="AG108" s="1">
        <f t="shared" si="54"/>
        <v>0</v>
      </c>
      <c r="AH108" s="1">
        <f t="shared" si="54"/>
        <v>0</v>
      </c>
      <c r="AI108" s="1">
        <f t="shared" si="54"/>
        <v>0</v>
      </c>
      <c r="AJ108" s="1">
        <f t="shared" si="54"/>
        <v>0</v>
      </c>
      <c r="AK108" s="1">
        <f t="shared" si="54"/>
        <v>0</v>
      </c>
      <c r="AL108" s="1">
        <f t="shared" si="54"/>
        <v>0</v>
      </c>
      <c r="AM108" s="1">
        <f t="shared" si="54"/>
        <v>0</v>
      </c>
      <c r="AN108" s="1">
        <f t="shared" si="54"/>
        <v>0</v>
      </c>
      <c r="AO108" s="1">
        <f t="shared" si="54"/>
        <v>2000</v>
      </c>
    </row>
    <row r="109" spans="2:41" x14ac:dyDescent="0.2">
      <c r="Y109" s="235" t="s">
        <v>33</v>
      </c>
      <c r="Z109" s="1">
        <f>SUM(AD109:AO109)</f>
        <v>207655.89600000001</v>
      </c>
      <c r="AB109" s="1" t="s">
        <v>106</v>
      </c>
      <c r="AD109" s="1">
        <f t="shared" ref="AD109:AN109" si="55">IF($Z$107&gt;AD108,(IF($Z$107-AE108&gt;0,(AE108-AD108)*$B$16*AD111,($Z$107-AD108)*$B$16*AD111)),0)</f>
        <v>138437.264</v>
      </c>
      <c r="AE109" s="1">
        <f t="shared" si="55"/>
        <v>69218.631999999998</v>
      </c>
      <c r="AF109" s="1">
        <f t="shared" si="55"/>
        <v>0</v>
      </c>
      <c r="AG109" s="1">
        <f t="shared" si="55"/>
        <v>0</v>
      </c>
      <c r="AH109" s="1">
        <f t="shared" si="55"/>
        <v>0</v>
      </c>
      <c r="AI109" s="1">
        <f t="shared" si="55"/>
        <v>0</v>
      </c>
      <c r="AJ109" s="1">
        <f t="shared" si="55"/>
        <v>0</v>
      </c>
      <c r="AK109" s="1">
        <f t="shared" si="55"/>
        <v>0</v>
      </c>
      <c r="AL109" s="1">
        <f t="shared" si="55"/>
        <v>0</v>
      </c>
      <c r="AM109" s="1">
        <f t="shared" si="55"/>
        <v>0</v>
      </c>
      <c r="AN109" s="1">
        <f t="shared" si="55"/>
        <v>0</v>
      </c>
    </row>
    <row r="111" spans="2:41" x14ac:dyDescent="0.2">
      <c r="AB111" s="1" t="s">
        <v>109</v>
      </c>
      <c r="AD111" s="218">
        <f t="shared" ref="AD111:AO111" si="56">AD16</f>
        <v>0.14000000000000001</v>
      </c>
      <c r="AE111" s="218">
        <f t="shared" si="56"/>
        <v>0.14000000000000001</v>
      </c>
      <c r="AF111" s="218">
        <f t="shared" si="56"/>
        <v>0</v>
      </c>
      <c r="AG111" s="218">
        <f t="shared" si="56"/>
        <v>0</v>
      </c>
      <c r="AH111" s="218">
        <f t="shared" si="56"/>
        <v>0</v>
      </c>
      <c r="AI111" s="218">
        <f t="shared" si="56"/>
        <v>0</v>
      </c>
      <c r="AJ111" s="218">
        <f t="shared" si="56"/>
        <v>0</v>
      </c>
      <c r="AK111" s="218">
        <f t="shared" si="56"/>
        <v>0</v>
      </c>
      <c r="AL111" s="218">
        <f t="shared" si="56"/>
        <v>0</v>
      </c>
      <c r="AM111" s="218">
        <f t="shared" si="56"/>
        <v>0</v>
      </c>
      <c r="AN111" s="218">
        <f t="shared" si="56"/>
        <v>0</v>
      </c>
      <c r="AO111" s="218">
        <f t="shared" si="56"/>
        <v>0</v>
      </c>
    </row>
    <row r="115" spans="7:41" x14ac:dyDescent="0.2">
      <c r="H115" s="22"/>
      <c r="Y115" s="235" t="s">
        <v>10</v>
      </c>
      <c r="Z115" s="1">
        <f>C37</f>
        <v>313</v>
      </c>
      <c r="AB115" s="1" t="s">
        <v>103</v>
      </c>
      <c r="AD115" s="1" t="str">
        <f t="shared" ref="AD115:AN115" si="57">AD20</f>
        <v>0-40</v>
      </c>
      <c r="AE115" s="1" t="str">
        <f t="shared" si="57"/>
        <v>40-60</v>
      </c>
      <c r="AF115" s="1" t="str">
        <f t="shared" si="57"/>
        <v>60-80</v>
      </c>
      <c r="AG115" s="1">
        <f t="shared" si="57"/>
        <v>0</v>
      </c>
      <c r="AH115" s="1">
        <f t="shared" si="57"/>
        <v>0</v>
      </c>
      <c r="AI115" s="1">
        <f t="shared" si="57"/>
        <v>0</v>
      </c>
      <c r="AJ115" s="1">
        <f t="shared" si="57"/>
        <v>0</v>
      </c>
      <c r="AK115" s="1">
        <f t="shared" si="57"/>
        <v>0</v>
      </c>
      <c r="AL115" s="1">
        <f t="shared" si="57"/>
        <v>0</v>
      </c>
      <c r="AM115" s="1">
        <f t="shared" si="57"/>
        <v>0</v>
      </c>
      <c r="AN115" s="1">
        <f t="shared" si="57"/>
        <v>0</v>
      </c>
    </row>
    <row r="116" spans="7:41" x14ac:dyDescent="0.2">
      <c r="AD116" s="1">
        <f t="shared" ref="AD116:AO116" si="58">AD13</f>
        <v>0</v>
      </c>
      <c r="AE116" s="1">
        <f t="shared" si="58"/>
        <v>40</v>
      </c>
      <c r="AF116" s="1">
        <f t="shared" si="58"/>
        <v>60</v>
      </c>
      <c r="AG116" s="1">
        <f t="shared" si="58"/>
        <v>0</v>
      </c>
      <c r="AH116" s="1">
        <f t="shared" si="58"/>
        <v>0</v>
      </c>
      <c r="AI116" s="1">
        <f t="shared" si="58"/>
        <v>0</v>
      </c>
      <c r="AJ116" s="1">
        <f t="shared" si="58"/>
        <v>0</v>
      </c>
      <c r="AK116" s="1">
        <f t="shared" si="58"/>
        <v>0</v>
      </c>
      <c r="AL116" s="1">
        <f t="shared" si="58"/>
        <v>0</v>
      </c>
      <c r="AM116" s="1">
        <f t="shared" si="58"/>
        <v>0</v>
      </c>
      <c r="AN116" s="1">
        <f t="shared" si="58"/>
        <v>0</v>
      </c>
      <c r="AO116" s="1">
        <f t="shared" si="58"/>
        <v>2000</v>
      </c>
    </row>
    <row r="117" spans="7:41" x14ac:dyDescent="0.2">
      <c r="Y117" s="235" t="s">
        <v>33</v>
      </c>
      <c r="Z117" s="1">
        <f>SUM(AD117:AO117)</f>
        <v>207655.89600000001</v>
      </c>
      <c r="AB117" s="1" t="s">
        <v>106</v>
      </c>
      <c r="AD117" s="1">
        <f t="shared" ref="AD117:AN117" si="59">IF($Z$115&gt;AD116,(IF($Z$115-AE116&gt;0,(AE116-AD116)*$B$16*AD119,($Z$115-AD116)*$B$16*AD119)),0)</f>
        <v>138437.264</v>
      </c>
      <c r="AE117" s="1">
        <f t="shared" si="59"/>
        <v>69218.631999999998</v>
      </c>
      <c r="AF117" s="1">
        <f t="shared" si="59"/>
        <v>0</v>
      </c>
      <c r="AG117" s="1">
        <f t="shared" si="59"/>
        <v>0</v>
      </c>
      <c r="AH117" s="1">
        <f t="shared" si="59"/>
        <v>0</v>
      </c>
      <c r="AI117" s="1">
        <f t="shared" si="59"/>
        <v>0</v>
      </c>
      <c r="AJ117" s="1">
        <f t="shared" si="59"/>
        <v>0</v>
      </c>
      <c r="AK117" s="1">
        <f t="shared" si="59"/>
        <v>0</v>
      </c>
      <c r="AL117" s="1">
        <f t="shared" si="59"/>
        <v>0</v>
      </c>
      <c r="AM117" s="1">
        <f t="shared" si="59"/>
        <v>0</v>
      </c>
      <c r="AN117" s="1">
        <f t="shared" si="59"/>
        <v>0</v>
      </c>
    </row>
    <row r="119" spans="7:41" x14ac:dyDescent="0.2">
      <c r="AB119" s="1" t="s">
        <v>109</v>
      </c>
      <c r="AD119" s="218">
        <f t="shared" ref="AD119:AO119" si="60">AD16</f>
        <v>0.14000000000000001</v>
      </c>
      <c r="AE119" s="218">
        <f t="shared" si="60"/>
        <v>0.14000000000000001</v>
      </c>
      <c r="AF119" s="218">
        <f t="shared" si="60"/>
        <v>0</v>
      </c>
      <c r="AG119" s="218">
        <f t="shared" si="60"/>
        <v>0</v>
      </c>
      <c r="AH119" s="218">
        <f t="shared" si="60"/>
        <v>0</v>
      </c>
      <c r="AI119" s="218">
        <f t="shared" si="60"/>
        <v>0</v>
      </c>
      <c r="AJ119" s="218">
        <f t="shared" si="60"/>
        <v>0</v>
      </c>
      <c r="AK119" s="218">
        <f t="shared" si="60"/>
        <v>0</v>
      </c>
      <c r="AL119" s="218">
        <f t="shared" si="60"/>
        <v>0</v>
      </c>
      <c r="AM119" s="218">
        <f t="shared" si="60"/>
        <v>0</v>
      </c>
      <c r="AN119" s="218">
        <f t="shared" si="60"/>
        <v>0</v>
      </c>
      <c r="AO119" s="218">
        <f t="shared" si="60"/>
        <v>0</v>
      </c>
    </row>
    <row r="122" spans="7:41" x14ac:dyDescent="0.2">
      <c r="H122" s="22"/>
      <c r="I122" s="22"/>
      <c r="J122" s="22"/>
      <c r="K122" s="22"/>
      <c r="L122" s="22"/>
      <c r="M122" s="22"/>
      <c r="N122" s="22"/>
      <c r="O122" s="22"/>
      <c r="P122" s="22"/>
      <c r="Q122" s="22"/>
      <c r="R122" s="22"/>
      <c r="S122" s="22"/>
      <c r="T122" s="22"/>
      <c r="U122" s="22"/>
      <c r="V122" s="22"/>
      <c r="W122" s="22"/>
      <c r="Y122" s="235" t="s">
        <v>14</v>
      </c>
      <c r="Z122" s="1">
        <f>C38</f>
        <v>581</v>
      </c>
      <c r="AB122" s="1" t="s">
        <v>103</v>
      </c>
      <c r="AD122" s="1" t="str">
        <f t="shared" ref="AD122:AN122" si="61">AD20</f>
        <v>0-40</v>
      </c>
      <c r="AE122" s="1" t="str">
        <f t="shared" si="61"/>
        <v>40-60</v>
      </c>
      <c r="AF122" s="1" t="str">
        <f t="shared" si="61"/>
        <v>60-80</v>
      </c>
      <c r="AG122" s="1">
        <f t="shared" si="61"/>
        <v>0</v>
      </c>
      <c r="AH122" s="1">
        <f t="shared" si="61"/>
        <v>0</v>
      </c>
      <c r="AI122" s="1">
        <f t="shared" si="61"/>
        <v>0</v>
      </c>
      <c r="AJ122" s="1">
        <f t="shared" si="61"/>
        <v>0</v>
      </c>
      <c r="AK122" s="1">
        <f t="shared" si="61"/>
        <v>0</v>
      </c>
      <c r="AL122" s="1">
        <f t="shared" si="61"/>
        <v>0</v>
      </c>
      <c r="AM122" s="1">
        <f t="shared" si="61"/>
        <v>0</v>
      </c>
      <c r="AN122" s="1">
        <f t="shared" si="61"/>
        <v>0</v>
      </c>
    </row>
    <row r="123" spans="7:41" x14ac:dyDescent="0.2">
      <c r="H123" s="22"/>
      <c r="I123" s="22"/>
      <c r="J123" s="22"/>
      <c r="K123" s="22"/>
      <c r="L123" s="22"/>
      <c r="M123" s="22"/>
      <c r="N123" s="22"/>
      <c r="O123" s="22"/>
      <c r="P123" s="22"/>
      <c r="Q123" s="22"/>
      <c r="R123" s="22"/>
      <c r="S123" s="22"/>
      <c r="T123" s="22"/>
      <c r="U123" s="22"/>
      <c r="V123" s="22"/>
      <c r="W123" s="22"/>
      <c r="AD123" s="1">
        <f t="shared" ref="AD123:AO123" si="62">AD13</f>
        <v>0</v>
      </c>
      <c r="AE123" s="1">
        <f t="shared" si="62"/>
        <v>40</v>
      </c>
      <c r="AF123" s="1">
        <f t="shared" si="62"/>
        <v>60</v>
      </c>
      <c r="AG123" s="1">
        <f t="shared" si="62"/>
        <v>0</v>
      </c>
      <c r="AH123" s="1">
        <f t="shared" si="62"/>
        <v>0</v>
      </c>
      <c r="AI123" s="1">
        <f t="shared" si="62"/>
        <v>0</v>
      </c>
      <c r="AJ123" s="1">
        <f t="shared" si="62"/>
        <v>0</v>
      </c>
      <c r="AK123" s="1">
        <f t="shared" si="62"/>
        <v>0</v>
      </c>
      <c r="AL123" s="1">
        <f t="shared" si="62"/>
        <v>0</v>
      </c>
      <c r="AM123" s="1">
        <f t="shared" si="62"/>
        <v>0</v>
      </c>
      <c r="AN123" s="1">
        <f t="shared" si="62"/>
        <v>0</v>
      </c>
      <c r="AO123" s="1">
        <f t="shared" si="62"/>
        <v>2000</v>
      </c>
    </row>
    <row r="124" spans="7:41" x14ac:dyDescent="0.2">
      <c r="Y124" s="235" t="s">
        <v>33</v>
      </c>
      <c r="Z124" s="1">
        <f>SUM(AD124:AO124)</f>
        <v>207655.89600000001</v>
      </c>
      <c r="AB124" s="1" t="s">
        <v>106</v>
      </c>
      <c r="AD124" s="1">
        <f t="shared" ref="AD124:AN124" si="63">IF($Z$122&gt;AD123,(IF($Z$122-AE123&gt;0,(AE123-AD123)*$B$16*AD126,($Z$122-AD123)*$B$16*AD126)),0)</f>
        <v>138437.264</v>
      </c>
      <c r="AE124" s="1">
        <f t="shared" si="63"/>
        <v>69218.631999999998</v>
      </c>
      <c r="AF124" s="1">
        <f t="shared" si="63"/>
        <v>0</v>
      </c>
      <c r="AG124" s="1">
        <f t="shared" si="63"/>
        <v>0</v>
      </c>
      <c r="AH124" s="1">
        <f t="shared" si="63"/>
        <v>0</v>
      </c>
      <c r="AI124" s="1">
        <f t="shared" si="63"/>
        <v>0</v>
      </c>
      <c r="AJ124" s="1">
        <f t="shared" si="63"/>
        <v>0</v>
      </c>
      <c r="AK124" s="1">
        <f t="shared" si="63"/>
        <v>0</v>
      </c>
      <c r="AL124" s="1">
        <f t="shared" si="63"/>
        <v>0</v>
      </c>
      <c r="AM124" s="1">
        <f t="shared" si="63"/>
        <v>0</v>
      </c>
      <c r="AN124" s="1">
        <f t="shared" si="63"/>
        <v>0</v>
      </c>
    </row>
    <row r="125" spans="7:41" x14ac:dyDescent="0.2">
      <c r="G125" s="24"/>
      <c r="H125" s="281"/>
      <c r="I125" s="281"/>
      <c r="J125" s="281"/>
      <c r="K125" s="281"/>
      <c r="L125" s="281"/>
      <c r="M125" s="281"/>
      <c r="N125" s="281"/>
      <c r="O125" s="281"/>
      <c r="P125" s="281"/>
      <c r="Q125" s="281"/>
      <c r="R125" s="281"/>
      <c r="S125" s="281"/>
      <c r="T125" s="281"/>
      <c r="U125" s="281"/>
      <c r="V125" s="281"/>
      <c r="W125" s="281"/>
    </row>
    <row r="126" spans="7:41" x14ac:dyDescent="0.2">
      <c r="H126" s="25"/>
      <c r="I126" s="25"/>
      <c r="J126" s="25"/>
      <c r="K126" s="25"/>
      <c r="L126" s="25"/>
      <c r="M126" s="25"/>
      <c r="N126" s="25"/>
      <c r="O126" s="25"/>
      <c r="P126" s="25"/>
      <c r="Q126" s="25"/>
      <c r="R126" s="25"/>
      <c r="S126" s="25"/>
      <c r="T126" s="25"/>
      <c r="U126" s="25"/>
      <c r="V126" s="25"/>
      <c r="W126" s="25"/>
      <c r="AB126" s="1" t="s">
        <v>109</v>
      </c>
      <c r="AD126" s="218">
        <f t="shared" ref="AD126:AO126" si="64">AD16</f>
        <v>0.14000000000000001</v>
      </c>
      <c r="AE126" s="218">
        <f t="shared" si="64"/>
        <v>0.14000000000000001</v>
      </c>
      <c r="AF126" s="218">
        <f t="shared" si="64"/>
        <v>0</v>
      </c>
      <c r="AG126" s="218">
        <f t="shared" si="64"/>
        <v>0</v>
      </c>
      <c r="AH126" s="218">
        <f t="shared" si="64"/>
        <v>0</v>
      </c>
      <c r="AI126" s="218">
        <f t="shared" si="64"/>
        <v>0</v>
      </c>
      <c r="AJ126" s="218">
        <f t="shared" si="64"/>
        <v>0</v>
      </c>
      <c r="AK126" s="218">
        <f t="shared" si="64"/>
        <v>0</v>
      </c>
      <c r="AL126" s="218">
        <f t="shared" si="64"/>
        <v>0</v>
      </c>
      <c r="AM126" s="218">
        <f t="shared" si="64"/>
        <v>0</v>
      </c>
      <c r="AN126" s="218">
        <f t="shared" si="64"/>
        <v>0</v>
      </c>
      <c r="AO126" s="218">
        <f t="shared" si="64"/>
        <v>0</v>
      </c>
    </row>
    <row r="127" spans="7:41" x14ac:dyDescent="0.2">
      <c r="H127" s="115"/>
      <c r="I127" s="115"/>
      <c r="J127" s="115"/>
      <c r="K127" s="115"/>
      <c r="L127" s="115"/>
      <c r="M127" s="115"/>
      <c r="N127" s="115"/>
      <c r="O127" s="115"/>
      <c r="P127" s="115"/>
      <c r="Q127" s="115"/>
      <c r="R127" s="115"/>
      <c r="S127" s="115"/>
      <c r="T127" s="115"/>
      <c r="U127" s="115"/>
      <c r="V127" s="115"/>
      <c r="W127" s="115"/>
    </row>
    <row r="130" spans="25:41" x14ac:dyDescent="0.2">
      <c r="Y130" s="235" t="s">
        <v>23</v>
      </c>
      <c r="Z130" s="1">
        <f>C39</f>
        <v>1102</v>
      </c>
      <c r="AB130" s="1" t="s">
        <v>103</v>
      </c>
      <c r="AD130" s="1" t="str">
        <f t="shared" ref="AD130:AN130" si="65">AD122</f>
        <v>0-40</v>
      </c>
      <c r="AE130" s="1" t="str">
        <f t="shared" si="65"/>
        <v>40-60</v>
      </c>
      <c r="AF130" s="1" t="str">
        <f t="shared" si="65"/>
        <v>60-80</v>
      </c>
      <c r="AG130" s="1">
        <f t="shared" si="65"/>
        <v>0</v>
      </c>
      <c r="AH130" s="1">
        <f t="shared" si="65"/>
        <v>0</v>
      </c>
      <c r="AI130" s="1">
        <f t="shared" si="65"/>
        <v>0</v>
      </c>
      <c r="AJ130" s="1">
        <f t="shared" si="65"/>
        <v>0</v>
      </c>
      <c r="AK130" s="1">
        <f t="shared" si="65"/>
        <v>0</v>
      </c>
      <c r="AL130" s="1">
        <f t="shared" si="65"/>
        <v>0</v>
      </c>
      <c r="AM130" s="1">
        <f t="shared" si="65"/>
        <v>0</v>
      </c>
      <c r="AN130" s="1">
        <f t="shared" si="65"/>
        <v>0</v>
      </c>
    </row>
    <row r="131" spans="25:41" x14ac:dyDescent="0.2">
      <c r="AD131" s="1">
        <f t="shared" ref="AD131:AO131" si="66">AD13</f>
        <v>0</v>
      </c>
      <c r="AE131" s="1">
        <f t="shared" si="66"/>
        <v>40</v>
      </c>
      <c r="AF131" s="1">
        <f t="shared" si="66"/>
        <v>60</v>
      </c>
      <c r="AG131" s="1">
        <f t="shared" si="66"/>
        <v>0</v>
      </c>
      <c r="AH131" s="1">
        <f t="shared" si="66"/>
        <v>0</v>
      </c>
      <c r="AI131" s="1">
        <f t="shared" si="66"/>
        <v>0</v>
      </c>
      <c r="AJ131" s="1">
        <f t="shared" si="66"/>
        <v>0</v>
      </c>
      <c r="AK131" s="1">
        <f t="shared" si="66"/>
        <v>0</v>
      </c>
      <c r="AL131" s="1">
        <f t="shared" si="66"/>
        <v>0</v>
      </c>
      <c r="AM131" s="1">
        <f t="shared" si="66"/>
        <v>0</v>
      </c>
      <c r="AN131" s="1">
        <f t="shared" si="66"/>
        <v>0</v>
      </c>
      <c r="AO131" s="1">
        <f t="shared" si="66"/>
        <v>2000</v>
      </c>
    </row>
    <row r="132" spans="25:41" x14ac:dyDescent="0.2">
      <c r="Y132" s="235" t="s">
        <v>33</v>
      </c>
      <c r="Z132" s="1">
        <f>SUM(AD132:AO132)</f>
        <v>207655.89600000001</v>
      </c>
      <c r="AB132" s="1" t="s">
        <v>106</v>
      </c>
      <c r="AD132" s="1">
        <f t="shared" ref="AD132:AN132" si="67">IF($Z$130&gt;AD131,(IF($Z$130-AE131&gt;0,(AE131-AD131)*$B$16*AD134,($Z$130-AD131)*$B$16*AD134)),0)</f>
        <v>138437.264</v>
      </c>
      <c r="AE132" s="1">
        <f t="shared" si="67"/>
        <v>69218.631999999998</v>
      </c>
      <c r="AF132" s="1">
        <f t="shared" si="67"/>
        <v>0</v>
      </c>
      <c r="AG132" s="1">
        <f t="shared" si="67"/>
        <v>0</v>
      </c>
      <c r="AH132" s="1">
        <f t="shared" si="67"/>
        <v>0</v>
      </c>
      <c r="AI132" s="1">
        <f t="shared" si="67"/>
        <v>0</v>
      </c>
      <c r="AJ132" s="1">
        <f t="shared" si="67"/>
        <v>0</v>
      </c>
      <c r="AK132" s="1">
        <f t="shared" si="67"/>
        <v>0</v>
      </c>
      <c r="AL132" s="1">
        <f t="shared" si="67"/>
        <v>0</v>
      </c>
      <c r="AM132" s="1">
        <f t="shared" si="67"/>
        <v>0</v>
      </c>
      <c r="AN132" s="1">
        <f t="shared" si="67"/>
        <v>0</v>
      </c>
    </row>
    <row r="134" spans="25:41" x14ac:dyDescent="0.2">
      <c r="AB134" s="1" t="s">
        <v>109</v>
      </c>
      <c r="AD134" s="218">
        <f t="shared" ref="AD134:AO134" si="68">AD16</f>
        <v>0.14000000000000001</v>
      </c>
      <c r="AE134" s="218">
        <f t="shared" si="68"/>
        <v>0.14000000000000001</v>
      </c>
      <c r="AF134" s="218">
        <f t="shared" si="68"/>
        <v>0</v>
      </c>
      <c r="AG134" s="218">
        <f t="shared" si="68"/>
        <v>0</v>
      </c>
      <c r="AH134" s="218">
        <f t="shared" si="68"/>
        <v>0</v>
      </c>
      <c r="AI134" s="218">
        <f t="shared" si="68"/>
        <v>0</v>
      </c>
      <c r="AJ134" s="218">
        <f t="shared" si="68"/>
        <v>0</v>
      </c>
      <c r="AK134" s="218">
        <f t="shared" si="68"/>
        <v>0</v>
      </c>
      <c r="AL134" s="218">
        <f t="shared" si="68"/>
        <v>0</v>
      </c>
      <c r="AM134" s="218">
        <f t="shared" si="68"/>
        <v>0</v>
      </c>
      <c r="AN134" s="218">
        <f t="shared" si="68"/>
        <v>0</v>
      </c>
      <c r="AO134" s="218">
        <f t="shared" si="68"/>
        <v>0</v>
      </c>
    </row>
    <row r="137" spans="25:41" x14ac:dyDescent="0.2">
      <c r="Y137" s="235" t="s">
        <v>138</v>
      </c>
      <c r="Z137" s="1">
        <f>SUM(Z130+Z122+Z115+Z107+Z100+Z92+Z80+Z72+Z65+Z57+Z50+Z42+Z35+Z27+Z20+Z12)</f>
        <v>3165</v>
      </c>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O137"/>
  <sheetViews>
    <sheetView topLeftCell="A16" zoomScale="70" zoomScaleNormal="70" workbookViewId="0">
      <selection activeCell="I23" sqref="I23:J23"/>
    </sheetView>
  </sheetViews>
  <sheetFormatPr defaultColWidth="8.88671875" defaultRowHeight="15" x14ac:dyDescent="0.2"/>
  <cols>
    <col min="1" max="1" width="8.88671875" style="1"/>
    <col min="2" max="2" width="14.88671875" style="1" customWidth="1"/>
    <col min="3" max="3" width="17" style="1" customWidth="1"/>
    <col min="4" max="4" width="12" style="1" customWidth="1"/>
    <col min="5" max="5" width="9.44140625" style="1" bestFit="1" customWidth="1"/>
    <col min="6" max="6" width="9.77734375" style="1" bestFit="1" customWidth="1"/>
    <col min="7" max="7" width="18.6640625" style="1" customWidth="1"/>
    <col min="8" max="8" width="12.109375" style="1" customWidth="1"/>
    <col min="9" max="9" width="19.44140625" style="1" customWidth="1"/>
    <col min="10" max="10" width="22.88671875" style="1" customWidth="1"/>
    <col min="11" max="11" width="7.33203125" style="1" customWidth="1"/>
    <col min="12" max="12" width="9" style="1" customWidth="1"/>
    <col min="13" max="14" width="13.77734375" style="1" customWidth="1"/>
    <col min="15" max="19" width="10.5546875" style="1" bestFit="1" customWidth="1"/>
    <col min="20" max="20" width="9.6640625" style="1" bestFit="1" customWidth="1"/>
    <col min="21" max="22" width="8.88671875" style="1"/>
    <col min="23" max="23" width="11.109375" style="1" customWidth="1"/>
    <col min="24" max="24" width="8.88671875" style="1"/>
    <col min="25" max="25" width="8.88671875" style="235"/>
    <col min="26" max="31" width="8.88671875" style="1"/>
    <col min="32" max="32" width="13.109375" style="1" customWidth="1"/>
    <col min="33" max="16384" width="8.88671875" style="1"/>
  </cols>
  <sheetData>
    <row r="3" spans="1:41" ht="34.5" thickBot="1" x14ac:dyDescent="0.55000000000000004">
      <c r="B3" s="753" t="s">
        <v>179</v>
      </c>
      <c r="C3" s="750"/>
      <c r="D3" s="750"/>
    </row>
    <row r="4" spans="1:41" ht="15.75" thickTop="1" x14ac:dyDescent="0.2"/>
    <row r="5" spans="1:41" x14ac:dyDescent="0.2">
      <c r="B5" s="751" t="s">
        <v>412</v>
      </c>
    </row>
    <row r="6" spans="1:41" x14ac:dyDescent="0.2">
      <c r="B6" s="751" t="s">
        <v>413</v>
      </c>
    </row>
    <row r="7" spans="1:41" x14ac:dyDescent="0.2">
      <c r="B7" s="751" t="s">
        <v>411</v>
      </c>
    </row>
    <row r="9" spans="1:41" x14ac:dyDescent="0.2">
      <c r="B9" s="119"/>
      <c r="C9" s="119"/>
      <c r="D9" s="119"/>
      <c r="E9" s="119"/>
      <c r="F9"/>
    </row>
    <row r="10" spans="1:41" ht="28.5" thickBot="1" x14ac:dyDescent="0.45">
      <c r="B10" s="752" t="s">
        <v>414</v>
      </c>
      <c r="C10" s="749"/>
      <c r="D10" s="749"/>
      <c r="E10" s="749"/>
    </row>
    <row r="11" spans="1:41" ht="15.75" thickTop="1" x14ac:dyDescent="0.2"/>
    <row r="12" spans="1:41" x14ac:dyDescent="0.2">
      <c r="Y12" s="235" t="s">
        <v>102</v>
      </c>
      <c r="Z12" s="1">
        <f>C24</f>
        <v>53</v>
      </c>
      <c r="AB12" s="1" t="s">
        <v>103</v>
      </c>
      <c r="AD12" s="1" t="str">
        <f>I18</f>
        <v>0-40</v>
      </c>
      <c r="AE12" s="1" t="str">
        <f t="shared" ref="AE12:AN12" si="0">J18</f>
        <v>40-60</v>
      </c>
      <c r="AF12" s="1" t="str">
        <f t="shared" si="0"/>
        <v>60-80</v>
      </c>
      <c r="AG12" s="1">
        <f t="shared" si="0"/>
        <v>0</v>
      </c>
      <c r="AH12" s="1">
        <f t="shared" si="0"/>
        <v>0</v>
      </c>
      <c r="AI12" s="1">
        <f t="shared" si="0"/>
        <v>0</v>
      </c>
      <c r="AJ12" s="1" t="str">
        <f t="shared" si="0"/>
        <v>200-250</v>
      </c>
      <c r="AK12" s="1" t="str">
        <f t="shared" si="0"/>
        <v>250-350</v>
      </c>
      <c r="AL12" s="1" t="str">
        <f t="shared" si="0"/>
        <v>350-450</v>
      </c>
      <c r="AM12" s="1" t="str">
        <f t="shared" si="0"/>
        <v>450-650</v>
      </c>
      <c r="AN12" s="1" t="str">
        <f t="shared" si="0"/>
        <v>650-2000</v>
      </c>
    </row>
    <row r="13" spans="1:41" ht="16.5" thickBot="1" x14ac:dyDescent="0.3">
      <c r="G13" s="5" t="s">
        <v>104</v>
      </c>
      <c r="AD13" s="1">
        <f t="shared" ref="AD13:AO13" si="1">I19</f>
        <v>0</v>
      </c>
      <c r="AE13" s="1">
        <f t="shared" si="1"/>
        <v>40</v>
      </c>
      <c r="AF13" s="1">
        <f t="shared" si="1"/>
        <v>60</v>
      </c>
      <c r="AG13" s="1">
        <f t="shared" si="1"/>
        <v>0</v>
      </c>
      <c r="AH13" s="1">
        <f t="shared" si="1"/>
        <v>0</v>
      </c>
      <c r="AI13" s="1">
        <f t="shared" si="1"/>
        <v>0</v>
      </c>
      <c r="AJ13" s="1">
        <f t="shared" si="1"/>
        <v>200</v>
      </c>
      <c r="AK13" s="1">
        <f t="shared" si="1"/>
        <v>250</v>
      </c>
      <c r="AL13" s="1">
        <f t="shared" si="1"/>
        <v>350</v>
      </c>
      <c r="AM13" s="1">
        <f t="shared" si="1"/>
        <v>450</v>
      </c>
      <c r="AN13" s="1">
        <f t="shared" si="1"/>
        <v>650</v>
      </c>
      <c r="AO13" s="1">
        <f t="shared" si="1"/>
        <v>2000</v>
      </c>
    </row>
    <row r="14" spans="1:41" ht="15.75" x14ac:dyDescent="0.25">
      <c r="B14" s="229" t="s">
        <v>472</v>
      </c>
      <c r="G14" s="99"/>
      <c r="H14" s="100"/>
      <c r="I14" s="100"/>
      <c r="J14" s="100"/>
      <c r="K14" s="100"/>
      <c r="L14" s="100"/>
      <c r="M14" s="100"/>
      <c r="N14" s="100"/>
      <c r="O14" s="100"/>
      <c r="P14" s="100"/>
      <c r="Q14" s="100"/>
      <c r="R14" s="100"/>
      <c r="S14" s="100"/>
      <c r="T14" s="101"/>
      <c r="Y14" s="235" t="s">
        <v>33</v>
      </c>
      <c r="Z14" s="1">
        <f>SUM(AD14:AO14)</f>
        <v>183796.2335496</v>
      </c>
      <c r="AB14" s="1" t="s">
        <v>106</v>
      </c>
      <c r="AD14" s="1">
        <f>IF($Z$12&gt;AD13,(IF($Z$12-AE13&gt;0,(AE13-AD13)*$B$16*AD16,($Z$12-AD13)*$B$16*AD16)),0)</f>
        <v>138714.13852800001</v>
      </c>
      <c r="AE14" s="1">
        <f t="shared" ref="AE14:AN14" si="2">IF($Z$12&gt;AE13,(IF($Z$12-AF13&gt;0,(AF13-AE13)*$B$16*AE16,($Z$12-AE13)*$B$16*AE16)),0)</f>
        <v>45082.095021599998</v>
      </c>
      <c r="AF14" s="1">
        <f t="shared" si="2"/>
        <v>0</v>
      </c>
      <c r="AG14" s="1">
        <f t="shared" si="2"/>
        <v>0</v>
      </c>
      <c r="AH14" s="1">
        <f t="shared" si="2"/>
        <v>0</v>
      </c>
      <c r="AI14" s="1">
        <f t="shared" si="2"/>
        <v>0</v>
      </c>
      <c r="AJ14" s="1">
        <f t="shared" si="2"/>
        <v>0</v>
      </c>
      <c r="AK14" s="1">
        <f t="shared" si="2"/>
        <v>0</v>
      </c>
      <c r="AL14" s="1">
        <f t="shared" si="2"/>
        <v>0</v>
      </c>
      <c r="AM14" s="1">
        <f t="shared" si="2"/>
        <v>0</v>
      </c>
      <c r="AN14" s="1">
        <f t="shared" si="2"/>
        <v>0</v>
      </c>
    </row>
    <row r="15" spans="1:41" ht="15.75" x14ac:dyDescent="0.25">
      <c r="B15" s="236" t="s">
        <v>0</v>
      </c>
      <c r="G15" s="237"/>
      <c r="H15" s="97"/>
      <c r="I15" s="66" t="s">
        <v>107</v>
      </c>
      <c r="J15" s="97"/>
      <c r="K15" s="97"/>
      <c r="L15" s="97"/>
      <c r="M15" s="97"/>
      <c r="N15" s="97"/>
      <c r="O15" s="97"/>
      <c r="P15" s="97"/>
      <c r="Q15" s="97"/>
      <c r="R15" s="97"/>
      <c r="S15" s="97"/>
      <c r="T15" s="102"/>
    </row>
    <row r="16" spans="1:41" ht="15.75" x14ac:dyDescent="0.25">
      <c r="A16" s="1" t="s">
        <v>110</v>
      </c>
      <c r="B16" s="238">
        <f>'B5. Skärgårdstillägg (2014)'!B16*Kontrollpanel!O30</f>
        <v>24770.381879999997</v>
      </c>
      <c r="C16" s="239"/>
      <c r="G16" s="237"/>
      <c r="H16" s="240" t="s">
        <v>108</v>
      </c>
      <c r="I16" s="241">
        <v>1</v>
      </c>
      <c r="J16" s="97"/>
      <c r="K16" s="97"/>
      <c r="L16" s="97"/>
      <c r="M16" s="97"/>
      <c r="N16" s="97"/>
      <c r="O16" s="97"/>
      <c r="P16" s="97"/>
      <c r="Q16" s="97"/>
      <c r="R16" s="97"/>
      <c r="S16" s="97"/>
      <c r="T16" s="102"/>
      <c r="AB16" s="1" t="s">
        <v>109</v>
      </c>
      <c r="AD16" s="218">
        <f t="shared" ref="AD16:AO16" si="3">I22</f>
        <v>0.14000000000000001</v>
      </c>
      <c r="AE16" s="218">
        <f t="shared" si="3"/>
        <v>0.14000000000000001</v>
      </c>
      <c r="AF16" s="218">
        <f t="shared" si="3"/>
        <v>0</v>
      </c>
      <c r="AG16" s="218">
        <f t="shared" si="3"/>
        <v>0</v>
      </c>
      <c r="AH16" s="218">
        <f t="shared" si="3"/>
        <v>0</v>
      </c>
      <c r="AI16" s="218">
        <f t="shared" si="3"/>
        <v>0</v>
      </c>
      <c r="AJ16" s="218">
        <f t="shared" si="3"/>
        <v>0</v>
      </c>
      <c r="AK16" s="218">
        <f t="shared" si="3"/>
        <v>0</v>
      </c>
      <c r="AL16" s="218">
        <f t="shared" si="3"/>
        <v>0</v>
      </c>
      <c r="AM16" s="218">
        <f t="shared" si="3"/>
        <v>0</v>
      </c>
      <c r="AN16" s="218">
        <f t="shared" si="3"/>
        <v>0</v>
      </c>
      <c r="AO16" s="218">
        <f t="shared" si="3"/>
        <v>0</v>
      </c>
    </row>
    <row r="17" spans="1:41" ht="15.75" x14ac:dyDescent="0.25">
      <c r="A17" s="1" t="s">
        <v>111</v>
      </c>
      <c r="B17" s="238">
        <f>'B5. Skärgårdstillägg (2014)'!B17*Kontrollpanel!O30</f>
        <v>15412.568609999998</v>
      </c>
      <c r="G17" s="237"/>
      <c r="H17" s="97"/>
      <c r="I17" s="97"/>
      <c r="J17" s="97"/>
      <c r="K17" s="97"/>
      <c r="L17" s="97"/>
      <c r="M17" s="97"/>
      <c r="N17" s="97"/>
      <c r="O17" s="97"/>
      <c r="P17" s="97"/>
      <c r="Q17" s="97"/>
      <c r="R17" s="97"/>
      <c r="S17" s="97"/>
      <c r="T17" s="102"/>
    </row>
    <row r="18" spans="1:41" ht="15.75" x14ac:dyDescent="0.25">
      <c r="G18" s="242" t="s">
        <v>103</v>
      </c>
      <c r="H18" s="243"/>
      <c r="I18" s="243" t="str">
        <f>Kontrollpanel!H42</f>
        <v>0-40</v>
      </c>
      <c r="J18" s="243" t="str">
        <f>Kontrollpanel!I42</f>
        <v>40-60</v>
      </c>
      <c r="K18" s="243" t="str">
        <f>Kontrollpanel!J42</f>
        <v>60-80</v>
      </c>
      <c r="L18" s="243"/>
      <c r="M18" s="243"/>
      <c r="N18" s="243"/>
      <c r="O18" s="243" t="s">
        <v>116</v>
      </c>
      <c r="P18" s="243" t="s">
        <v>117</v>
      </c>
      <c r="Q18" s="243" t="s">
        <v>118</v>
      </c>
      <c r="R18" s="243" t="s">
        <v>119</v>
      </c>
      <c r="S18" s="243" t="s">
        <v>120</v>
      </c>
      <c r="T18" s="244"/>
      <c r="U18" s="5"/>
      <c r="V18" s="5"/>
      <c r="W18" s="5"/>
      <c r="X18" s="5"/>
      <c r="Z18" s="5"/>
      <c r="AA18" s="5"/>
      <c r="AB18" s="5"/>
      <c r="AC18" s="5"/>
      <c r="AD18" s="5"/>
    </row>
    <row r="19" spans="1:41" ht="15.75" x14ac:dyDescent="0.25">
      <c r="F19" s="245" t="s">
        <v>121</v>
      </c>
      <c r="G19" s="229" t="s">
        <v>122</v>
      </c>
      <c r="H19" s="229"/>
      <c r="I19" s="229">
        <f>Kontrollpanel!H43</f>
        <v>0</v>
      </c>
      <c r="J19" s="229">
        <f>Kontrollpanel!I43</f>
        <v>40</v>
      </c>
      <c r="K19" s="229">
        <f>Kontrollpanel!J43</f>
        <v>60</v>
      </c>
      <c r="L19" s="229"/>
      <c r="M19" s="229"/>
      <c r="N19" s="229"/>
      <c r="O19" s="229">
        <v>200</v>
      </c>
      <c r="P19" s="229">
        <v>250</v>
      </c>
      <c r="Q19" s="229">
        <v>350</v>
      </c>
      <c r="R19" s="229">
        <v>450</v>
      </c>
      <c r="S19" s="229">
        <v>650</v>
      </c>
      <c r="T19" s="229">
        <v>2000</v>
      </c>
    </row>
    <row r="20" spans="1:41" ht="15.75" x14ac:dyDescent="0.25">
      <c r="G20" s="246" t="s">
        <v>106</v>
      </c>
      <c r="H20" s="97"/>
      <c r="I20" s="98">
        <f>IF($I$16&gt;I19,(IF($I$16-J19&gt;0,(J19-I19)*$B$16*I22,($I$16-I19)*$B$16*I22)),0)</f>
        <v>3467.8534632000001</v>
      </c>
      <c r="J20" s="98">
        <f t="shared" ref="J20:S20" si="4">IF($I$16&gt;J19,(IF($I$16-K19&gt;0,(K19-J19)*$B$16*J22,($I$16-J19)*$B$16*J22)),0)</f>
        <v>0</v>
      </c>
      <c r="K20" s="98">
        <f t="shared" si="4"/>
        <v>0</v>
      </c>
      <c r="L20" s="98"/>
      <c r="M20" s="98"/>
      <c r="N20" s="98"/>
      <c r="O20" s="98">
        <f t="shared" si="4"/>
        <v>0</v>
      </c>
      <c r="P20" s="98">
        <f t="shared" si="4"/>
        <v>0</v>
      </c>
      <c r="Q20" s="98">
        <f t="shared" si="4"/>
        <v>0</v>
      </c>
      <c r="R20" s="98">
        <f t="shared" si="4"/>
        <v>0</v>
      </c>
      <c r="S20" s="98">
        <f t="shared" si="4"/>
        <v>0</v>
      </c>
      <c r="T20" s="247"/>
      <c r="Y20" s="235" t="s">
        <v>8</v>
      </c>
      <c r="Z20" s="1">
        <f>C25</f>
        <v>43</v>
      </c>
      <c r="AB20" s="1" t="s">
        <v>103</v>
      </c>
      <c r="AD20" s="1" t="str">
        <f t="shared" ref="AD20:AO21" si="5">AD12</f>
        <v>0-40</v>
      </c>
      <c r="AE20" s="1" t="str">
        <f t="shared" si="5"/>
        <v>40-60</v>
      </c>
      <c r="AF20" s="1" t="str">
        <f t="shared" si="5"/>
        <v>60-80</v>
      </c>
      <c r="AG20" s="1">
        <f t="shared" si="5"/>
        <v>0</v>
      </c>
      <c r="AH20" s="1">
        <f t="shared" si="5"/>
        <v>0</v>
      </c>
      <c r="AI20" s="1">
        <f t="shared" si="5"/>
        <v>0</v>
      </c>
      <c r="AJ20" s="1" t="str">
        <f t="shared" si="5"/>
        <v>200-250</v>
      </c>
      <c r="AK20" s="1" t="str">
        <f t="shared" si="5"/>
        <v>250-350</v>
      </c>
      <c r="AL20" s="1" t="str">
        <f t="shared" si="5"/>
        <v>350-450</v>
      </c>
      <c r="AM20" s="1" t="str">
        <f t="shared" si="5"/>
        <v>450-650</v>
      </c>
      <c r="AN20" s="1" t="str">
        <f t="shared" si="5"/>
        <v>650-2000</v>
      </c>
    </row>
    <row r="21" spans="1:41" ht="15.75" x14ac:dyDescent="0.25">
      <c r="A21" s="5"/>
      <c r="B21" s="5"/>
      <c r="C21" s="5"/>
      <c r="G21" s="237"/>
      <c r="H21" s="97"/>
      <c r="I21" s="97"/>
      <c r="J21" s="97"/>
      <c r="K21" s="97"/>
      <c r="L21" s="97"/>
      <c r="M21" s="97"/>
      <c r="N21" s="97"/>
      <c r="O21" s="97"/>
      <c r="P21" s="97"/>
      <c r="Q21" s="97"/>
      <c r="R21" s="97"/>
      <c r="S21" s="97"/>
      <c r="T21" s="102"/>
      <c r="AD21" s="1">
        <f t="shared" si="5"/>
        <v>0</v>
      </c>
      <c r="AE21" s="1">
        <f t="shared" si="5"/>
        <v>40</v>
      </c>
      <c r="AF21" s="1">
        <f t="shared" si="5"/>
        <v>60</v>
      </c>
      <c r="AG21" s="1">
        <f t="shared" si="5"/>
        <v>0</v>
      </c>
      <c r="AH21" s="1">
        <f t="shared" si="5"/>
        <v>0</v>
      </c>
      <c r="AI21" s="1">
        <f t="shared" si="5"/>
        <v>0</v>
      </c>
      <c r="AJ21" s="1">
        <f t="shared" si="5"/>
        <v>200</v>
      </c>
      <c r="AK21" s="1">
        <f t="shared" si="5"/>
        <v>250</v>
      </c>
      <c r="AL21" s="1">
        <f t="shared" si="5"/>
        <v>350</v>
      </c>
      <c r="AM21" s="1">
        <f t="shared" si="5"/>
        <v>450</v>
      </c>
      <c r="AN21" s="1">
        <f t="shared" si="5"/>
        <v>650</v>
      </c>
      <c r="AO21" s="1">
        <f t="shared" si="5"/>
        <v>2000</v>
      </c>
    </row>
    <row r="22" spans="1:41" ht="15.75" x14ac:dyDescent="0.25">
      <c r="A22" s="5"/>
      <c r="B22" s="5" t="s">
        <v>123</v>
      </c>
      <c r="C22" s="5" t="s">
        <v>124</v>
      </c>
      <c r="E22" s="1" t="s">
        <v>784</v>
      </c>
      <c r="F22" s="245" t="s">
        <v>660</v>
      </c>
      <c r="G22" s="248" t="s">
        <v>109</v>
      </c>
      <c r="H22" s="249"/>
      <c r="I22" s="250">
        <v>0.14000000000000001</v>
      </c>
      <c r="J22" s="250">
        <v>0.14000000000000001</v>
      </c>
      <c r="K22" s="250">
        <v>0</v>
      </c>
      <c r="L22" s="250"/>
      <c r="M22" s="250"/>
      <c r="N22" s="250"/>
      <c r="O22" s="250">
        <v>0</v>
      </c>
      <c r="P22" s="250">
        <v>0</v>
      </c>
      <c r="Q22" s="250">
        <v>0</v>
      </c>
      <c r="R22" s="250">
        <v>0</v>
      </c>
      <c r="S22" s="250">
        <v>0</v>
      </c>
      <c r="T22" s="251">
        <v>0</v>
      </c>
      <c r="Y22" s="235" t="s">
        <v>33</v>
      </c>
      <c r="Z22" s="1">
        <f>SUM(AD22:AO22)</f>
        <v>197040.06639569998</v>
      </c>
      <c r="AB22" s="1" t="s">
        <v>106</v>
      </c>
      <c r="AD22" s="1">
        <f>IF($Z$20&gt;AD21,(IF($Z$20-AE21&gt;0,(AE21-AD21)*$B$16*AD24,($Z$20-AD21)*$B$16*AD24)),0)</f>
        <v>188254.90228799998</v>
      </c>
      <c r="AE22" s="1">
        <f>IF($Z$20&gt;AE21,(IF($Z$20-AF21&gt;0,(AF21-AE21)*$B$17*AE24,($Z$20-AE21)*$B$17*AE24)),0)</f>
        <v>8785.1641076999986</v>
      </c>
      <c r="AF22" s="1">
        <f t="shared" ref="AF22:AN22" si="6">IF($Z$20&gt;AF21,(IF($Z$20-AG21&gt;0,(AG21-AF21)*$B$16*AF24,($Z$20-AF21)*$B$16*AF24)),0)</f>
        <v>0</v>
      </c>
      <c r="AG22" s="1">
        <f t="shared" si="6"/>
        <v>0</v>
      </c>
      <c r="AH22" s="1">
        <f t="shared" si="6"/>
        <v>0</v>
      </c>
      <c r="AI22" s="1">
        <f t="shared" si="6"/>
        <v>0</v>
      </c>
      <c r="AJ22" s="1">
        <f t="shared" si="6"/>
        <v>0</v>
      </c>
      <c r="AK22" s="1">
        <f t="shared" si="6"/>
        <v>0</v>
      </c>
      <c r="AL22" s="1">
        <f t="shared" si="6"/>
        <v>0</v>
      </c>
      <c r="AM22" s="1">
        <f t="shared" si="6"/>
        <v>0</v>
      </c>
      <c r="AN22" s="1">
        <f t="shared" si="6"/>
        <v>0</v>
      </c>
    </row>
    <row r="23" spans="1:41" ht="15.75" x14ac:dyDescent="0.25">
      <c r="A23" s="252" t="s">
        <v>126</v>
      </c>
      <c r="B23" s="5"/>
      <c r="C23" s="5" t="s">
        <v>474</v>
      </c>
      <c r="E23" s="1" t="s">
        <v>785</v>
      </c>
      <c r="F23" s="1" t="s">
        <v>783</v>
      </c>
      <c r="G23" s="248" t="s">
        <v>109</v>
      </c>
      <c r="H23" s="97"/>
      <c r="I23" s="250">
        <v>0.19</v>
      </c>
      <c r="J23" s="250">
        <v>0.19</v>
      </c>
      <c r="K23" s="97"/>
      <c r="L23" s="97"/>
      <c r="M23" s="97"/>
      <c r="N23" s="97"/>
      <c r="O23" s="97"/>
      <c r="P23" s="97">
        <v>0</v>
      </c>
      <c r="Q23" s="97"/>
      <c r="R23" s="97"/>
      <c r="S23" s="97"/>
      <c r="T23" s="102"/>
    </row>
    <row r="24" spans="1:41" ht="16.5" thickBot="1" x14ac:dyDescent="0.3">
      <c r="B24" s="229" t="s">
        <v>102</v>
      </c>
      <c r="C24" s="229">
        <v>53</v>
      </c>
      <c r="G24" s="253"/>
      <c r="H24" s="105"/>
      <c r="I24" s="105"/>
      <c r="J24" s="105"/>
      <c r="K24" s="105"/>
      <c r="L24" s="105"/>
      <c r="M24" s="105"/>
      <c r="N24" s="105"/>
      <c r="O24" s="105"/>
      <c r="P24" s="105"/>
      <c r="Q24" s="105"/>
      <c r="R24" s="105"/>
      <c r="S24" s="105"/>
      <c r="T24" s="106"/>
      <c r="AB24" s="1" t="s">
        <v>109</v>
      </c>
      <c r="AD24" s="218">
        <f>I23</f>
        <v>0.19</v>
      </c>
      <c r="AE24" s="218">
        <f>J23</f>
        <v>0.19</v>
      </c>
      <c r="AF24" s="218">
        <f t="shared" ref="AF24:AO24" si="7">AF16</f>
        <v>0</v>
      </c>
      <c r="AG24" s="218">
        <f t="shared" si="7"/>
        <v>0</v>
      </c>
      <c r="AH24" s="218">
        <f t="shared" si="7"/>
        <v>0</v>
      </c>
      <c r="AI24" s="218">
        <f t="shared" si="7"/>
        <v>0</v>
      </c>
      <c r="AJ24" s="218">
        <f t="shared" si="7"/>
        <v>0</v>
      </c>
      <c r="AK24" s="218">
        <f t="shared" si="7"/>
        <v>0</v>
      </c>
      <c r="AL24" s="218">
        <f t="shared" si="7"/>
        <v>0</v>
      </c>
      <c r="AM24" s="218">
        <f t="shared" si="7"/>
        <v>0</v>
      </c>
      <c r="AN24" s="218">
        <f t="shared" si="7"/>
        <v>0</v>
      </c>
      <c r="AO24" s="218">
        <f t="shared" si="7"/>
        <v>0</v>
      </c>
    </row>
    <row r="25" spans="1:41" ht="16.5" thickBot="1" x14ac:dyDescent="0.3">
      <c r="B25" s="229" t="s">
        <v>8</v>
      </c>
      <c r="C25" s="229">
        <v>43</v>
      </c>
    </row>
    <row r="26" spans="1:41" ht="16.5" thickBot="1" x14ac:dyDescent="0.3">
      <c r="B26" s="229" t="s">
        <v>11</v>
      </c>
      <c r="C26" s="229">
        <v>58</v>
      </c>
      <c r="I26" s="1233" t="s">
        <v>656</v>
      </c>
      <c r="L26" s="22"/>
    </row>
    <row r="27" spans="1:41" ht="18.75" thickBot="1" x14ac:dyDescent="0.3">
      <c r="B27" s="254" t="s">
        <v>22</v>
      </c>
      <c r="C27" s="255">
        <v>50</v>
      </c>
      <c r="G27" s="1231" t="s">
        <v>653</v>
      </c>
      <c r="H27" s="1231"/>
      <c r="I27" s="1232">
        <f>Kontrollpanel!M44</f>
        <v>0.05</v>
      </c>
      <c r="Y27" s="235" t="s">
        <v>11</v>
      </c>
      <c r="Z27" s="1">
        <f>C26</f>
        <v>58</v>
      </c>
      <c r="AB27" s="1" t="s">
        <v>103</v>
      </c>
      <c r="AD27" s="1" t="str">
        <f t="shared" ref="AD27:AN27" si="8">AD20</f>
        <v>0-40</v>
      </c>
      <c r="AE27" s="1" t="str">
        <f t="shared" si="8"/>
        <v>40-60</v>
      </c>
      <c r="AF27" s="1" t="str">
        <f t="shared" si="8"/>
        <v>60-80</v>
      </c>
      <c r="AG27" s="1">
        <f t="shared" si="8"/>
        <v>0</v>
      </c>
      <c r="AH27" s="1">
        <f t="shared" si="8"/>
        <v>0</v>
      </c>
      <c r="AI27" s="1">
        <f t="shared" si="8"/>
        <v>0</v>
      </c>
      <c r="AJ27" s="1" t="str">
        <f t="shared" si="8"/>
        <v>200-250</v>
      </c>
      <c r="AK27" s="1" t="str">
        <f t="shared" si="8"/>
        <v>250-350</v>
      </c>
      <c r="AL27" s="1" t="str">
        <f t="shared" si="8"/>
        <v>350-450</v>
      </c>
      <c r="AM27" s="1" t="str">
        <f t="shared" si="8"/>
        <v>450-650</v>
      </c>
      <c r="AN27" s="1" t="str">
        <f t="shared" si="8"/>
        <v>650-2000</v>
      </c>
    </row>
    <row r="28" spans="1:41" ht="15.75" x14ac:dyDescent="0.25">
      <c r="B28" s="229" t="s">
        <v>15</v>
      </c>
      <c r="C28" s="229">
        <v>22</v>
      </c>
      <c r="AD28" s="1">
        <f t="shared" ref="AD28:AO28" si="9">AD13</f>
        <v>0</v>
      </c>
      <c r="AE28" s="1">
        <f t="shared" si="9"/>
        <v>40</v>
      </c>
      <c r="AF28" s="1">
        <f t="shared" si="9"/>
        <v>60</v>
      </c>
      <c r="AG28" s="1">
        <f t="shared" si="9"/>
        <v>0</v>
      </c>
      <c r="AH28" s="1">
        <f t="shared" si="9"/>
        <v>0</v>
      </c>
      <c r="AI28" s="1">
        <f t="shared" si="9"/>
        <v>0</v>
      </c>
      <c r="AJ28" s="1">
        <f t="shared" si="9"/>
        <v>200</v>
      </c>
      <c r="AK28" s="1">
        <f t="shared" si="9"/>
        <v>250</v>
      </c>
      <c r="AL28" s="1">
        <f t="shared" si="9"/>
        <v>350</v>
      </c>
      <c r="AM28" s="1">
        <f t="shared" si="9"/>
        <v>450</v>
      </c>
      <c r="AN28" s="1">
        <f t="shared" si="9"/>
        <v>650</v>
      </c>
      <c r="AO28" s="1">
        <f t="shared" si="9"/>
        <v>2000</v>
      </c>
    </row>
    <row r="29" spans="1:41" ht="15.75" x14ac:dyDescent="0.25">
      <c r="B29" s="229" t="s">
        <v>128</v>
      </c>
      <c r="C29" s="229">
        <v>3</v>
      </c>
      <c r="G29" s="5" t="s">
        <v>33</v>
      </c>
      <c r="H29" s="5"/>
      <c r="I29" s="217">
        <f>SUM(I20:S20)</f>
        <v>3467.8534632000001</v>
      </c>
      <c r="Y29" s="235" t="s">
        <v>33</v>
      </c>
      <c r="Z29" s="1">
        <f>SUM(AD29:AO29)</f>
        <v>177553.81142520002</v>
      </c>
      <c r="AB29" s="1" t="s">
        <v>106</v>
      </c>
      <c r="AD29" s="1">
        <f>IF($Z$27&gt;AD28,(IF($Z$27-AE28&gt;0,(AE28-AD28)*$B$16*AD31,($Z$27-AD28)*$B$16*AD31)),0)</f>
        <v>138714.13852800001</v>
      </c>
      <c r="AE29" s="1">
        <f>IF($Z$27&gt;AE28,(IF($Z$27-AF28&gt;0,(AF28-AE28)*$B$17*AE31,($Z$27-AE28)*$B$17*AE31)),0)</f>
        <v>38839.672897199998</v>
      </c>
      <c r="AF29" s="1">
        <f t="shared" ref="AF29:AN29" si="10">IF($Z$27&gt;AF28,(IF($Z$27-AG28&gt;0,(AG28-AF28)*$B$16*AF31,($Z$27-AF28)*$B$16*AF31)),0)</f>
        <v>0</v>
      </c>
      <c r="AG29" s="1">
        <f t="shared" si="10"/>
        <v>0</v>
      </c>
      <c r="AH29" s="1">
        <f t="shared" si="10"/>
        <v>0</v>
      </c>
      <c r="AI29" s="1">
        <f t="shared" si="10"/>
        <v>0</v>
      </c>
      <c r="AJ29" s="1">
        <f t="shared" si="10"/>
        <v>0</v>
      </c>
      <c r="AK29" s="1">
        <f t="shared" si="10"/>
        <v>0</v>
      </c>
      <c r="AL29" s="1">
        <f t="shared" si="10"/>
        <v>0</v>
      </c>
      <c r="AM29" s="1">
        <f t="shared" si="10"/>
        <v>0</v>
      </c>
      <c r="AN29" s="1">
        <f t="shared" si="10"/>
        <v>0</v>
      </c>
    </row>
    <row r="30" spans="1:41" ht="15.75" x14ac:dyDescent="0.25">
      <c r="B30" s="229" t="s">
        <v>16</v>
      </c>
      <c r="C30" s="229">
        <v>26</v>
      </c>
    </row>
    <row r="31" spans="1:41" ht="15.75" x14ac:dyDescent="0.25">
      <c r="B31" s="229" t="s">
        <v>9</v>
      </c>
      <c r="C31" s="229">
        <v>93</v>
      </c>
      <c r="AB31" s="1" t="s">
        <v>109</v>
      </c>
      <c r="AD31" s="218">
        <f t="shared" ref="AD31:AO31" si="11">AD16</f>
        <v>0.14000000000000001</v>
      </c>
      <c r="AE31" s="218">
        <f t="shared" si="11"/>
        <v>0.14000000000000001</v>
      </c>
      <c r="AF31" s="218">
        <f t="shared" si="11"/>
        <v>0</v>
      </c>
      <c r="AG31" s="218">
        <f t="shared" si="11"/>
        <v>0</v>
      </c>
      <c r="AH31" s="218">
        <f t="shared" si="11"/>
        <v>0</v>
      </c>
      <c r="AI31" s="218">
        <f t="shared" si="11"/>
        <v>0</v>
      </c>
      <c r="AJ31" s="218">
        <f t="shared" si="11"/>
        <v>0</v>
      </c>
      <c r="AK31" s="218">
        <f t="shared" si="11"/>
        <v>0</v>
      </c>
      <c r="AL31" s="218">
        <f t="shared" si="11"/>
        <v>0</v>
      </c>
      <c r="AM31" s="218">
        <f t="shared" si="11"/>
        <v>0</v>
      </c>
      <c r="AN31" s="218">
        <f t="shared" si="11"/>
        <v>0</v>
      </c>
      <c r="AO31" s="218">
        <f t="shared" si="11"/>
        <v>0</v>
      </c>
    </row>
    <row r="32" spans="1:41" ht="16.5" thickBot="1" x14ac:dyDescent="0.3">
      <c r="B32" s="256" t="s">
        <v>21</v>
      </c>
      <c r="C32" s="256">
        <v>119</v>
      </c>
    </row>
    <row r="33" spans="2:41" ht="15.75" x14ac:dyDescent="0.25">
      <c r="B33" s="229" t="s">
        <v>18</v>
      </c>
      <c r="C33" s="229">
        <v>55</v>
      </c>
      <c r="G33" s="257"/>
      <c r="H33" s="258"/>
      <c r="I33" s="258"/>
      <c r="J33" s="258"/>
      <c r="K33" s="258"/>
      <c r="L33" s="258"/>
      <c r="M33" s="258"/>
      <c r="N33" s="258"/>
      <c r="O33" s="258"/>
      <c r="P33" s="258"/>
      <c r="Q33" s="258"/>
      <c r="R33" s="258"/>
      <c r="S33" s="258"/>
      <c r="T33" s="259"/>
    </row>
    <row r="34" spans="2:41" ht="15.75" x14ac:dyDescent="0.25">
      <c r="B34" s="229" t="s">
        <v>13</v>
      </c>
      <c r="C34" s="229">
        <v>196</v>
      </c>
      <c r="G34" s="260"/>
      <c r="H34" s="261" t="s">
        <v>123</v>
      </c>
      <c r="I34" s="261" t="s">
        <v>129</v>
      </c>
      <c r="J34" s="261" t="s">
        <v>130</v>
      </c>
      <c r="K34" s="262" t="s">
        <v>131</v>
      </c>
      <c r="L34" s="262"/>
      <c r="M34" s="262" t="s">
        <v>132</v>
      </c>
      <c r="N34" s="263"/>
      <c r="O34" s="263"/>
      <c r="P34" s="263"/>
      <c r="Q34" s="263"/>
      <c r="R34" s="263"/>
      <c r="S34" s="263"/>
      <c r="T34" s="264"/>
    </row>
    <row r="35" spans="2:41" ht="15.75" x14ac:dyDescent="0.25">
      <c r="B35" s="229" t="s">
        <v>17</v>
      </c>
      <c r="C35" s="229">
        <v>262</v>
      </c>
      <c r="G35" s="265"/>
      <c r="H35" s="266"/>
      <c r="I35" s="267"/>
      <c r="J35" s="268"/>
      <c r="K35" s="269"/>
      <c r="L35" s="263"/>
      <c r="M35" s="270"/>
      <c r="N35" s="263"/>
      <c r="O35" s="263"/>
      <c r="P35" s="263"/>
      <c r="Q35" s="263"/>
      <c r="R35" s="263"/>
      <c r="S35" s="263"/>
      <c r="T35" s="264"/>
      <c r="Y35" s="235" t="s">
        <v>22</v>
      </c>
      <c r="Z35" s="1">
        <f>C27</f>
        <v>50</v>
      </c>
      <c r="AB35" s="1" t="s">
        <v>103</v>
      </c>
      <c r="AD35" s="1" t="str">
        <f t="shared" ref="AD35:AN35" si="12">AD20</f>
        <v>0-40</v>
      </c>
      <c r="AE35" s="1" t="str">
        <f t="shared" si="12"/>
        <v>40-60</v>
      </c>
      <c r="AF35" s="1" t="str">
        <f t="shared" si="12"/>
        <v>60-80</v>
      </c>
      <c r="AG35" s="1">
        <f t="shared" si="12"/>
        <v>0</v>
      </c>
      <c r="AH35" s="1">
        <f t="shared" si="12"/>
        <v>0</v>
      </c>
      <c r="AI35" s="1">
        <f t="shared" si="12"/>
        <v>0</v>
      </c>
      <c r="AJ35" s="1" t="str">
        <f t="shared" si="12"/>
        <v>200-250</v>
      </c>
      <c r="AK35" s="1" t="str">
        <f t="shared" si="12"/>
        <v>250-350</v>
      </c>
      <c r="AL35" s="1" t="str">
        <f t="shared" si="12"/>
        <v>350-450</v>
      </c>
      <c r="AM35" s="1" t="str">
        <f t="shared" si="12"/>
        <v>450-650</v>
      </c>
      <c r="AN35" s="1" t="str">
        <f t="shared" si="12"/>
        <v>650-2000</v>
      </c>
    </row>
    <row r="36" spans="2:41" ht="15.75" x14ac:dyDescent="0.25">
      <c r="B36" s="229" t="s">
        <v>19</v>
      </c>
      <c r="C36" s="229">
        <v>220</v>
      </c>
      <c r="E36" s="22">
        <f>F36-I36</f>
        <v>-197040.06639569998</v>
      </c>
      <c r="G36" s="265" t="s">
        <v>8</v>
      </c>
      <c r="H36" s="229">
        <v>43</v>
      </c>
      <c r="I36" s="268">
        <f>Z22</f>
        <v>197040.06639569998</v>
      </c>
      <c r="J36" s="268">
        <v>351676.10343388136</v>
      </c>
      <c r="K36" s="269">
        <f t="shared" ref="K36:K41" si="13">I36/J36</f>
        <v>0.56028847132840653</v>
      </c>
      <c r="L36" s="263"/>
      <c r="M36" s="270">
        <f t="shared" ref="M36:M41" si="14">I36/H36</f>
        <v>4582.3271254813944</v>
      </c>
      <c r="N36" s="263"/>
      <c r="O36" s="263"/>
      <c r="P36" s="263"/>
      <c r="Q36" s="263"/>
      <c r="R36" s="263"/>
      <c r="S36" s="263"/>
      <c r="T36" s="264"/>
      <c r="AD36" s="1">
        <f t="shared" ref="AD36:AO36" si="15">AD13</f>
        <v>0</v>
      </c>
      <c r="AE36" s="1">
        <f t="shared" si="15"/>
        <v>40</v>
      </c>
      <c r="AF36" s="1">
        <f t="shared" si="15"/>
        <v>60</v>
      </c>
      <c r="AG36" s="1">
        <f t="shared" si="15"/>
        <v>0</v>
      </c>
      <c r="AH36" s="1">
        <f t="shared" si="15"/>
        <v>0</v>
      </c>
      <c r="AI36" s="1">
        <f t="shared" si="15"/>
        <v>0</v>
      </c>
      <c r="AJ36" s="1">
        <f t="shared" si="15"/>
        <v>200</v>
      </c>
      <c r="AK36" s="1">
        <f t="shared" si="15"/>
        <v>250</v>
      </c>
      <c r="AL36" s="1">
        <f t="shared" si="15"/>
        <v>350</v>
      </c>
      <c r="AM36" s="1">
        <f t="shared" si="15"/>
        <v>450</v>
      </c>
      <c r="AN36" s="1">
        <f t="shared" si="15"/>
        <v>650</v>
      </c>
      <c r="AO36" s="1">
        <f t="shared" si="15"/>
        <v>2000</v>
      </c>
    </row>
    <row r="37" spans="2:41" ht="15.75" x14ac:dyDescent="0.25">
      <c r="B37" s="229" t="s">
        <v>133</v>
      </c>
      <c r="C37" s="229">
        <v>316</v>
      </c>
      <c r="E37" s="22">
        <f t="shared" ref="E37:E42" si="16">F37-I37</f>
        <v>-177553.81142520002</v>
      </c>
      <c r="G37" s="265" t="s">
        <v>11</v>
      </c>
      <c r="H37" s="229">
        <v>58</v>
      </c>
      <c r="I37" s="267">
        <f>Z29</f>
        <v>177553.81142520002</v>
      </c>
      <c r="J37" s="268">
        <v>496933.62441744097</v>
      </c>
      <c r="K37" s="269">
        <f t="shared" si="13"/>
        <v>0.35729884777538989</v>
      </c>
      <c r="L37" s="263"/>
      <c r="M37" s="270">
        <f t="shared" si="14"/>
        <v>3061.2726107793105</v>
      </c>
      <c r="N37" s="263"/>
      <c r="O37" s="263"/>
      <c r="P37" s="263"/>
      <c r="Q37" s="263"/>
      <c r="R37" s="263"/>
      <c r="S37" s="263"/>
      <c r="T37" s="264"/>
      <c r="Y37" s="235" t="s">
        <v>33</v>
      </c>
      <c r="Z37" s="1">
        <f>SUM(AD37:AO37)</f>
        <v>160291.734582</v>
      </c>
      <c r="AB37" s="1" t="s">
        <v>106</v>
      </c>
      <c r="AD37" s="1">
        <f>IF($Z$35&gt;AD36,(IF($Z$35-AE36&gt;0,(AE36-AD36)*$B$16*AD39,($Z$35-AD36)*$B$16*AD39)),0)</f>
        <v>138714.13852800001</v>
      </c>
      <c r="AE37" s="1">
        <f>IF($Z$35&gt;AE36,(IF($Z$35-AF36&gt;0,(AF36-AE36)*$B$17*AE39,($Z$35-AE36)*$B$17*AE39)),0)</f>
        <v>21577.596054000001</v>
      </c>
      <c r="AF37" s="1">
        <f t="shared" ref="AF37:AN37" si="17">IF($Z$35&gt;AF36,(IF($Z$35-AG36&gt;0,(AG36-AF36)*$B$16*AF39,($Z$35-AF36)*$B$16*AF39)),0)</f>
        <v>0</v>
      </c>
      <c r="AG37" s="1">
        <f t="shared" si="17"/>
        <v>0</v>
      </c>
      <c r="AH37" s="1">
        <f t="shared" si="17"/>
        <v>0</v>
      </c>
      <c r="AI37" s="1">
        <f t="shared" si="17"/>
        <v>0</v>
      </c>
      <c r="AJ37" s="1">
        <f t="shared" si="17"/>
        <v>0</v>
      </c>
      <c r="AK37" s="1">
        <f t="shared" si="17"/>
        <v>0</v>
      </c>
      <c r="AL37" s="1">
        <f t="shared" si="17"/>
        <v>0</v>
      </c>
      <c r="AM37" s="1">
        <f t="shared" si="17"/>
        <v>0</v>
      </c>
      <c r="AN37" s="1">
        <f t="shared" si="17"/>
        <v>0</v>
      </c>
    </row>
    <row r="38" spans="2:41" ht="15.75" x14ac:dyDescent="0.25">
      <c r="B38" s="229" t="s">
        <v>134</v>
      </c>
      <c r="C38" s="229">
        <v>604</v>
      </c>
      <c r="E38" s="22">
        <f t="shared" si="16"/>
        <v>-160291.734582</v>
      </c>
      <c r="G38" s="265" t="s">
        <v>22</v>
      </c>
      <c r="H38" s="255">
        <v>50</v>
      </c>
      <c r="I38" s="267">
        <f>Z37</f>
        <v>160291.734582</v>
      </c>
      <c r="J38" s="268">
        <v>336385.83806719084</v>
      </c>
      <c r="K38" s="269">
        <f t="shared" si="13"/>
        <v>0.47651154252808586</v>
      </c>
      <c r="L38" s="263"/>
      <c r="M38" s="270">
        <f t="shared" si="14"/>
        <v>3205.8346916400001</v>
      </c>
      <c r="N38" s="263"/>
      <c r="O38" s="263"/>
      <c r="P38" s="263"/>
      <c r="Q38" s="263"/>
      <c r="R38" s="263"/>
      <c r="S38" s="263"/>
      <c r="T38" s="264"/>
    </row>
    <row r="39" spans="2:41" ht="15.75" customHeight="1" x14ac:dyDescent="0.25">
      <c r="B39" s="229" t="s">
        <v>135</v>
      </c>
      <c r="C39" s="229">
        <v>1086</v>
      </c>
      <c r="E39" s="22">
        <f t="shared" si="16"/>
        <v>-103540.19625839998</v>
      </c>
      <c r="G39" s="265" t="s">
        <v>15</v>
      </c>
      <c r="H39" s="229">
        <v>22</v>
      </c>
      <c r="I39" s="267">
        <f>Z44</f>
        <v>103540.19625839998</v>
      </c>
      <c r="J39" s="268">
        <v>252289.37855039316</v>
      </c>
      <c r="K39" s="269">
        <f t="shared" si="13"/>
        <v>0.41040251814532297</v>
      </c>
      <c r="L39" s="263"/>
      <c r="M39" s="270">
        <f t="shared" si="14"/>
        <v>4706.3725571999994</v>
      </c>
      <c r="N39" s="263"/>
      <c r="O39" s="263"/>
      <c r="P39" s="263"/>
      <c r="Q39" s="263"/>
      <c r="R39" s="263"/>
      <c r="S39" s="263"/>
      <c r="T39" s="264"/>
      <c r="AB39" s="1" t="s">
        <v>109</v>
      </c>
      <c r="AD39" s="218">
        <f t="shared" ref="AD39:AO39" si="18">AD16</f>
        <v>0.14000000000000001</v>
      </c>
      <c r="AE39" s="218">
        <f t="shared" si="18"/>
        <v>0.14000000000000001</v>
      </c>
      <c r="AF39" s="218">
        <f t="shared" si="18"/>
        <v>0</v>
      </c>
      <c r="AG39" s="218">
        <f t="shared" si="18"/>
        <v>0</v>
      </c>
      <c r="AH39" s="218">
        <f t="shared" si="18"/>
        <v>0</v>
      </c>
      <c r="AI39" s="218">
        <f t="shared" si="18"/>
        <v>0</v>
      </c>
      <c r="AJ39" s="218">
        <f t="shared" si="18"/>
        <v>0</v>
      </c>
      <c r="AK39" s="218">
        <f t="shared" si="18"/>
        <v>0</v>
      </c>
      <c r="AL39" s="218">
        <f t="shared" si="18"/>
        <v>0</v>
      </c>
      <c r="AM39" s="218">
        <f t="shared" si="18"/>
        <v>0</v>
      </c>
      <c r="AN39" s="218">
        <f t="shared" si="18"/>
        <v>0</v>
      </c>
      <c r="AO39" s="218">
        <f t="shared" si="18"/>
        <v>0</v>
      </c>
    </row>
    <row r="40" spans="2:41" ht="15" customHeight="1" x14ac:dyDescent="0.25">
      <c r="B40" s="229"/>
      <c r="C40" s="229"/>
      <c r="E40" s="22">
        <f t="shared" si="16"/>
        <v>-14119.117671599997</v>
      </c>
      <c r="G40" s="265" t="s">
        <v>128</v>
      </c>
      <c r="H40" s="229">
        <v>3</v>
      </c>
      <c r="I40" s="267">
        <f>Z52</f>
        <v>14119.117671599997</v>
      </c>
      <c r="J40" s="268">
        <v>61161.061466761974</v>
      </c>
      <c r="K40" s="269">
        <f t="shared" si="13"/>
        <v>0.23085141645674417</v>
      </c>
      <c r="L40" s="263"/>
      <c r="M40" s="270">
        <f t="shared" si="14"/>
        <v>4706.3725571999994</v>
      </c>
      <c r="N40" s="263"/>
      <c r="O40" s="263"/>
      <c r="P40" s="263"/>
      <c r="Q40" s="263"/>
      <c r="R40" s="263"/>
      <c r="S40" s="263"/>
      <c r="T40" s="264"/>
    </row>
    <row r="41" spans="2:41" ht="15.75" x14ac:dyDescent="0.25">
      <c r="B41" s="229" t="s">
        <v>32</v>
      </c>
      <c r="C41" s="229">
        <f>SUM(C24:C39)</f>
        <v>3206</v>
      </c>
      <c r="E41" s="22">
        <f t="shared" si="16"/>
        <v>-122365.68648719999</v>
      </c>
      <c r="G41" s="265" t="s">
        <v>16</v>
      </c>
      <c r="H41" s="229">
        <v>26</v>
      </c>
      <c r="I41" s="267">
        <f>Z59</f>
        <v>122365.68648719999</v>
      </c>
      <c r="J41" s="268">
        <v>229353.98050035737</v>
      </c>
      <c r="K41" s="269">
        <f t="shared" si="13"/>
        <v>0.53352327358892004</v>
      </c>
      <c r="L41" s="263"/>
      <c r="M41" s="270">
        <f t="shared" si="14"/>
        <v>4706.3725571999994</v>
      </c>
      <c r="N41" s="263"/>
      <c r="O41" s="263"/>
      <c r="P41" s="263"/>
      <c r="Q41" s="263"/>
      <c r="R41" s="263"/>
      <c r="S41" s="263"/>
      <c r="T41" s="264"/>
    </row>
    <row r="42" spans="2:41" ht="15.75" x14ac:dyDescent="0.25">
      <c r="B42" s="229"/>
      <c r="C42" s="229"/>
      <c r="E42" s="22">
        <f t="shared" si="16"/>
        <v>0</v>
      </c>
      <c r="G42" s="265"/>
      <c r="H42" s="266"/>
      <c r="I42" s="267"/>
      <c r="J42" s="268"/>
      <c r="K42" s="269"/>
      <c r="L42" s="263"/>
      <c r="M42" s="270"/>
      <c r="N42" s="263"/>
      <c r="O42" s="263"/>
      <c r="P42" s="263"/>
      <c r="Q42" s="263"/>
      <c r="R42" s="263"/>
      <c r="S42" s="263"/>
      <c r="T42" s="264"/>
      <c r="Y42" s="235" t="s">
        <v>15</v>
      </c>
      <c r="Z42" s="1">
        <f>C28</f>
        <v>22</v>
      </c>
      <c r="AB42" s="1" t="s">
        <v>103</v>
      </c>
      <c r="AD42" s="1" t="str">
        <f t="shared" ref="AD42:AN42" si="19">AD20</f>
        <v>0-40</v>
      </c>
      <c r="AE42" s="1" t="str">
        <f t="shared" si="19"/>
        <v>40-60</v>
      </c>
      <c r="AF42" s="1" t="str">
        <f t="shared" si="19"/>
        <v>60-80</v>
      </c>
      <c r="AG42" s="1">
        <f t="shared" si="19"/>
        <v>0</v>
      </c>
      <c r="AH42" s="1">
        <f t="shared" si="19"/>
        <v>0</v>
      </c>
      <c r="AI42" s="1">
        <f t="shared" si="19"/>
        <v>0</v>
      </c>
      <c r="AJ42" s="1" t="str">
        <f t="shared" si="19"/>
        <v>200-250</v>
      </c>
      <c r="AK42" s="1" t="str">
        <f t="shared" si="19"/>
        <v>250-350</v>
      </c>
      <c r="AL42" s="1" t="str">
        <f t="shared" si="19"/>
        <v>350-450</v>
      </c>
      <c r="AM42" s="1" t="str">
        <f t="shared" si="19"/>
        <v>450-650</v>
      </c>
      <c r="AN42" s="1" t="str">
        <f t="shared" si="19"/>
        <v>650-2000</v>
      </c>
    </row>
    <row r="43" spans="2:41" ht="15.75" x14ac:dyDescent="0.25">
      <c r="B43" s="229" t="s">
        <v>136</v>
      </c>
      <c r="C43" s="229">
        <v>3206</v>
      </c>
      <c r="G43" s="265"/>
      <c r="H43" s="266"/>
      <c r="I43" s="267"/>
      <c r="J43" s="268"/>
      <c r="K43" s="269"/>
      <c r="L43" s="263"/>
      <c r="M43" s="270"/>
      <c r="N43" s="263"/>
      <c r="O43" s="263"/>
      <c r="P43" s="263"/>
      <c r="Q43" s="263"/>
      <c r="R43" s="263"/>
      <c r="S43" s="263"/>
      <c r="T43" s="264"/>
      <c r="AD43" s="1">
        <f t="shared" ref="AD43:AO43" si="20">AD13</f>
        <v>0</v>
      </c>
      <c r="AE43" s="1">
        <f t="shared" si="20"/>
        <v>40</v>
      </c>
      <c r="AF43" s="1">
        <f t="shared" si="20"/>
        <v>60</v>
      </c>
      <c r="AG43" s="1">
        <f t="shared" si="20"/>
        <v>0</v>
      </c>
      <c r="AH43" s="1">
        <f t="shared" si="20"/>
        <v>0</v>
      </c>
      <c r="AI43" s="1">
        <f t="shared" si="20"/>
        <v>0</v>
      </c>
      <c r="AJ43" s="1">
        <f t="shared" si="20"/>
        <v>200</v>
      </c>
      <c r="AK43" s="1">
        <f t="shared" si="20"/>
        <v>250</v>
      </c>
      <c r="AL43" s="1">
        <f t="shared" si="20"/>
        <v>350</v>
      </c>
      <c r="AM43" s="1">
        <f t="shared" si="20"/>
        <v>450</v>
      </c>
      <c r="AN43" s="1">
        <f t="shared" si="20"/>
        <v>650</v>
      </c>
      <c r="AO43" s="1">
        <f t="shared" si="20"/>
        <v>2000</v>
      </c>
    </row>
    <row r="44" spans="2:41" ht="15.75" x14ac:dyDescent="0.25">
      <c r="G44" s="265"/>
      <c r="H44" s="271"/>
      <c r="I44" s="268"/>
      <c r="J44" s="268"/>
      <c r="K44" s="269"/>
      <c r="L44" s="263"/>
      <c r="M44" s="270"/>
      <c r="N44" s="263"/>
      <c r="O44" s="263"/>
      <c r="P44" s="263"/>
      <c r="Q44" s="263"/>
      <c r="R44" s="263"/>
      <c r="S44" s="263"/>
      <c r="T44" s="264"/>
      <c r="Y44" s="235" t="s">
        <v>33</v>
      </c>
      <c r="Z44" s="1">
        <f>SUM(AD44:AO44)</f>
        <v>103540.19625839998</v>
      </c>
      <c r="AB44" s="1" t="s">
        <v>106</v>
      </c>
      <c r="AD44" s="1">
        <f>IF($Z$42&gt;AD43,(IF($Z$42-AE43&gt;0,(AE43-AD43)*$B$16*AD46,($Z$42-AD43)*$B$16*AD46)),0)</f>
        <v>103540.19625839998</v>
      </c>
      <c r="AE44" s="1">
        <f>IF($Z$42&gt;AE43,(IF($Z$42-AF43&gt;0,(AF43-AE43)*$B$17*AE46,($Z$42-AE43)*$B$17*AE46)),0)</f>
        <v>0</v>
      </c>
      <c r="AF44" s="1">
        <f t="shared" ref="AF44:AN44" si="21">IF($Z$42&gt;AF43,(IF($Z$42-AG43&gt;0,(AG43-AF43)*$B$16*AF46,($Z$42-AF43)*$B$16*AF46)),0)</f>
        <v>0</v>
      </c>
      <c r="AG44" s="1">
        <f t="shared" si="21"/>
        <v>0</v>
      </c>
      <c r="AH44" s="1">
        <f t="shared" si="21"/>
        <v>0</v>
      </c>
      <c r="AI44" s="1">
        <f t="shared" si="21"/>
        <v>0</v>
      </c>
      <c r="AJ44" s="1">
        <f t="shared" si="21"/>
        <v>0</v>
      </c>
      <c r="AK44" s="1">
        <f t="shared" si="21"/>
        <v>0</v>
      </c>
      <c r="AL44" s="1">
        <f t="shared" si="21"/>
        <v>0</v>
      </c>
      <c r="AM44" s="1">
        <f t="shared" si="21"/>
        <v>0</v>
      </c>
      <c r="AN44" s="1">
        <f t="shared" si="21"/>
        <v>0</v>
      </c>
    </row>
    <row r="45" spans="2:41" ht="15.75" x14ac:dyDescent="0.25">
      <c r="G45" s="265"/>
      <c r="H45" s="271"/>
      <c r="I45" s="268"/>
      <c r="J45" s="268"/>
      <c r="K45" s="269"/>
      <c r="L45" s="263"/>
      <c r="M45" s="270"/>
      <c r="N45" s="263"/>
      <c r="O45" s="263"/>
      <c r="P45" s="263"/>
      <c r="Q45" s="263"/>
      <c r="R45" s="263"/>
      <c r="S45" s="263"/>
      <c r="T45" s="264"/>
    </row>
    <row r="46" spans="2:41" ht="15.75" x14ac:dyDescent="0.25">
      <c r="G46" s="265"/>
      <c r="H46" s="266"/>
      <c r="I46" s="267"/>
      <c r="J46" s="268"/>
      <c r="K46" s="269"/>
      <c r="L46" s="263"/>
      <c r="M46" s="270"/>
      <c r="N46" s="263"/>
      <c r="O46" s="263"/>
      <c r="P46" s="263"/>
      <c r="Q46" s="263"/>
      <c r="R46" s="263"/>
      <c r="S46" s="263"/>
      <c r="T46" s="264"/>
      <c r="AB46" s="1" t="s">
        <v>109</v>
      </c>
      <c r="AD46" s="218">
        <f>I23</f>
        <v>0.19</v>
      </c>
      <c r="AE46" s="218">
        <f>J23</f>
        <v>0.19</v>
      </c>
      <c r="AF46" s="218">
        <f t="shared" ref="AF46:AO46" si="22">AF16</f>
        <v>0</v>
      </c>
      <c r="AG46" s="218">
        <f t="shared" si="22"/>
        <v>0</v>
      </c>
      <c r="AH46" s="218">
        <f t="shared" si="22"/>
        <v>0</v>
      </c>
      <c r="AI46" s="218">
        <f t="shared" si="22"/>
        <v>0</v>
      </c>
      <c r="AJ46" s="218">
        <f t="shared" si="22"/>
        <v>0</v>
      </c>
      <c r="AK46" s="218">
        <f t="shared" si="22"/>
        <v>0</v>
      </c>
      <c r="AL46" s="218">
        <f t="shared" si="22"/>
        <v>0</v>
      </c>
      <c r="AM46" s="218">
        <f t="shared" si="22"/>
        <v>0</v>
      </c>
      <c r="AN46" s="218">
        <f t="shared" si="22"/>
        <v>0</v>
      </c>
      <c r="AO46" s="218">
        <f t="shared" si="22"/>
        <v>0</v>
      </c>
    </row>
    <row r="47" spans="2:41" ht="15.75" x14ac:dyDescent="0.25">
      <c r="G47" s="265"/>
      <c r="H47" s="266"/>
      <c r="I47" s="267"/>
      <c r="J47" s="268"/>
      <c r="K47" s="269"/>
      <c r="L47" s="263"/>
      <c r="M47" s="270"/>
      <c r="N47" s="263"/>
      <c r="O47" s="263"/>
      <c r="P47" s="263"/>
      <c r="Q47" s="263"/>
      <c r="R47" s="263"/>
      <c r="S47" s="263"/>
      <c r="T47" s="264"/>
    </row>
    <row r="48" spans="2:41" ht="15.75" x14ac:dyDescent="0.25">
      <c r="G48" s="265"/>
      <c r="H48" s="266"/>
      <c r="I48" s="267"/>
      <c r="J48" s="268"/>
      <c r="K48" s="269"/>
      <c r="L48" s="263"/>
      <c r="M48" s="270"/>
      <c r="N48" s="263"/>
      <c r="O48" s="263"/>
      <c r="P48" s="263"/>
      <c r="Q48" s="263"/>
      <c r="R48" s="263"/>
      <c r="S48" s="263"/>
      <c r="T48" s="264"/>
    </row>
    <row r="49" spans="2:41" ht="15.75" x14ac:dyDescent="0.25">
      <c r="G49" s="265"/>
      <c r="H49" s="266"/>
      <c r="I49" s="267"/>
      <c r="J49" s="268"/>
      <c r="K49" s="269"/>
      <c r="L49" s="263"/>
      <c r="M49" s="270"/>
      <c r="N49" s="263"/>
      <c r="O49" s="263"/>
      <c r="P49" s="263"/>
      <c r="Q49" s="263"/>
      <c r="R49" s="263"/>
      <c r="S49" s="263"/>
      <c r="T49" s="264"/>
    </row>
    <row r="50" spans="2:41" ht="15.75" x14ac:dyDescent="0.25">
      <c r="G50" s="265"/>
      <c r="H50" s="266"/>
      <c r="I50" s="267"/>
      <c r="J50" s="268"/>
      <c r="K50" s="269"/>
      <c r="L50" s="263"/>
      <c r="M50" s="270"/>
      <c r="N50" s="263"/>
      <c r="O50" s="263"/>
      <c r="P50" s="263"/>
      <c r="Q50" s="263"/>
      <c r="R50" s="263"/>
      <c r="S50" s="263"/>
      <c r="T50" s="264"/>
      <c r="Y50" s="235" t="s">
        <v>128</v>
      </c>
      <c r="Z50" s="1">
        <f>C29</f>
        <v>3</v>
      </c>
      <c r="AB50" s="1" t="s">
        <v>103</v>
      </c>
      <c r="AD50" s="1" t="str">
        <f t="shared" ref="AD50:AN50" si="23">AD20</f>
        <v>0-40</v>
      </c>
      <c r="AE50" s="1" t="str">
        <f t="shared" si="23"/>
        <v>40-60</v>
      </c>
      <c r="AF50" s="1" t="str">
        <f t="shared" si="23"/>
        <v>60-80</v>
      </c>
      <c r="AG50" s="1">
        <f t="shared" si="23"/>
        <v>0</v>
      </c>
      <c r="AH50" s="1">
        <f t="shared" si="23"/>
        <v>0</v>
      </c>
      <c r="AI50" s="1">
        <f t="shared" si="23"/>
        <v>0</v>
      </c>
      <c r="AJ50" s="1" t="str">
        <f t="shared" si="23"/>
        <v>200-250</v>
      </c>
      <c r="AK50" s="1" t="str">
        <f t="shared" si="23"/>
        <v>250-350</v>
      </c>
      <c r="AL50" s="1" t="str">
        <f t="shared" si="23"/>
        <v>350-450</v>
      </c>
      <c r="AM50" s="1" t="str">
        <f t="shared" si="23"/>
        <v>450-650</v>
      </c>
      <c r="AN50" s="1" t="str">
        <f t="shared" si="23"/>
        <v>650-2000</v>
      </c>
    </row>
    <row r="51" spans="2:41" ht="15.75" x14ac:dyDescent="0.25">
      <c r="G51" s="265"/>
      <c r="H51" s="266"/>
      <c r="I51" s="267"/>
      <c r="J51" s="268"/>
      <c r="K51" s="269"/>
      <c r="L51" s="263"/>
      <c r="M51" s="270"/>
      <c r="N51" s="263"/>
      <c r="O51" s="263"/>
      <c r="P51" s="263"/>
      <c r="Q51" s="263"/>
      <c r="R51" s="263"/>
      <c r="S51" s="263"/>
      <c r="T51" s="264"/>
      <c r="AD51" s="1">
        <f t="shared" ref="AD51:AO51" si="24">AD13</f>
        <v>0</v>
      </c>
      <c r="AE51" s="1">
        <f t="shared" si="24"/>
        <v>40</v>
      </c>
      <c r="AF51" s="1">
        <f t="shared" si="24"/>
        <v>60</v>
      </c>
      <c r="AG51" s="1">
        <f t="shared" si="24"/>
        <v>0</v>
      </c>
      <c r="AH51" s="1">
        <f t="shared" si="24"/>
        <v>0</v>
      </c>
      <c r="AI51" s="1">
        <f t="shared" si="24"/>
        <v>0</v>
      </c>
      <c r="AJ51" s="1">
        <f t="shared" si="24"/>
        <v>200</v>
      </c>
      <c r="AK51" s="1">
        <f t="shared" si="24"/>
        <v>250</v>
      </c>
      <c r="AL51" s="1">
        <f t="shared" si="24"/>
        <v>350</v>
      </c>
      <c r="AM51" s="1">
        <f t="shared" si="24"/>
        <v>450</v>
      </c>
      <c r="AN51" s="1">
        <f t="shared" si="24"/>
        <v>650</v>
      </c>
      <c r="AO51" s="1">
        <f t="shared" si="24"/>
        <v>2000</v>
      </c>
    </row>
    <row r="52" spans="2:41" ht="15.75" x14ac:dyDescent="0.25">
      <c r="G52" s="265" t="s">
        <v>32</v>
      </c>
      <c r="H52" s="266">
        <f>SUM(H35:H50)</f>
        <v>202</v>
      </c>
      <c r="I52" s="267">
        <f>SUM(I35:I50)</f>
        <v>774910.61282009992</v>
      </c>
      <c r="J52" s="267">
        <f>SUM(J35:J50)</f>
        <v>1727799.9864360255</v>
      </c>
      <c r="K52" s="269">
        <f>I52/J52</f>
        <v>0.44849555440646033</v>
      </c>
      <c r="L52" s="263"/>
      <c r="M52" s="270">
        <f>I52/H52</f>
        <v>3836.1911525747519</v>
      </c>
      <c r="N52" s="263"/>
      <c r="O52" s="263"/>
      <c r="P52" s="263"/>
      <c r="Q52" s="263"/>
      <c r="R52" s="263"/>
      <c r="S52" s="263"/>
      <c r="T52" s="264"/>
      <c r="Y52" s="235" t="s">
        <v>33</v>
      </c>
      <c r="Z52" s="1">
        <f>SUM(AD52:AO52)</f>
        <v>14119.117671599997</v>
      </c>
      <c r="AB52" s="1" t="s">
        <v>106</v>
      </c>
      <c r="AD52" s="1">
        <f>IF($Z$50&gt;AD51,(IF($Z$50-AE51&gt;0,(AE51-AD51)*$B$16*AD54,($Z$50-AD51)*$B$16*AD54)),0)</f>
        <v>14119.117671599997</v>
      </c>
      <c r="AE52" s="1">
        <f>IF($Z$50&gt;AE51,(IF($Z$50-AF51&gt;0,(AF51-AE51)*$B$17*AE54,($Z$50-AE51)*$B$17*AE54)),0)</f>
        <v>0</v>
      </c>
      <c r="AF52" s="1">
        <f t="shared" ref="AF52:AN52" si="25">IF($Z$50&gt;AF51,(IF($Z$50-AG51&gt;0,(AG51-AF51)*$B$16*AF54,($Z$50-AF51)*$B$16*AF54)),0)</f>
        <v>0</v>
      </c>
      <c r="AG52" s="1">
        <f t="shared" si="25"/>
        <v>0</v>
      </c>
      <c r="AH52" s="1">
        <f t="shared" si="25"/>
        <v>0</v>
      </c>
      <c r="AI52" s="1">
        <f t="shared" si="25"/>
        <v>0</v>
      </c>
      <c r="AJ52" s="1">
        <f t="shared" si="25"/>
        <v>0</v>
      </c>
      <c r="AK52" s="1">
        <f t="shared" si="25"/>
        <v>0</v>
      </c>
      <c r="AL52" s="1">
        <f t="shared" si="25"/>
        <v>0</v>
      </c>
      <c r="AM52" s="1">
        <f t="shared" si="25"/>
        <v>0</v>
      </c>
      <c r="AN52" s="1">
        <f t="shared" si="25"/>
        <v>0</v>
      </c>
    </row>
    <row r="53" spans="2:41" ht="15.75" x14ac:dyDescent="0.25">
      <c r="G53" s="265"/>
      <c r="H53" s="272"/>
      <c r="I53" s="273"/>
      <c r="J53" s="274"/>
      <c r="K53" s="263"/>
      <c r="L53" s="263"/>
      <c r="M53" s="263"/>
      <c r="N53" s="263"/>
      <c r="O53" s="263"/>
      <c r="P53" s="263"/>
      <c r="Q53" s="263"/>
      <c r="R53" s="263"/>
      <c r="S53" s="263"/>
      <c r="T53" s="264"/>
    </row>
    <row r="54" spans="2:41" x14ac:dyDescent="0.2">
      <c r="G54" s="260"/>
      <c r="H54" s="272"/>
      <c r="I54" s="273">
        <v>427699.64999999997</v>
      </c>
      <c r="J54" s="263"/>
      <c r="K54" s="263"/>
      <c r="L54" s="263"/>
      <c r="M54" s="263"/>
      <c r="N54" s="263"/>
      <c r="O54" s="263"/>
      <c r="P54" s="263"/>
      <c r="Q54" s="263"/>
      <c r="R54" s="263"/>
      <c r="S54" s="263"/>
      <c r="T54" s="264"/>
      <c r="AB54" s="1" t="s">
        <v>109</v>
      </c>
      <c r="AD54" s="218">
        <f>I23</f>
        <v>0.19</v>
      </c>
      <c r="AE54" s="218">
        <f>J23</f>
        <v>0.19</v>
      </c>
      <c r="AF54" s="218">
        <f t="shared" ref="AF54:AO54" si="26">AF16</f>
        <v>0</v>
      </c>
      <c r="AG54" s="218">
        <f t="shared" si="26"/>
        <v>0</v>
      </c>
      <c r="AH54" s="218">
        <f t="shared" si="26"/>
        <v>0</v>
      </c>
      <c r="AI54" s="218">
        <f t="shared" si="26"/>
        <v>0</v>
      </c>
      <c r="AJ54" s="218">
        <f t="shared" si="26"/>
        <v>0</v>
      </c>
      <c r="AK54" s="218">
        <f t="shared" si="26"/>
        <v>0</v>
      </c>
      <c r="AL54" s="218">
        <f t="shared" si="26"/>
        <v>0</v>
      </c>
      <c r="AM54" s="218">
        <f t="shared" si="26"/>
        <v>0</v>
      </c>
      <c r="AN54" s="218">
        <f t="shared" si="26"/>
        <v>0</v>
      </c>
      <c r="AO54" s="218">
        <f t="shared" si="26"/>
        <v>0</v>
      </c>
    </row>
    <row r="55" spans="2:41" x14ac:dyDescent="0.2">
      <c r="G55" s="260"/>
      <c r="H55" s="272"/>
      <c r="I55" s="1237">
        <f>(C25+C28+C29+C30)*I27*B16</f>
        <v>116420.79483599999</v>
      </c>
      <c r="J55" s="263"/>
      <c r="K55" s="263"/>
      <c r="L55" s="263"/>
      <c r="M55" s="263"/>
      <c r="N55" s="263"/>
      <c r="O55" s="263"/>
      <c r="P55" s="263"/>
      <c r="Q55" s="263"/>
      <c r="R55" s="263"/>
      <c r="S55" s="263"/>
      <c r="T55" s="264"/>
    </row>
    <row r="56" spans="2:41" ht="15.75" thickBot="1" x14ac:dyDescent="0.25">
      <c r="G56" s="275"/>
      <c r="H56" s="276"/>
      <c r="I56" s="1238">
        <f>I55+I54</f>
        <v>544120.44483599998</v>
      </c>
      <c r="J56" s="278"/>
      <c r="K56" s="278"/>
      <c r="L56" s="278"/>
      <c r="M56" s="278"/>
      <c r="N56" s="278"/>
      <c r="O56" s="278"/>
      <c r="P56" s="278"/>
      <c r="Q56" s="278"/>
      <c r="R56" s="278"/>
      <c r="S56" s="278"/>
      <c r="T56" s="279"/>
    </row>
    <row r="57" spans="2:41" ht="15.75" x14ac:dyDescent="0.25">
      <c r="Y57" s="280" t="s">
        <v>16</v>
      </c>
      <c r="Z57" s="1">
        <f>C30</f>
        <v>26</v>
      </c>
      <c r="AB57" s="1" t="s">
        <v>103</v>
      </c>
      <c r="AD57" s="1" t="str">
        <f t="shared" ref="AD57:AN57" si="27">AD20</f>
        <v>0-40</v>
      </c>
      <c r="AE57" s="1" t="str">
        <f t="shared" si="27"/>
        <v>40-60</v>
      </c>
      <c r="AF57" s="1" t="str">
        <f t="shared" si="27"/>
        <v>60-80</v>
      </c>
      <c r="AG57" s="1">
        <f t="shared" si="27"/>
        <v>0</v>
      </c>
      <c r="AH57" s="1">
        <f t="shared" si="27"/>
        <v>0</v>
      </c>
      <c r="AI57" s="1">
        <f t="shared" si="27"/>
        <v>0</v>
      </c>
      <c r="AJ57" s="1" t="str">
        <f t="shared" si="27"/>
        <v>200-250</v>
      </c>
      <c r="AK57" s="1" t="str">
        <f t="shared" si="27"/>
        <v>250-350</v>
      </c>
      <c r="AL57" s="1" t="str">
        <f t="shared" si="27"/>
        <v>350-450</v>
      </c>
      <c r="AM57" s="1" t="str">
        <f t="shared" si="27"/>
        <v>450-650</v>
      </c>
      <c r="AN57" s="1" t="str">
        <f t="shared" si="27"/>
        <v>650-2000</v>
      </c>
    </row>
    <row r="58" spans="2:41" ht="28.5" thickBot="1" x14ac:dyDescent="0.45">
      <c r="B58" s="752" t="s">
        <v>416</v>
      </c>
      <c r="C58" s="749"/>
      <c r="D58" s="749"/>
      <c r="E58" s="749"/>
      <c r="F58" s="749"/>
      <c r="AD58" s="1">
        <f t="shared" ref="AD58:AO58" si="28">AD13</f>
        <v>0</v>
      </c>
      <c r="AE58" s="1">
        <f t="shared" si="28"/>
        <v>40</v>
      </c>
      <c r="AF58" s="1">
        <f t="shared" si="28"/>
        <v>60</v>
      </c>
      <c r="AG58" s="1">
        <f t="shared" si="28"/>
        <v>0</v>
      </c>
      <c r="AH58" s="1">
        <f t="shared" si="28"/>
        <v>0</v>
      </c>
      <c r="AI58" s="1">
        <f t="shared" si="28"/>
        <v>0</v>
      </c>
      <c r="AJ58" s="1">
        <f t="shared" si="28"/>
        <v>200</v>
      </c>
      <c r="AK58" s="1">
        <f t="shared" si="28"/>
        <v>250</v>
      </c>
      <c r="AL58" s="1">
        <f t="shared" si="28"/>
        <v>350</v>
      </c>
      <c r="AM58" s="1">
        <f t="shared" si="28"/>
        <v>450</v>
      </c>
      <c r="AN58" s="1">
        <f t="shared" si="28"/>
        <v>650</v>
      </c>
      <c r="AO58" s="1">
        <f t="shared" si="28"/>
        <v>2000</v>
      </c>
    </row>
    <row r="59" spans="2:41" ht="15.75" thickTop="1" x14ac:dyDescent="0.2">
      <c r="Y59" s="235" t="s">
        <v>33</v>
      </c>
      <c r="Z59" s="1">
        <f>SUM(AD59:AO59)</f>
        <v>122365.68648719999</v>
      </c>
      <c r="AB59" s="1" t="s">
        <v>106</v>
      </c>
      <c r="AD59" s="1">
        <f>IF($Z$57&gt;AD58,(IF($Z$57-AE58&gt;0,(AE58-AD58)*$B$16*AD61,($Z$57-AD58)*$B$16*AD61)),0)</f>
        <v>122365.68648719999</v>
      </c>
      <c r="AE59" s="1">
        <f>IF($Z$57&gt;AE58,(IF($Z$57-AF58&gt;0,(AF58-AE58)*$B$17*AE61,($Z$57-AE58)*$B$17*AE61)),0)</f>
        <v>0</v>
      </c>
      <c r="AF59" s="1">
        <f t="shared" ref="AF59:AN59" si="29">IF($Z$57&gt;AF58,(IF($Z$57-AG58&gt;0,(AG58-AF58)*$B$16*AF61,($Z$57-AF58)*$B$16*AF61)),0)</f>
        <v>0</v>
      </c>
      <c r="AG59" s="1">
        <f t="shared" si="29"/>
        <v>0</v>
      </c>
      <c r="AH59" s="1">
        <f t="shared" si="29"/>
        <v>0</v>
      </c>
      <c r="AI59" s="1">
        <f t="shared" si="29"/>
        <v>0</v>
      </c>
      <c r="AJ59" s="1">
        <f t="shared" si="29"/>
        <v>0</v>
      </c>
      <c r="AK59" s="1">
        <f t="shared" si="29"/>
        <v>0</v>
      </c>
      <c r="AL59" s="1">
        <f t="shared" si="29"/>
        <v>0</v>
      </c>
      <c r="AM59" s="1">
        <f t="shared" si="29"/>
        <v>0</v>
      </c>
      <c r="AN59" s="1">
        <f t="shared" si="29"/>
        <v>0</v>
      </c>
    </row>
    <row r="60" spans="2:41" x14ac:dyDescent="0.2">
      <c r="G60" s="1" t="s">
        <v>137</v>
      </c>
    </row>
    <row r="61" spans="2:41" x14ac:dyDescent="0.2">
      <c r="G61" s="219"/>
      <c r="H61" s="219"/>
      <c r="I61" s="219"/>
      <c r="J61" s="219"/>
      <c r="K61" s="219"/>
      <c r="L61" s="219"/>
      <c r="M61" s="219"/>
      <c r="N61" s="219"/>
      <c r="O61" s="219"/>
      <c r="P61" s="219"/>
      <c r="Q61" s="219"/>
      <c r="R61" s="219"/>
      <c r="S61" s="219"/>
      <c r="T61" s="219"/>
      <c r="U61" s="219"/>
      <c r="V61" s="219"/>
      <c r="AB61" s="1" t="s">
        <v>109</v>
      </c>
      <c r="AD61" s="218">
        <f>I23</f>
        <v>0.19</v>
      </c>
      <c r="AE61" s="218">
        <f>J23</f>
        <v>0.19</v>
      </c>
      <c r="AF61" s="218">
        <f t="shared" ref="AF61:AO61" si="30">AF16</f>
        <v>0</v>
      </c>
      <c r="AG61" s="218">
        <f t="shared" si="30"/>
        <v>0</v>
      </c>
      <c r="AH61" s="218">
        <f t="shared" si="30"/>
        <v>0</v>
      </c>
      <c r="AI61" s="218">
        <f t="shared" si="30"/>
        <v>0</v>
      </c>
      <c r="AJ61" s="218">
        <f t="shared" si="30"/>
        <v>0</v>
      </c>
      <c r="AK61" s="218">
        <f t="shared" si="30"/>
        <v>0</v>
      </c>
      <c r="AL61" s="218">
        <f t="shared" si="30"/>
        <v>0</v>
      </c>
      <c r="AM61" s="218">
        <f t="shared" si="30"/>
        <v>0</v>
      </c>
      <c r="AN61" s="218">
        <f t="shared" si="30"/>
        <v>0</v>
      </c>
      <c r="AO61" s="218">
        <f t="shared" si="30"/>
        <v>0</v>
      </c>
    </row>
    <row r="62" spans="2:41" ht="15.75" thickBot="1" x14ac:dyDescent="0.25">
      <c r="B62" s="1" t="s">
        <v>226</v>
      </c>
      <c r="G62" s="219"/>
      <c r="H62" s="219"/>
      <c r="I62" s="219"/>
      <c r="J62" s="21"/>
      <c r="K62" s="21"/>
      <c r="L62" s="21"/>
      <c r="M62" s="21"/>
      <c r="N62" s="21"/>
      <c r="O62" s="21"/>
      <c r="P62" s="21"/>
      <c r="Q62" s="21"/>
      <c r="R62" s="21"/>
      <c r="S62" s="21"/>
      <c r="T62" s="21"/>
      <c r="U62" s="21"/>
      <c r="V62" s="219"/>
      <c r="W62" s="219"/>
    </row>
    <row r="63" spans="2:41" ht="16.5" thickBot="1" x14ac:dyDescent="0.3">
      <c r="B63" s="435" t="s">
        <v>475</v>
      </c>
      <c r="C63" s="436"/>
      <c r="D63" s="437"/>
      <c r="E63" s="437"/>
      <c r="F63" s="437"/>
      <c r="G63" s="437"/>
      <c r="H63" s="437"/>
      <c r="I63" s="422"/>
      <c r="J63" s="9"/>
      <c r="K63" s="9"/>
      <c r="L63" s="43" t="s">
        <v>0</v>
      </c>
      <c r="M63" s="39"/>
      <c r="N63" s="47" t="s">
        <v>476</v>
      </c>
      <c r="O63" s="9"/>
      <c r="P63" s="9"/>
      <c r="Q63" s="9"/>
      <c r="R63" s="9"/>
      <c r="S63" s="9"/>
      <c r="T63" s="138"/>
      <c r="U63" s="9"/>
    </row>
    <row r="64" spans="2:41" ht="15.75" x14ac:dyDescent="0.25">
      <c r="B64" s="58" t="s">
        <v>2</v>
      </c>
      <c r="C64" s="126" t="s">
        <v>8</v>
      </c>
      <c r="D64" s="57" t="s">
        <v>11</v>
      </c>
      <c r="E64" s="57" t="s">
        <v>15</v>
      </c>
      <c r="F64" s="57" t="s">
        <v>16</v>
      </c>
      <c r="G64" s="57" t="s">
        <v>20</v>
      </c>
      <c r="H64" s="57" t="s">
        <v>22</v>
      </c>
      <c r="I64" s="127"/>
      <c r="J64" s="9"/>
      <c r="K64" s="432"/>
      <c r="L64" s="40" t="s">
        <v>49</v>
      </c>
      <c r="M64" s="38"/>
      <c r="N64" s="41"/>
      <c r="O64" s="432"/>
      <c r="P64" s="432"/>
      <c r="Q64" s="432"/>
      <c r="R64" s="432"/>
      <c r="S64" s="432"/>
      <c r="T64" s="196"/>
      <c r="U64" s="9"/>
    </row>
    <row r="65" spans="2:41" ht="15.75" x14ac:dyDescent="0.25">
      <c r="B65" s="59" t="s">
        <v>3</v>
      </c>
      <c r="C65" s="130">
        <v>15</v>
      </c>
      <c r="D65" s="54">
        <v>25</v>
      </c>
      <c r="E65" s="54">
        <v>12</v>
      </c>
      <c r="F65" s="54">
        <v>8</v>
      </c>
      <c r="G65" s="54">
        <v>0</v>
      </c>
      <c r="H65" s="54">
        <v>26</v>
      </c>
      <c r="I65" s="131"/>
      <c r="J65" s="9"/>
      <c r="K65" s="433"/>
      <c r="L65" s="40" t="s">
        <v>3</v>
      </c>
      <c r="M65" s="38"/>
      <c r="N65" s="48">
        <f>'C3. Förslag, socialvård (2015)'!L7</f>
        <v>10902</v>
      </c>
      <c r="O65" s="433"/>
      <c r="P65" s="433"/>
      <c r="Q65" s="433"/>
      <c r="R65" s="433"/>
      <c r="S65" s="433"/>
      <c r="T65" s="196"/>
      <c r="U65" s="9"/>
      <c r="Y65" s="235" t="s">
        <v>9</v>
      </c>
      <c r="Z65" s="1">
        <f>C31</f>
        <v>93</v>
      </c>
      <c r="AB65" s="1" t="s">
        <v>103</v>
      </c>
      <c r="AD65" s="1" t="str">
        <f t="shared" ref="AD65:AN65" si="31">AD20</f>
        <v>0-40</v>
      </c>
      <c r="AE65" s="1" t="str">
        <f t="shared" si="31"/>
        <v>40-60</v>
      </c>
      <c r="AF65" s="1" t="str">
        <f t="shared" si="31"/>
        <v>60-80</v>
      </c>
      <c r="AG65" s="1">
        <f t="shared" si="31"/>
        <v>0</v>
      </c>
      <c r="AH65" s="1">
        <f t="shared" si="31"/>
        <v>0</v>
      </c>
      <c r="AI65" s="1">
        <f t="shared" si="31"/>
        <v>0</v>
      </c>
      <c r="AJ65" s="1" t="str">
        <f t="shared" si="31"/>
        <v>200-250</v>
      </c>
      <c r="AK65" s="1" t="str">
        <f t="shared" si="31"/>
        <v>250-350</v>
      </c>
      <c r="AL65" s="1" t="str">
        <f t="shared" si="31"/>
        <v>350-450</v>
      </c>
      <c r="AM65" s="1" t="str">
        <f t="shared" si="31"/>
        <v>450-650</v>
      </c>
      <c r="AN65" s="1" t="str">
        <f t="shared" si="31"/>
        <v>650-2000</v>
      </c>
    </row>
    <row r="66" spans="2:41" ht="15.75" x14ac:dyDescent="0.25">
      <c r="B66" s="59" t="s">
        <v>4</v>
      </c>
      <c r="C66" s="130">
        <v>320</v>
      </c>
      <c r="D66" s="54">
        <v>389</v>
      </c>
      <c r="E66" s="54">
        <v>221</v>
      </c>
      <c r="F66" s="54">
        <v>158</v>
      </c>
      <c r="G66" s="54">
        <v>65</v>
      </c>
      <c r="H66" s="54">
        <v>282</v>
      </c>
      <c r="I66" s="131"/>
      <c r="J66" s="9"/>
      <c r="K66" s="433"/>
      <c r="L66" s="40" t="s">
        <v>4</v>
      </c>
      <c r="M66" s="38"/>
      <c r="N66" s="48">
        <f>'C3. Förslag, socialvård (2015)'!L8</f>
        <v>0</v>
      </c>
      <c r="O66" s="433"/>
      <c r="P66" s="433"/>
      <c r="Q66" s="433"/>
      <c r="R66" s="433"/>
      <c r="S66" s="433"/>
      <c r="T66" s="196"/>
      <c r="U66" s="9"/>
      <c r="AD66" s="1">
        <f t="shared" ref="AD66:AO66" si="32">AD13</f>
        <v>0</v>
      </c>
      <c r="AE66" s="1">
        <f t="shared" si="32"/>
        <v>40</v>
      </c>
      <c r="AF66" s="1">
        <f t="shared" si="32"/>
        <v>60</v>
      </c>
      <c r="AG66" s="1">
        <f t="shared" si="32"/>
        <v>0</v>
      </c>
      <c r="AH66" s="1">
        <f t="shared" si="32"/>
        <v>0</v>
      </c>
      <c r="AI66" s="1">
        <f t="shared" si="32"/>
        <v>0</v>
      </c>
      <c r="AJ66" s="1">
        <f t="shared" si="32"/>
        <v>200</v>
      </c>
      <c r="AK66" s="1">
        <f t="shared" si="32"/>
        <v>250</v>
      </c>
      <c r="AL66" s="1">
        <f t="shared" si="32"/>
        <v>350</v>
      </c>
      <c r="AM66" s="1">
        <f t="shared" si="32"/>
        <v>450</v>
      </c>
      <c r="AN66" s="1">
        <f t="shared" si="32"/>
        <v>650</v>
      </c>
      <c r="AO66" s="1">
        <f t="shared" si="32"/>
        <v>2000</v>
      </c>
    </row>
    <row r="67" spans="2:41" ht="15.75" x14ac:dyDescent="0.25">
      <c r="B67" s="59" t="s">
        <v>5</v>
      </c>
      <c r="C67" s="130">
        <v>81</v>
      </c>
      <c r="D67" s="54">
        <v>82</v>
      </c>
      <c r="E67" s="54">
        <v>35</v>
      </c>
      <c r="F67" s="54">
        <v>49</v>
      </c>
      <c r="G67" s="54">
        <v>16</v>
      </c>
      <c r="H67" s="54">
        <v>64</v>
      </c>
      <c r="I67" s="131"/>
      <c r="J67" s="9"/>
      <c r="K67" s="433"/>
      <c r="L67" s="40" t="s">
        <v>5</v>
      </c>
      <c r="M67" s="38"/>
      <c r="N67" s="48">
        <f>'C3. Förslag, socialvård (2015)'!L9</f>
        <v>1413</v>
      </c>
      <c r="O67" s="433"/>
      <c r="P67" s="433"/>
      <c r="Q67" s="433"/>
      <c r="R67" s="433"/>
      <c r="S67" s="433"/>
      <c r="T67" s="196"/>
      <c r="U67" s="9"/>
      <c r="Y67" s="235" t="s">
        <v>33</v>
      </c>
      <c r="Z67" s="1">
        <f>SUM(AD67:AO67)</f>
        <v>208071.20779200003</v>
      </c>
      <c r="AB67" s="1" t="s">
        <v>106</v>
      </c>
      <c r="AD67" s="1">
        <f>IF($Z$65&gt;AD66,(IF($Z$65-AE66&gt;0,(AE66-AD66)*$B$16*AD69,($Z$65-AD66)*$B$16*AD69)),0)</f>
        <v>138714.13852800001</v>
      </c>
      <c r="AE67" s="1">
        <f t="shared" ref="AE67:AN67" si="33">IF($Z$65&gt;AE66,(IF($Z$65-AF66&gt;0,(AF66-AE66)*$B$16*AE69,($Z$65-AE66)*$B$16*AE69)),0)</f>
        <v>69357.069264000005</v>
      </c>
      <c r="AF67" s="1">
        <f t="shared" si="33"/>
        <v>0</v>
      </c>
      <c r="AG67" s="1">
        <f t="shared" si="33"/>
        <v>0</v>
      </c>
      <c r="AH67" s="1">
        <f t="shared" si="33"/>
        <v>0</v>
      </c>
      <c r="AI67" s="1">
        <f t="shared" si="33"/>
        <v>0</v>
      </c>
      <c r="AJ67" s="1">
        <f t="shared" si="33"/>
        <v>0</v>
      </c>
      <c r="AK67" s="1">
        <f t="shared" si="33"/>
        <v>0</v>
      </c>
      <c r="AL67" s="1">
        <f t="shared" si="33"/>
        <v>0</v>
      </c>
      <c r="AM67" s="1">
        <f t="shared" si="33"/>
        <v>0</v>
      </c>
      <c r="AN67" s="1">
        <f t="shared" si="33"/>
        <v>0</v>
      </c>
    </row>
    <row r="68" spans="2:41" ht="15.75" x14ac:dyDescent="0.25">
      <c r="B68" s="59" t="s">
        <v>6</v>
      </c>
      <c r="C68" s="130">
        <v>34</v>
      </c>
      <c r="D68" s="54">
        <v>42</v>
      </c>
      <c r="E68" s="54">
        <v>42</v>
      </c>
      <c r="F68" s="54">
        <v>26</v>
      </c>
      <c r="G68" s="54">
        <v>8</v>
      </c>
      <c r="H68" s="54">
        <v>47</v>
      </c>
      <c r="I68" s="131"/>
      <c r="J68" s="9"/>
      <c r="K68" s="433"/>
      <c r="L68" s="40" t="s">
        <v>6</v>
      </c>
      <c r="M68" s="38"/>
      <c r="N68" s="48">
        <f>'C3. Förslag, socialvård (2015)'!L10</f>
        <v>6704</v>
      </c>
      <c r="O68" s="433"/>
      <c r="P68" s="433"/>
      <c r="Q68" s="433"/>
      <c r="R68" s="433"/>
      <c r="S68" s="433"/>
      <c r="T68" s="196"/>
      <c r="U68" s="9"/>
    </row>
    <row r="69" spans="2:41" ht="16.5" thickBot="1" x14ac:dyDescent="0.3">
      <c r="B69" s="59" t="s">
        <v>7</v>
      </c>
      <c r="C69" s="130">
        <v>25</v>
      </c>
      <c r="D69" s="54">
        <v>34</v>
      </c>
      <c r="E69" s="54">
        <v>20</v>
      </c>
      <c r="F69" s="54">
        <v>10</v>
      </c>
      <c r="G69" s="54">
        <v>11</v>
      </c>
      <c r="H69" s="54">
        <v>14</v>
      </c>
      <c r="I69" s="131"/>
      <c r="J69" s="9"/>
      <c r="K69" s="433"/>
      <c r="L69" s="42" t="s">
        <v>7</v>
      </c>
      <c r="M69" s="44"/>
      <c r="N69" s="48">
        <f>'C3. Förslag, socialvård (2015)'!L11</f>
        <v>21198</v>
      </c>
      <c r="O69" s="433"/>
      <c r="P69" s="433"/>
      <c r="Q69" s="433"/>
      <c r="R69" s="433"/>
      <c r="S69" s="433"/>
      <c r="T69" s="196"/>
      <c r="U69" s="9"/>
      <c r="AB69" s="1" t="s">
        <v>109</v>
      </c>
      <c r="AD69" s="218">
        <f t="shared" ref="AD69:AO69" si="34">AD16</f>
        <v>0.14000000000000001</v>
      </c>
      <c r="AE69" s="218">
        <f t="shared" si="34"/>
        <v>0.14000000000000001</v>
      </c>
      <c r="AF69" s="218">
        <f t="shared" si="34"/>
        <v>0</v>
      </c>
      <c r="AG69" s="218">
        <f t="shared" si="34"/>
        <v>0</v>
      </c>
      <c r="AH69" s="218">
        <f t="shared" si="34"/>
        <v>0</v>
      </c>
      <c r="AI69" s="218">
        <f t="shared" si="34"/>
        <v>0</v>
      </c>
      <c r="AJ69" s="218">
        <f t="shared" si="34"/>
        <v>0</v>
      </c>
      <c r="AK69" s="218">
        <f t="shared" si="34"/>
        <v>0</v>
      </c>
      <c r="AL69" s="218">
        <f t="shared" si="34"/>
        <v>0</v>
      </c>
      <c r="AM69" s="218">
        <f t="shared" si="34"/>
        <v>0</v>
      </c>
      <c r="AN69" s="218">
        <f t="shared" si="34"/>
        <v>0</v>
      </c>
      <c r="AO69" s="218">
        <f t="shared" si="34"/>
        <v>0</v>
      </c>
    </row>
    <row r="70" spans="2:41" ht="15.75" x14ac:dyDescent="0.25">
      <c r="B70" s="59"/>
      <c r="C70" s="130"/>
      <c r="D70" s="54"/>
      <c r="E70" s="54"/>
      <c r="F70" s="54"/>
      <c r="G70" s="54"/>
      <c r="H70" s="54"/>
      <c r="I70" s="438"/>
      <c r="J70" s="9"/>
      <c r="K70" s="124"/>
      <c r="L70" s="124"/>
      <c r="M70" s="124"/>
      <c r="N70" s="124"/>
      <c r="O70" s="124"/>
      <c r="P70" s="124"/>
      <c r="Q70" s="124"/>
      <c r="R70" s="124"/>
      <c r="S70" s="434"/>
      <c r="T70" s="196"/>
      <c r="U70" s="9"/>
    </row>
    <row r="71" spans="2:41" ht="15.75" x14ac:dyDescent="0.25">
      <c r="B71" s="59" t="s">
        <v>25</v>
      </c>
      <c r="C71" s="130"/>
      <c r="D71" s="54"/>
      <c r="E71" s="54"/>
      <c r="F71" s="54"/>
      <c r="G71" s="54"/>
      <c r="H71" s="54"/>
      <c r="I71" s="438"/>
      <c r="J71" s="9"/>
      <c r="K71" s="124"/>
      <c r="L71" s="124"/>
      <c r="M71" s="124"/>
      <c r="N71" s="124"/>
      <c r="O71" s="124"/>
      <c r="P71" s="124"/>
      <c r="Q71" s="124"/>
      <c r="R71" s="124"/>
      <c r="S71" s="434"/>
      <c r="T71" s="196"/>
      <c r="U71" s="9"/>
    </row>
    <row r="72" spans="2:41" ht="15.75" x14ac:dyDescent="0.25">
      <c r="B72" s="59" t="s">
        <v>26</v>
      </c>
      <c r="C72" s="130"/>
      <c r="D72" s="54"/>
      <c r="E72" s="54"/>
      <c r="F72" s="54"/>
      <c r="G72" s="54"/>
      <c r="H72" s="54"/>
      <c r="I72" s="438"/>
      <c r="J72" s="9"/>
      <c r="K72" s="124"/>
      <c r="L72" s="124"/>
      <c r="M72" s="124"/>
      <c r="N72" s="124"/>
      <c r="O72" s="124"/>
      <c r="P72" s="124"/>
      <c r="Q72" s="124"/>
      <c r="R72" s="124"/>
      <c r="S72" s="434"/>
      <c r="T72" s="196"/>
      <c r="U72" s="9"/>
      <c r="Y72" s="235" t="s">
        <v>21</v>
      </c>
      <c r="Z72" s="1">
        <f>C32</f>
        <v>119</v>
      </c>
      <c r="AB72" s="1" t="s">
        <v>103</v>
      </c>
      <c r="AD72" s="1" t="str">
        <f t="shared" ref="AD72:AN72" si="35">AD20</f>
        <v>0-40</v>
      </c>
      <c r="AE72" s="1" t="str">
        <f t="shared" si="35"/>
        <v>40-60</v>
      </c>
      <c r="AF72" s="1" t="str">
        <f t="shared" si="35"/>
        <v>60-80</v>
      </c>
      <c r="AG72" s="1">
        <f t="shared" si="35"/>
        <v>0</v>
      </c>
      <c r="AH72" s="1">
        <f t="shared" si="35"/>
        <v>0</v>
      </c>
      <c r="AI72" s="1">
        <f t="shared" si="35"/>
        <v>0</v>
      </c>
      <c r="AJ72" s="1" t="str">
        <f t="shared" si="35"/>
        <v>200-250</v>
      </c>
      <c r="AK72" s="1" t="str">
        <f t="shared" si="35"/>
        <v>250-350</v>
      </c>
      <c r="AL72" s="1" t="str">
        <f t="shared" si="35"/>
        <v>350-450</v>
      </c>
      <c r="AM72" s="1" t="str">
        <f t="shared" si="35"/>
        <v>450-650</v>
      </c>
      <c r="AN72" s="1" t="str">
        <f t="shared" si="35"/>
        <v>650-2000</v>
      </c>
    </row>
    <row r="73" spans="2:41" ht="15.75" x14ac:dyDescent="0.25">
      <c r="B73" s="59"/>
      <c r="C73" s="130"/>
      <c r="D73" s="54"/>
      <c r="E73" s="54"/>
      <c r="F73" s="54"/>
      <c r="G73" s="54"/>
      <c r="H73" s="54"/>
      <c r="I73" s="438"/>
      <c r="J73" s="9"/>
      <c r="K73" s="124"/>
      <c r="L73" s="124"/>
      <c r="M73" s="124"/>
      <c r="N73" s="124"/>
      <c r="O73" s="124"/>
      <c r="P73" s="124"/>
      <c r="Q73" s="124"/>
      <c r="R73" s="124"/>
      <c r="S73" s="434"/>
      <c r="T73" s="196"/>
      <c r="U73" s="9"/>
      <c r="AD73" s="1">
        <f t="shared" ref="AD73:AO73" si="36">AD13</f>
        <v>0</v>
      </c>
      <c r="AE73" s="1">
        <f t="shared" si="36"/>
        <v>40</v>
      </c>
      <c r="AF73" s="1">
        <f t="shared" si="36"/>
        <v>60</v>
      </c>
      <c r="AG73" s="1">
        <f t="shared" si="36"/>
        <v>0</v>
      </c>
      <c r="AH73" s="1">
        <f t="shared" si="36"/>
        <v>0</v>
      </c>
      <c r="AI73" s="1">
        <f t="shared" si="36"/>
        <v>0</v>
      </c>
      <c r="AJ73" s="1">
        <f t="shared" si="36"/>
        <v>200</v>
      </c>
      <c r="AK73" s="1">
        <f t="shared" si="36"/>
        <v>250</v>
      </c>
      <c r="AL73" s="1">
        <f t="shared" si="36"/>
        <v>350</v>
      </c>
      <c r="AM73" s="1">
        <f t="shared" si="36"/>
        <v>450</v>
      </c>
      <c r="AN73" s="1">
        <f t="shared" si="36"/>
        <v>650</v>
      </c>
      <c r="AO73" s="1">
        <f t="shared" si="36"/>
        <v>2000</v>
      </c>
    </row>
    <row r="74" spans="2:41" ht="16.5" thickBot="1" x14ac:dyDescent="0.3">
      <c r="B74" s="60" t="s">
        <v>27</v>
      </c>
      <c r="C74" s="439">
        <f t="shared" ref="C74:H74" si="37">SUM(C65:C69)</f>
        <v>475</v>
      </c>
      <c r="D74" s="439">
        <f t="shared" si="37"/>
        <v>572</v>
      </c>
      <c r="E74" s="439">
        <f t="shared" si="37"/>
        <v>330</v>
      </c>
      <c r="F74" s="439">
        <f t="shared" si="37"/>
        <v>251</v>
      </c>
      <c r="G74" s="439">
        <f t="shared" si="37"/>
        <v>100</v>
      </c>
      <c r="H74" s="439">
        <f t="shared" si="37"/>
        <v>433</v>
      </c>
      <c r="I74" s="440"/>
      <c r="J74" s="9"/>
      <c r="K74" s="433"/>
      <c r="L74" s="433"/>
      <c r="M74" s="433"/>
      <c r="N74" s="433"/>
      <c r="O74" s="433"/>
      <c r="P74" s="433"/>
      <c r="Q74" s="433"/>
      <c r="R74" s="433"/>
      <c r="S74" s="433"/>
      <c r="T74" s="196"/>
      <c r="U74" s="9"/>
      <c r="Y74" s="235" t="s">
        <v>33</v>
      </c>
      <c r="Z74" s="1">
        <f>SUM(AD74:AO74)</f>
        <v>208071.20779200003</v>
      </c>
      <c r="AB74" s="1" t="s">
        <v>106</v>
      </c>
      <c r="AD74" s="1">
        <f>IF($Z$72&gt;AD73,(IF($Z$72-AE73&gt;0,(AE73-AD73)*$B$16*AD76,($Z$72-AD73)*$B$16*AD76)),0)</f>
        <v>138714.13852800001</v>
      </c>
      <c r="AE74" s="1">
        <f t="shared" ref="AE74:AN74" si="38">IF($Z$72&gt;AE73,(IF($Z$72-AF73&gt;0,(AF73-AE73)*$B$16*AE76,($Z$72-AE73)*$B$16*AE76)),0)</f>
        <v>69357.069264000005</v>
      </c>
      <c r="AF74" s="1">
        <f t="shared" si="38"/>
        <v>0</v>
      </c>
      <c r="AG74" s="1">
        <f t="shared" si="38"/>
        <v>0</v>
      </c>
      <c r="AH74" s="1">
        <f t="shared" si="38"/>
        <v>0</v>
      </c>
      <c r="AI74" s="1">
        <f t="shared" si="38"/>
        <v>0</v>
      </c>
      <c r="AJ74" s="1">
        <f t="shared" si="38"/>
        <v>0</v>
      </c>
      <c r="AK74" s="1">
        <f t="shared" si="38"/>
        <v>0</v>
      </c>
      <c r="AL74" s="1">
        <f t="shared" si="38"/>
        <v>0</v>
      </c>
      <c r="AM74" s="1">
        <f t="shared" si="38"/>
        <v>0</v>
      </c>
      <c r="AN74" s="1">
        <f t="shared" si="38"/>
        <v>0</v>
      </c>
    </row>
    <row r="75" spans="2:41" x14ac:dyDescent="0.2">
      <c r="C75" s="7"/>
      <c r="D75" s="7"/>
      <c r="E75" s="7"/>
      <c r="F75" s="7"/>
      <c r="G75" s="7"/>
      <c r="H75" s="7"/>
      <c r="J75" s="9"/>
      <c r="K75" s="9"/>
      <c r="L75" s="9"/>
      <c r="M75" s="9"/>
      <c r="N75" s="9"/>
      <c r="O75" s="9"/>
      <c r="P75" s="9"/>
      <c r="Q75" s="9"/>
      <c r="R75" s="9"/>
      <c r="S75" s="9"/>
      <c r="T75" s="9"/>
      <c r="U75" s="9"/>
    </row>
    <row r="76" spans="2:41" ht="15.75" thickBot="1" x14ac:dyDescent="0.25">
      <c r="C76" s="7"/>
      <c r="D76" s="7"/>
      <c r="E76" s="7"/>
      <c r="F76" s="7"/>
      <c r="G76" s="7"/>
      <c r="H76" s="7"/>
      <c r="J76" s="9"/>
      <c r="K76" s="9"/>
      <c r="L76" s="9"/>
      <c r="M76" s="9"/>
      <c r="N76" s="9"/>
      <c r="O76" s="9"/>
      <c r="P76" s="9"/>
      <c r="Q76" s="9"/>
      <c r="R76" s="9"/>
      <c r="S76" s="9"/>
      <c r="T76" s="9"/>
      <c r="U76" s="9"/>
      <c r="AB76" s="1" t="s">
        <v>109</v>
      </c>
      <c r="AD76" s="218">
        <f t="shared" ref="AD76:AO76" si="39">AD16</f>
        <v>0.14000000000000001</v>
      </c>
      <c r="AE76" s="218">
        <f t="shared" si="39"/>
        <v>0.14000000000000001</v>
      </c>
      <c r="AF76" s="218">
        <f t="shared" si="39"/>
        <v>0</v>
      </c>
      <c r="AG76" s="218">
        <f t="shared" si="39"/>
        <v>0</v>
      </c>
      <c r="AH76" s="218">
        <f t="shared" si="39"/>
        <v>0</v>
      </c>
      <c r="AI76" s="218">
        <f t="shared" si="39"/>
        <v>0</v>
      </c>
      <c r="AJ76" s="218">
        <f t="shared" si="39"/>
        <v>0</v>
      </c>
      <c r="AK76" s="218">
        <f t="shared" si="39"/>
        <v>0</v>
      </c>
      <c r="AL76" s="218">
        <f t="shared" si="39"/>
        <v>0</v>
      </c>
      <c r="AM76" s="218">
        <f t="shared" si="39"/>
        <v>0</v>
      </c>
      <c r="AN76" s="218">
        <f t="shared" si="39"/>
        <v>0</v>
      </c>
      <c r="AO76" s="218">
        <f t="shared" si="39"/>
        <v>0</v>
      </c>
    </row>
    <row r="77" spans="2:41" ht="15.75" x14ac:dyDescent="0.25">
      <c r="B77" s="84" t="s">
        <v>31</v>
      </c>
      <c r="C77" s="1240">
        <f>Kontrollpanel!$M$47</f>
        <v>0.2</v>
      </c>
      <c r="D77" s="441">
        <f>Kontrollpanel!$G$47</f>
        <v>0.15</v>
      </c>
      <c r="E77" s="1240">
        <f>Kontrollpanel!$M$47</f>
        <v>0.2</v>
      </c>
      <c r="F77" s="1240">
        <f>Kontrollpanel!$M$47</f>
        <v>0.2</v>
      </c>
      <c r="G77" s="1240">
        <f>Kontrollpanel!$M$47</f>
        <v>0.2</v>
      </c>
      <c r="H77" s="441">
        <f>Kontrollpanel!$G$47</f>
        <v>0.15</v>
      </c>
      <c r="I77" s="69"/>
      <c r="J77" s="9"/>
      <c r="K77" s="152"/>
      <c r="L77" s="152"/>
      <c r="M77" s="194"/>
      <c r="N77" s="152"/>
      <c r="O77" s="152"/>
      <c r="P77" s="152"/>
      <c r="Q77" s="152"/>
      <c r="R77" s="152"/>
      <c r="S77" s="153"/>
      <c r="T77" s="152"/>
      <c r="U77" s="9"/>
    </row>
    <row r="78" spans="2:41" ht="15.75" x14ac:dyDescent="0.25">
      <c r="B78" s="70" t="s">
        <v>3</v>
      </c>
      <c r="C78" s="430">
        <f>C65*$N65*Kontrollpanel!$M$47</f>
        <v>32706</v>
      </c>
      <c r="D78" s="430">
        <f>D65*$N65*Kontrollpanel!$G$47</f>
        <v>40882.5</v>
      </c>
      <c r="E78" s="430">
        <f>E65*$N65*Kontrollpanel!$M$47</f>
        <v>26164.800000000003</v>
      </c>
      <c r="F78" s="430">
        <f>F65*$N65*Kontrollpanel!$M$47</f>
        <v>17443.2</v>
      </c>
      <c r="G78" s="430">
        <f>G65*$N65*Kontrollpanel!$M$47</f>
        <v>0</v>
      </c>
      <c r="H78" s="430">
        <f>H65*$N65*Kontrollpanel!$G$47</f>
        <v>42517.799999999996</v>
      </c>
      <c r="I78" s="443"/>
      <c r="J78" s="9"/>
      <c r="K78" s="186"/>
      <c r="L78" s="186"/>
      <c r="M78" s="186"/>
      <c r="N78" s="186"/>
      <c r="O78" s="186"/>
      <c r="P78" s="186"/>
      <c r="Q78" s="186"/>
      <c r="R78" s="186"/>
      <c r="S78" s="153"/>
      <c r="T78" s="152"/>
      <c r="U78" s="9"/>
    </row>
    <row r="79" spans="2:41" ht="15.75" x14ac:dyDescent="0.25">
      <c r="B79" s="70" t="s">
        <v>4</v>
      </c>
      <c r="C79" s="430">
        <f>C66*$N66*Kontrollpanel!$M$47</f>
        <v>0</v>
      </c>
      <c r="D79" s="430">
        <f>D66*$N66*Kontrollpanel!$G$47</f>
        <v>0</v>
      </c>
      <c r="E79" s="430">
        <f>E66*$N66*Kontrollpanel!$M$47</f>
        <v>0</v>
      </c>
      <c r="F79" s="430">
        <f>F66*$N66*Kontrollpanel!$M$47</f>
        <v>0</v>
      </c>
      <c r="G79" s="430">
        <f>G66*$N66*Kontrollpanel!$M$47</f>
        <v>0</v>
      </c>
      <c r="H79" s="430">
        <f>H66*$N66*Kontrollpanel!$G$47</f>
        <v>0</v>
      </c>
      <c r="I79" s="443"/>
      <c r="J79" s="9"/>
      <c r="K79" s="186"/>
      <c r="L79" s="186"/>
      <c r="M79" s="186"/>
      <c r="N79" s="186"/>
      <c r="O79" s="186"/>
      <c r="P79" s="186"/>
      <c r="Q79" s="186"/>
      <c r="R79" s="186"/>
      <c r="S79" s="152"/>
      <c r="T79" s="152"/>
      <c r="U79" s="9"/>
    </row>
    <row r="80" spans="2:41" ht="15.75" x14ac:dyDescent="0.25">
      <c r="B80" s="70" t="s">
        <v>5</v>
      </c>
      <c r="C80" s="430">
        <f>C67*$N67*Kontrollpanel!$M$47</f>
        <v>22890.600000000002</v>
      </c>
      <c r="D80" s="430">
        <f>D67*$N67*Kontrollpanel!$G$47</f>
        <v>17379.899999999998</v>
      </c>
      <c r="E80" s="430">
        <f>E67*$N67*Kontrollpanel!$M$47</f>
        <v>9891</v>
      </c>
      <c r="F80" s="430">
        <f>F67*$N67*Kontrollpanel!$M$47</f>
        <v>13847.400000000001</v>
      </c>
      <c r="G80" s="430">
        <f>G67*$N67*Kontrollpanel!$M$47</f>
        <v>4521.6000000000004</v>
      </c>
      <c r="H80" s="430">
        <f>H67*$N67*Kontrollpanel!$G$47</f>
        <v>13564.8</v>
      </c>
      <c r="I80" s="443"/>
      <c r="J80" s="9"/>
      <c r="K80" s="186"/>
      <c r="L80" s="186"/>
      <c r="M80" s="186"/>
      <c r="N80" s="186"/>
      <c r="O80" s="186"/>
      <c r="P80" s="186"/>
      <c r="Q80" s="186"/>
      <c r="R80" s="186"/>
      <c r="S80" s="153"/>
      <c r="T80" s="152"/>
      <c r="U80" s="9"/>
      <c r="Y80" s="235" t="s">
        <v>18</v>
      </c>
      <c r="Z80" s="1">
        <f>C33</f>
        <v>55</v>
      </c>
      <c r="AB80" s="1" t="s">
        <v>103</v>
      </c>
      <c r="AD80" s="1" t="str">
        <f t="shared" ref="AD80:AN80" si="40">AD20</f>
        <v>0-40</v>
      </c>
      <c r="AE80" s="1" t="str">
        <f t="shared" si="40"/>
        <v>40-60</v>
      </c>
      <c r="AF80" s="1" t="str">
        <f t="shared" si="40"/>
        <v>60-80</v>
      </c>
      <c r="AG80" s="1">
        <f t="shared" si="40"/>
        <v>0</v>
      </c>
      <c r="AH80" s="1">
        <f t="shared" si="40"/>
        <v>0</v>
      </c>
      <c r="AI80" s="1">
        <f t="shared" si="40"/>
        <v>0</v>
      </c>
      <c r="AJ80" s="1" t="str">
        <f t="shared" si="40"/>
        <v>200-250</v>
      </c>
      <c r="AK80" s="1" t="str">
        <f t="shared" si="40"/>
        <v>250-350</v>
      </c>
      <c r="AL80" s="1" t="str">
        <f t="shared" si="40"/>
        <v>350-450</v>
      </c>
      <c r="AM80" s="1" t="str">
        <f t="shared" si="40"/>
        <v>450-650</v>
      </c>
      <c r="AN80" s="1" t="str">
        <f t="shared" si="40"/>
        <v>650-2000</v>
      </c>
    </row>
    <row r="81" spans="2:41" ht="15.75" x14ac:dyDescent="0.25">
      <c r="B81" s="70" t="s">
        <v>6</v>
      </c>
      <c r="C81" s="430">
        <f>C68*$N68*Kontrollpanel!$M$47</f>
        <v>45587.200000000004</v>
      </c>
      <c r="D81" s="430">
        <f>D68*$N68*Kontrollpanel!$G$47</f>
        <v>42235.199999999997</v>
      </c>
      <c r="E81" s="430">
        <f>E68*$N68*Kontrollpanel!$M$47</f>
        <v>56313.600000000006</v>
      </c>
      <c r="F81" s="430">
        <f>F68*$N68*Kontrollpanel!$M$47</f>
        <v>34860.800000000003</v>
      </c>
      <c r="G81" s="430">
        <f>G68*$N68*Kontrollpanel!$M$47</f>
        <v>10726.400000000001</v>
      </c>
      <c r="H81" s="430">
        <f>H68*$N68*Kontrollpanel!$G$47</f>
        <v>47263.199999999997</v>
      </c>
      <c r="I81" s="443"/>
      <c r="J81" s="9"/>
      <c r="K81" s="186"/>
      <c r="L81" s="186"/>
      <c r="M81" s="186"/>
      <c r="N81" s="186"/>
      <c r="O81" s="186"/>
      <c r="P81" s="186"/>
      <c r="Q81" s="186"/>
      <c r="R81" s="186"/>
      <c r="S81" s="153"/>
      <c r="T81" s="152"/>
      <c r="U81" s="9"/>
      <c r="AD81" s="1">
        <f t="shared" ref="AD81:AO81" si="41">AD13</f>
        <v>0</v>
      </c>
      <c r="AE81" s="1">
        <f t="shared" si="41"/>
        <v>40</v>
      </c>
      <c r="AF81" s="1">
        <f t="shared" si="41"/>
        <v>60</v>
      </c>
      <c r="AG81" s="1">
        <f t="shared" si="41"/>
        <v>0</v>
      </c>
      <c r="AH81" s="1">
        <f t="shared" si="41"/>
        <v>0</v>
      </c>
      <c r="AI81" s="1">
        <f t="shared" si="41"/>
        <v>0</v>
      </c>
      <c r="AJ81" s="1">
        <f t="shared" si="41"/>
        <v>200</v>
      </c>
      <c r="AK81" s="1">
        <f t="shared" si="41"/>
        <v>250</v>
      </c>
      <c r="AL81" s="1">
        <f t="shared" si="41"/>
        <v>350</v>
      </c>
      <c r="AM81" s="1">
        <f t="shared" si="41"/>
        <v>450</v>
      </c>
      <c r="AN81" s="1">
        <f t="shared" si="41"/>
        <v>650</v>
      </c>
      <c r="AO81" s="1">
        <f t="shared" si="41"/>
        <v>2000</v>
      </c>
    </row>
    <row r="82" spans="2:41" ht="16.5" thickBot="1" x14ac:dyDescent="0.3">
      <c r="B82" s="72" t="s">
        <v>7</v>
      </c>
      <c r="C82" s="430">
        <f>C69*$N69*Kontrollpanel!$M$47</f>
        <v>105990</v>
      </c>
      <c r="D82" s="430">
        <f>D69*$N69*Kontrollpanel!$G$47</f>
        <v>108109.8</v>
      </c>
      <c r="E82" s="430">
        <f>E69*$N69*Kontrollpanel!$M$47</f>
        <v>84792</v>
      </c>
      <c r="F82" s="430">
        <f>F69*$N69*Kontrollpanel!$M$47</f>
        <v>42396</v>
      </c>
      <c r="G82" s="430">
        <f>G69*$N69*Kontrollpanel!$M$47</f>
        <v>46635.600000000006</v>
      </c>
      <c r="H82" s="430">
        <f>H69*$N69*Kontrollpanel!$G$47</f>
        <v>44515.799999999996</v>
      </c>
      <c r="I82" s="444"/>
      <c r="J82" s="9"/>
      <c r="K82" s="186"/>
      <c r="L82" s="186"/>
      <c r="M82" s="186"/>
      <c r="N82" s="186"/>
      <c r="O82" s="186"/>
      <c r="P82" s="186"/>
      <c r="Q82" s="186"/>
      <c r="R82" s="186"/>
      <c r="S82" s="153"/>
      <c r="T82" s="152"/>
      <c r="U82" s="9"/>
      <c r="Y82" s="235" t="s">
        <v>33</v>
      </c>
      <c r="Z82" s="1">
        <f>SUM(AD82:AO82)</f>
        <v>190731.94047600002</v>
      </c>
      <c r="AB82" s="1" t="s">
        <v>106</v>
      </c>
      <c r="AD82" s="1">
        <f>IF($Z$80&gt;AD81,(IF($Z$80-AE81&gt;0,(AE81-AD81)*$B$16*AD84,($Z$80-AD81)*$B$16*AD84)),0)</f>
        <v>138714.13852800001</v>
      </c>
      <c r="AE82" s="1">
        <f t="shared" ref="AE82:AN82" si="42">IF($Z$80&gt;AE81,(IF($Z$80-AF81&gt;0,(AF81-AE81)*$B$16*AE84,($Z$80-AE81)*$B$16*AE84)),0)</f>
        <v>52017.801948</v>
      </c>
      <c r="AF82" s="1">
        <f t="shared" si="42"/>
        <v>0</v>
      </c>
      <c r="AG82" s="1">
        <f t="shared" si="42"/>
        <v>0</v>
      </c>
      <c r="AH82" s="1">
        <f t="shared" si="42"/>
        <v>0</v>
      </c>
      <c r="AI82" s="1">
        <f t="shared" si="42"/>
        <v>0</v>
      </c>
      <c r="AJ82" s="1">
        <f t="shared" si="42"/>
        <v>0</v>
      </c>
      <c r="AK82" s="1">
        <f t="shared" si="42"/>
        <v>0</v>
      </c>
      <c r="AL82" s="1">
        <f t="shared" si="42"/>
        <v>0</v>
      </c>
      <c r="AM82" s="1">
        <f t="shared" si="42"/>
        <v>0</v>
      </c>
      <c r="AN82" s="1">
        <f t="shared" si="42"/>
        <v>0</v>
      </c>
    </row>
    <row r="83" spans="2:41" ht="15.75" thickBot="1" x14ac:dyDescent="0.25">
      <c r="J83" s="9"/>
      <c r="K83" s="9"/>
      <c r="L83" s="9"/>
      <c r="M83" s="9"/>
      <c r="N83" s="9"/>
      <c r="O83" s="9"/>
      <c r="P83" s="9"/>
      <c r="Q83" s="9"/>
      <c r="R83" s="9"/>
      <c r="S83" s="9"/>
      <c r="T83" s="9"/>
      <c r="U83" s="9"/>
    </row>
    <row r="84" spans="2:41" ht="16.5" thickBot="1" x14ac:dyDescent="0.3">
      <c r="B84" s="411" t="s">
        <v>81</v>
      </c>
      <c r="C84" s="445">
        <f t="shared" ref="C84:H84" si="43">SUM(C78:C82)</f>
        <v>207173.80000000002</v>
      </c>
      <c r="D84" s="445">
        <f t="shared" si="43"/>
        <v>208607.4</v>
      </c>
      <c r="E84" s="445">
        <f t="shared" si="43"/>
        <v>177161.40000000002</v>
      </c>
      <c r="F84" s="445">
        <f t="shared" si="43"/>
        <v>108547.40000000001</v>
      </c>
      <c r="G84" s="445">
        <f t="shared" si="43"/>
        <v>61883.600000000006</v>
      </c>
      <c r="H84" s="445">
        <f t="shared" si="43"/>
        <v>147861.59999999998</v>
      </c>
      <c r="I84" s="446"/>
      <c r="J84" s="9"/>
      <c r="K84" s="9"/>
      <c r="L84" s="9"/>
      <c r="M84" s="9"/>
      <c r="N84" s="9"/>
      <c r="O84" s="9"/>
      <c r="P84" s="9"/>
      <c r="Q84" s="9"/>
      <c r="R84" s="9"/>
      <c r="S84" s="9"/>
      <c r="T84" s="9"/>
      <c r="U84" s="9"/>
      <c r="AB84" s="1" t="s">
        <v>109</v>
      </c>
      <c r="AD84" s="218">
        <f t="shared" ref="AD84:AO84" si="44">AD16</f>
        <v>0.14000000000000001</v>
      </c>
      <c r="AE84" s="218">
        <f t="shared" si="44"/>
        <v>0.14000000000000001</v>
      </c>
      <c r="AF84" s="218">
        <f t="shared" si="44"/>
        <v>0</v>
      </c>
      <c r="AG84" s="218">
        <f t="shared" si="44"/>
        <v>0</v>
      </c>
      <c r="AH84" s="218">
        <f t="shared" si="44"/>
        <v>0</v>
      </c>
      <c r="AI84" s="218">
        <f t="shared" si="44"/>
        <v>0</v>
      </c>
      <c r="AJ84" s="218">
        <f t="shared" si="44"/>
        <v>0</v>
      </c>
      <c r="AK84" s="218">
        <f t="shared" si="44"/>
        <v>0</v>
      </c>
      <c r="AL84" s="218">
        <f t="shared" si="44"/>
        <v>0</v>
      </c>
      <c r="AM84" s="218">
        <f t="shared" si="44"/>
        <v>0</v>
      </c>
      <c r="AN84" s="218">
        <f t="shared" si="44"/>
        <v>0</v>
      </c>
      <c r="AO84" s="218">
        <f t="shared" si="44"/>
        <v>0</v>
      </c>
    </row>
    <row r="85" spans="2:41" x14ac:dyDescent="0.2">
      <c r="J85" s="9"/>
      <c r="K85" s="9"/>
      <c r="L85" s="9"/>
      <c r="M85" s="9"/>
      <c r="N85" s="9"/>
      <c r="O85" s="9"/>
      <c r="P85" s="9"/>
      <c r="Q85" s="9"/>
      <c r="R85" s="9"/>
      <c r="S85" s="9"/>
      <c r="T85" s="9"/>
      <c r="U85" s="9"/>
    </row>
    <row r="86" spans="2:41" x14ac:dyDescent="0.2">
      <c r="C86" s="22">
        <v>186456.41999999998</v>
      </c>
      <c r="D86" s="22">
        <v>250328.88</v>
      </c>
      <c r="E86" s="22">
        <v>159445.26</v>
      </c>
      <c r="F86" s="22">
        <v>97692.66</v>
      </c>
      <c r="G86" s="22">
        <v>55695.240000000005</v>
      </c>
      <c r="H86" s="22">
        <v>177433.91999999998</v>
      </c>
      <c r="J86" s="9"/>
      <c r="K86" s="9"/>
      <c r="L86" s="9"/>
      <c r="M86" s="9"/>
      <c r="N86" s="9"/>
      <c r="O86" s="9"/>
      <c r="P86" s="9"/>
      <c r="Q86" s="9"/>
      <c r="R86" s="9"/>
      <c r="S86" s="9"/>
      <c r="T86" s="9"/>
      <c r="U86" s="9"/>
    </row>
    <row r="87" spans="2:41" x14ac:dyDescent="0.2">
      <c r="J87" s="9"/>
      <c r="K87" s="9"/>
      <c r="L87" s="9"/>
      <c r="M87" s="9"/>
      <c r="N87" s="9"/>
      <c r="O87" s="9"/>
      <c r="P87" s="9"/>
      <c r="Q87" s="9"/>
      <c r="R87" s="9"/>
      <c r="S87" s="9"/>
      <c r="T87" s="9"/>
      <c r="U87" s="9"/>
    </row>
    <row r="88" spans="2:41" ht="28.5" thickBot="1" x14ac:dyDescent="0.45">
      <c r="B88" s="752" t="s">
        <v>415</v>
      </c>
      <c r="C88" s="752"/>
      <c r="D88" s="752"/>
      <c r="E88" s="752"/>
      <c r="F88" s="752"/>
      <c r="J88" s="9"/>
      <c r="K88" s="9"/>
      <c r="L88" s="9"/>
      <c r="M88" s="9"/>
      <c r="N88" s="9"/>
      <c r="O88" s="9"/>
      <c r="P88" s="9"/>
      <c r="Q88" s="9"/>
      <c r="R88" s="9"/>
      <c r="S88" s="9"/>
      <c r="T88" s="9"/>
      <c r="U88" s="9"/>
    </row>
    <row r="89" spans="2:41" ht="16.5" thickTop="1" x14ac:dyDescent="0.25">
      <c r="J89" s="9"/>
      <c r="K89" s="9"/>
      <c r="L89" s="43" t="s">
        <v>0</v>
      </c>
      <c r="M89" s="39"/>
      <c r="N89" s="47" t="s">
        <v>476</v>
      </c>
      <c r="O89" s="9"/>
      <c r="P89" s="9"/>
      <c r="Q89" s="9"/>
      <c r="R89" s="9"/>
      <c r="S89" s="9"/>
      <c r="T89" s="9"/>
      <c r="U89" s="9"/>
    </row>
    <row r="90" spans="2:41" ht="15.75" x14ac:dyDescent="0.25">
      <c r="D90" s="1" t="s">
        <v>659</v>
      </c>
      <c r="J90" s="9"/>
      <c r="K90" s="9"/>
      <c r="L90" s="40"/>
      <c r="M90" s="38"/>
      <c r="N90" s="41"/>
      <c r="O90" s="9"/>
      <c r="P90" s="9"/>
      <c r="Q90" s="9"/>
      <c r="R90" s="9"/>
      <c r="S90" s="9"/>
      <c r="T90" s="9"/>
      <c r="U90" s="9"/>
    </row>
    <row r="91" spans="2:41" ht="16.5" thickBot="1" x14ac:dyDescent="0.3">
      <c r="B91" s="1" t="s">
        <v>509</v>
      </c>
      <c r="C91" s="218">
        <f>Kontrollpanel!G50</f>
        <v>0</v>
      </c>
      <c r="D91" s="218">
        <f>Kontrollpanel!M50</f>
        <v>0</v>
      </c>
      <c r="J91" s="9"/>
      <c r="K91" s="9"/>
      <c r="L91" s="40" t="s">
        <v>417</v>
      </c>
      <c r="M91" s="38"/>
      <c r="N91" s="48">
        <f>'C6. Övriga delar (2015)'!F117</f>
        <v>153.1557</v>
      </c>
      <c r="O91" s="9"/>
      <c r="P91" s="9"/>
      <c r="Q91" s="9"/>
      <c r="R91" s="9"/>
      <c r="S91" s="9"/>
      <c r="T91" s="9"/>
      <c r="U91" s="9"/>
    </row>
    <row r="92" spans="2:41" ht="15.75" x14ac:dyDescent="0.25">
      <c r="B92" s="84" t="s">
        <v>419</v>
      </c>
      <c r="C92" s="441"/>
      <c r="D92" s="442"/>
      <c r="E92" s="442"/>
      <c r="F92" s="442"/>
      <c r="G92" s="442"/>
      <c r="H92" s="442"/>
      <c r="I92" s="69"/>
      <c r="J92" s="9"/>
      <c r="K92" s="9"/>
      <c r="L92" s="40" t="s">
        <v>418</v>
      </c>
      <c r="M92" s="38"/>
      <c r="N92" s="48"/>
      <c r="O92" s="9"/>
      <c r="P92" s="9"/>
      <c r="Q92" s="9"/>
      <c r="R92" s="9"/>
      <c r="S92" s="9"/>
      <c r="T92" s="9"/>
      <c r="U92" s="9"/>
      <c r="Y92" s="235" t="s">
        <v>13</v>
      </c>
      <c r="Z92" s="1">
        <f>C34</f>
        <v>196</v>
      </c>
      <c r="AB92" s="1" t="s">
        <v>103</v>
      </c>
      <c r="AD92" s="1" t="str">
        <f t="shared" ref="AD92:AN92" si="45">AD20</f>
        <v>0-40</v>
      </c>
      <c r="AE92" s="1" t="str">
        <f t="shared" si="45"/>
        <v>40-60</v>
      </c>
      <c r="AF92" s="1" t="str">
        <f t="shared" si="45"/>
        <v>60-80</v>
      </c>
      <c r="AG92" s="1">
        <f t="shared" si="45"/>
        <v>0</v>
      </c>
      <c r="AH92" s="1">
        <f t="shared" si="45"/>
        <v>0</v>
      </c>
      <c r="AI92" s="1">
        <f t="shared" si="45"/>
        <v>0</v>
      </c>
      <c r="AJ92" s="1" t="str">
        <f t="shared" si="45"/>
        <v>200-250</v>
      </c>
      <c r="AK92" s="1" t="str">
        <f t="shared" si="45"/>
        <v>250-350</v>
      </c>
      <c r="AL92" s="1" t="str">
        <f t="shared" si="45"/>
        <v>350-450</v>
      </c>
      <c r="AM92" s="1" t="str">
        <f t="shared" si="45"/>
        <v>450-650</v>
      </c>
      <c r="AN92" s="1" t="str">
        <f t="shared" si="45"/>
        <v>650-2000</v>
      </c>
    </row>
    <row r="93" spans="2:41" ht="15.75" x14ac:dyDescent="0.25">
      <c r="B93" s="70"/>
      <c r="C93" s="430"/>
      <c r="D93" s="754"/>
      <c r="E93" s="754"/>
      <c r="F93" s="754"/>
      <c r="G93" s="754"/>
      <c r="H93" s="754"/>
      <c r="I93" s="443"/>
      <c r="J93" s="9"/>
      <c r="K93" s="9"/>
      <c r="L93" s="40"/>
      <c r="M93" s="38"/>
      <c r="N93" s="48"/>
      <c r="O93" s="9"/>
      <c r="P93" s="9"/>
      <c r="Q93" s="9"/>
      <c r="R93" s="9"/>
      <c r="S93" s="9"/>
      <c r="T93" s="9"/>
      <c r="U93" s="9"/>
      <c r="AD93" s="1">
        <f t="shared" ref="AD93:AO93" si="46">AD13</f>
        <v>0</v>
      </c>
      <c r="AE93" s="1">
        <f t="shared" si="46"/>
        <v>40</v>
      </c>
      <c r="AF93" s="1">
        <f t="shared" si="46"/>
        <v>60</v>
      </c>
      <c r="AG93" s="1">
        <f t="shared" si="46"/>
        <v>0</v>
      </c>
      <c r="AH93" s="1">
        <f t="shared" si="46"/>
        <v>0</v>
      </c>
      <c r="AI93" s="1">
        <f t="shared" si="46"/>
        <v>0</v>
      </c>
      <c r="AJ93" s="1">
        <f t="shared" si="46"/>
        <v>200</v>
      </c>
      <c r="AK93" s="1">
        <f t="shared" si="46"/>
        <v>250</v>
      </c>
      <c r="AL93" s="1">
        <f t="shared" si="46"/>
        <v>350</v>
      </c>
      <c r="AM93" s="1">
        <f t="shared" si="46"/>
        <v>450</v>
      </c>
      <c r="AN93" s="1">
        <f t="shared" si="46"/>
        <v>650</v>
      </c>
      <c r="AO93" s="1">
        <f t="shared" si="46"/>
        <v>2000</v>
      </c>
    </row>
    <row r="94" spans="2:41" ht="15.75" x14ac:dyDescent="0.25">
      <c r="B94" s="756" t="s">
        <v>420</v>
      </c>
      <c r="C94" s="430">
        <f>N91*C91</f>
        <v>0</v>
      </c>
      <c r="D94" s="430">
        <f>N91*D91</f>
        <v>0</v>
      </c>
      <c r="E94" s="754"/>
      <c r="F94" s="754"/>
      <c r="G94" s="754"/>
      <c r="H94" s="754"/>
      <c r="I94" s="443"/>
      <c r="J94" s="9"/>
      <c r="K94" s="9"/>
      <c r="L94" s="40"/>
      <c r="M94" s="38"/>
      <c r="N94" s="48"/>
      <c r="O94" s="9"/>
      <c r="P94" s="9"/>
      <c r="Q94" s="9"/>
      <c r="R94" s="9"/>
      <c r="S94" s="9"/>
      <c r="T94" s="9"/>
      <c r="U94" s="9"/>
      <c r="Y94" s="235" t="s">
        <v>33</v>
      </c>
      <c r="Z94" s="1">
        <f>SUM(AD94:AO94)</f>
        <v>208071.20779200003</v>
      </c>
      <c r="AB94" s="1" t="s">
        <v>106</v>
      </c>
      <c r="AD94" s="1">
        <f t="shared" ref="AD94:AN94" si="47">IF($Z$92&gt;AD93,(IF($Z$92-AE93&gt;0,(AE93-AD93)*$B$16*AD96,($Z$92-AD93)*$B$16*AD96)),0)</f>
        <v>138714.13852800001</v>
      </c>
      <c r="AE94" s="1">
        <f t="shared" si="47"/>
        <v>69357.069264000005</v>
      </c>
      <c r="AF94" s="1">
        <f t="shared" si="47"/>
        <v>0</v>
      </c>
      <c r="AG94" s="1">
        <f t="shared" si="47"/>
        <v>0</v>
      </c>
      <c r="AH94" s="1">
        <f t="shared" si="47"/>
        <v>0</v>
      </c>
      <c r="AI94" s="1">
        <f t="shared" si="47"/>
        <v>0</v>
      </c>
      <c r="AJ94" s="1">
        <f t="shared" si="47"/>
        <v>0</v>
      </c>
      <c r="AK94" s="1">
        <f t="shared" si="47"/>
        <v>0</v>
      </c>
      <c r="AL94" s="1">
        <f t="shared" si="47"/>
        <v>0</v>
      </c>
      <c r="AM94" s="1">
        <f t="shared" si="47"/>
        <v>0</v>
      </c>
      <c r="AN94" s="1">
        <f t="shared" si="47"/>
        <v>0</v>
      </c>
    </row>
    <row r="95" spans="2:41" ht="16.5" thickBot="1" x14ac:dyDescent="0.3">
      <c r="B95" s="70"/>
      <c r="C95" s="430"/>
      <c r="D95" s="754"/>
      <c r="E95" s="754"/>
      <c r="F95" s="754"/>
      <c r="G95" s="754"/>
      <c r="H95" s="754"/>
      <c r="I95" s="443"/>
      <c r="J95" s="9"/>
      <c r="K95" s="9"/>
      <c r="L95" s="42"/>
      <c r="M95" s="44"/>
      <c r="N95" s="49"/>
      <c r="O95" s="9"/>
      <c r="P95" s="9"/>
      <c r="Q95" s="9"/>
      <c r="R95" s="9"/>
      <c r="S95" s="9"/>
      <c r="T95" s="9"/>
      <c r="U95" s="9"/>
    </row>
    <row r="96" spans="2:41" ht="15.75" x14ac:dyDescent="0.25">
      <c r="B96" s="70"/>
      <c r="C96" s="430"/>
      <c r="D96" s="754"/>
      <c r="E96" s="754"/>
      <c r="F96" s="754"/>
      <c r="G96" s="754"/>
      <c r="H96" s="754"/>
      <c r="I96" s="443"/>
      <c r="J96" s="9"/>
      <c r="K96" s="9"/>
      <c r="L96" s="9"/>
      <c r="M96" s="9"/>
      <c r="N96" s="9"/>
      <c r="O96" s="9"/>
      <c r="P96" s="9"/>
      <c r="Q96" s="9"/>
      <c r="R96" s="9"/>
      <c r="S96" s="9"/>
      <c r="T96" s="9"/>
      <c r="U96" s="9"/>
      <c r="AB96" s="1" t="s">
        <v>109</v>
      </c>
      <c r="AD96" s="218">
        <f t="shared" ref="AD96:AO96" si="48">AD16</f>
        <v>0.14000000000000001</v>
      </c>
      <c r="AE96" s="218">
        <f t="shared" si="48"/>
        <v>0.14000000000000001</v>
      </c>
      <c r="AF96" s="218">
        <f t="shared" si="48"/>
        <v>0</v>
      </c>
      <c r="AG96" s="218">
        <f t="shared" si="48"/>
        <v>0</v>
      </c>
      <c r="AH96" s="218">
        <f t="shared" si="48"/>
        <v>0</v>
      </c>
      <c r="AI96" s="218">
        <f t="shared" si="48"/>
        <v>0</v>
      </c>
      <c r="AJ96" s="218">
        <f t="shared" si="48"/>
        <v>0</v>
      </c>
      <c r="AK96" s="218">
        <f t="shared" si="48"/>
        <v>0</v>
      </c>
      <c r="AL96" s="218">
        <f t="shared" si="48"/>
        <v>0</v>
      </c>
      <c r="AM96" s="218">
        <f t="shared" si="48"/>
        <v>0</v>
      </c>
      <c r="AN96" s="218">
        <f t="shared" si="48"/>
        <v>0</v>
      </c>
      <c r="AO96" s="218">
        <f t="shared" si="48"/>
        <v>0</v>
      </c>
    </row>
    <row r="97" spans="2:41" ht="16.5" thickBot="1" x14ac:dyDescent="0.3">
      <c r="B97" s="72"/>
      <c r="C97" s="431"/>
      <c r="D97" s="755"/>
      <c r="E97" s="755"/>
      <c r="F97" s="755"/>
      <c r="G97" s="755"/>
      <c r="H97" s="755"/>
      <c r="I97" s="444"/>
      <c r="J97" s="9"/>
      <c r="K97" s="9"/>
      <c r="L97" s="9"/>
      <c r="M97" s="9"/>
      <c r="N97" s="9"/>
      <c r="O97" s="9"/>
      <c r="P97" s="9"/>
      <c r="Q97" s="9"/>
      <c r="R97" s="9"/>
      <c r="S97" s="9"/>
      <c r="T97" s="9"/>
      <c r="U97" s="9"/>
    </row>
    <row r="98" spans="2:41" ht="15.75" thickBot="1" x14ac:dyDescent="0.25"/>
    <row r="99" spans="2:41" ht="16.5" thickBot="1" x14ac:dyDescent="0.3">
      <c r="B99" s="411" t="s">
        <v>81</v>
      </c>
      <c r="C99" s="445">
        <f>$D$94*C74</f>
        <v>0</v>
      </c>
      <c r="D99" s="445">
        <f t="shared" ref="D99:H99" si="49">$C$94*D74</f>
        <v>0</v>
      </c>
      <c r="E99" s="445">
        <f>$D$94*E74</f>
        <v>0</v>
      </c>
      <c r="F99" s="445">
        <f>$D$94*F74</f>
        <v>0</v>
      </c>
      <c r="G99" s="445">
        <f>$D$94*G74</f>
        <v>0</v>
      </c>
      <c r="H99" s="445">
        <f t="shared" si="49"/>
        <v>0</v>
      </c>
      <c r="I99" s="446"/>
    </row>
    <row r="100" spans="2:41" x14ac:dyDescent="0.2">
      <c r="Y100" s="235" t="s">
        <v>17</v>
      </c>
      <c r="Z100" s="1">
        <f>C35</f>
        <v>262</v>
      </c>
      <c r="AB100" s="1" t="s">
        <v>103</v>
      </c>
      <c r="AD100" s="1" t="str">
        <f t="shared" ref="AD100:AN100" si="50">AD20</f>
        <v>0-40</v>
      </c>
      <c r="AE100" s="1" t="str">
        <f t="shared" si="50"/>
        <v>40-60</v>
      </c>
      <c r="AF100" s="1" t="str">
        <f t="shared" si="50"/>
        <v>60-80</v>
      </c>
      <c r="AG100" s="1">
        <f t="shared" si="50"/>
        <v>0</v>
      </c>
      <c r="AH100" s="1">
        <f t="shared" si="50"/>
        <v>0</v>
      </c>
      <c r="AI100" s="1">
        <f t="shared" si="50"/>
        <v>0</v>
      </c>
      <c r="AJ100" s="1" t="str">
        <f t="shared" si="50"/>
        <v>200-250</v>
      </c>
      <c r="AK100" s="1" t="str">
        <f t="shared" si="50"/>
        <v>250-350</v>
      </c>
      <c r="AL100" s="1" t="str">
        <f t="shared" si="50"/>
        <v>350-450</v>
      </c>
      <c r="AM100" s="1" t="str">
        <f t="shared" si="50"/>
        <v>450-650</v>
      </c>
      <c r="AN100" s="1" t="str">
        <f t="shared" si="50"/>
        <v>650-2000</v>
      </c>
    </row>
    <row r="101" spans="2:41" x14ac:dyDescent="0.2">
      <c r="AD101" s="1">
        <f t="shared" ref="AD101:AO101" si="51">AD13</f>
        <v>0</v>
      </c>
      <c r="AE101" s="1">
        <f t="shared" si="51"/>
        <v>40</v>
      </c>
      <c r="AF101" s="1">
        <f t="shared" si="51"/>
        <v>60</v>
      </c>
      <c r="AG101" s="1">
        <f t="shared" si="51"/>
        <v>0</v>
      </c>
      <c r="AH101" s="1">
        <f t="shared" si="51"/>
        <v>0</v>
      </c>
      <c r="AI101" s="1">
        <f t="shared" si="51"/>
        <v>0</v>
      </c>
      <c r="AJ101" s="1">
        <f t="shared" si="51"/>
        <v>200</v>
      </c>
      <c r="AK101" s="1">
        <f t="shared" si="51"/>
        <v>250</v>
      </c>
      <c r="AL101" s="1">
        <f t="shared" si="51"/>
        <v>350</v>
      </c>
      <c r="AM101" s="1">
        <f t="shared" si="51"/>
        <v>450</v>
      </c>
      <c r="AN101" s="1">
        <f t="shared" si="51"/>
        <v>650</v>
      </c>
      <c r="AO101" s="1">
        <f t="shared" si="51"/>
        <v>2000</v>
      </c>
    </row>
    <row r="102" spans="2:41" x14ac:dyDescent="0.2">
      <c r="Y102" s="235" t="s">
        <v>33</v>
      </c>
      <c r="Z102" s="1">
        <f>SUM(AD102:AO102)</f>
        <v>208071.20779200003</v>
      </c>
      <c r="AB102" s="1" t="s">
        <v>106</v>
      </c>
      <c r="AD102" s="1">
        <f t="shared" ref="AD102:AN102" si="52">IF($Z$100&gt;AD101,(IF($Z$100-AE101&gt;0,(AE101-AD101)*$B$16*AD104,($Z$100-AD101)*$B$16*AD104)),0)</f>
        <v>138714.13852800001</v>
      </c>
      <c r="AE102" s="1">
        <f t="shared" si="52"/>
        <v>69357.069264000005</v>
      </c>
      <c r="AF102" s="1">
        <f t="shared" si="52"/>
        <v>0</v>
      </c>
      <c r="AG102" s="1">
        <f t="shared" si="52"/>
        <v>0</v>
      </c>
      <c r="AH102" s="1">
        <f t="shared" si="52"/>
        <v>0</v>
      </c>
      <c r="AI102" s="1">
        <f t="shared" si="52"/>
        <v>0</v>
      </c>
      <c r="AJ102" s="1">
        <f t="shared" si="52"/>
        <v>0</v>
      </c>
      <c r="AK102" s="1">
        <f t="shared" si="52"/>
        <v>0</v>
      </c>
      <c r="AL102" s="1">
        <f t="shared" si="52"/>
        <v>0</v>
      </c>
      <c r="AM102" s="1">
        <f t="shared" si="52"/>
        <v>0</v>
      </c>
      <c r="AN102" s="1">
        <f t="shared" si="52"/>
        <v>0</v>
      </c>
    </row>
    <row r="104" spans="2:41" ht="15.75" thickBot="1" x14ac:dyDescent="0.25">
      <c r="H104" s="22"/>
      <c r="I104" s="22"/>
      <c r="J104" s="22"/>
      <c r="K104" s="22"/>
      <c r="L104" s="22"/>
      <c r="M104" s="22"/>
      <c r="N104" s="22"/>
      <c r="O104" s="22"/>
      <c r="P104" s="22"/>
      <c r="Q104" s="22"/>
      <c r="R104" s="22"/>
      <c r="S104" s="22"/>
      <c r="T104" s="22"/>
      <c r="U104" s="22"/>
      <c r="V104" s="22"/>
      <c r="W104" s="22"/>
      <c r="AB104" s="1" t="s">
        <v>109</v>
      </c>
      <c r="AD104" s="218">
        <f t="shared" ref="AD104:AO104" si="53">AD16</f>
        <v>0.14000000000000001</v>
      </c>
      <c r="AE104" s="218">
        <f t="shared" si="53"/>
        <v>0.14000000000000001</v>
      </c>
      <c r="AF104" s="218">
        <f t="shared" si="53"/>
        <v>0</v>
      </c>
      <c r="AG104" s="218">
        <f t="shared" si="53"/>
        <v>0</v>
      </c>
      <c r="AH104" s="218">
        <f t="shared" si="53"/>
        <v>0</v>
      </c>
      <c r="AI104" s="218">
        <f t="shared" si="53"/>
        <v>0</v>
      </c>
      <c r="AJ104" s="218">
        <f t="shared" si="53"/>
        <v>0</v>
      </c>
      <c r="AK104" s="218">
        <f t="shared" si="53"/>
        <v>0</v>
      </c>
      <c r="AL104" s="218">
        <f t="shared" si="53"/>
        <v>0</v>
      </c>
      <c r="AM104" s="218">
        <f t="shared" si="53"/>
        <v>0</v>
      </c>
      <c r="AN104" s="218">
        <f t="shared" si="53"/>
        <v>0</v>
      </c>
      <c r="AO104" s="218">
        <f t="shared" si="53"/>
        <v>0</v>
      </c>
    </row>
    <row r="105" spans="2:41" ht="23.25" x14ac:dyDescent="0.35">
      <c r="F105" s="447" t="s">
        <v>8</v>
      </c>
      <c r="G105" s="448"/>
      <c r="H105" s="448"/>
      <c r="I105" s="448" t="s">
        <v>11</v>
      </c>
      <c r="J105" s="448"/>
      <c r="K105" s="448"/>
      <c r="L105" s="448"/>
      <c r="M105" s="448" t="s">
        <v>15</v>
      </c>
      <c r="N105" s="448" t="s">
        <v>16</v>
      </c>
      <c r="O105" s="448"/>
      <c r="P105" s="448"/>
      <c r="Q105" s="448"/>
      <c r="R105" s="448" t="s">
        <v>20</v>
      </c>
      <c r="S105" s="448"/>
      <c r="T105" s="448" t="s">
        <v>22</v>
      </c>
      <c r="U105" s="449"/>
      <c r="V105" s="22"/>
      <c r="W105" s="22"/>
    </row>
    <row r="106" spans="2:41" ht="23.25" x14ac:dyDescent="0.35">
      <c r="F106" s="450">
        <f>I36+C84+C99</f>
        <v>404213.86639570002</v>
      </c>
      <c r="G106" s="451"/>
      <c r="H106" s="451"/>
      <c r="I106" s="451">
        <f>I37+D84+D99</f>
        <v>386161.21142519999</v>
      </c>
      <c r="J106" s="451"/>
      <c r="K106" s="451"/>
      <c r="L106" s="451"/>
      <c r="M106" s="451">
        <f>I39+E84+E99</f>
        <v>280701.59625840001</v>
      </c>
      <c r="N106" s="451">
        <f>I41+F84+F99</f>
        <v>230913.08648719999</v>
      </c>
      <c r="O106" s="451"/>
      <c r="P106" s="451"/>
      <c r="Q106" s="451"/>
      <c r="R106" s="451">
        <f>I40+G84+G99</f>
        <v>76002.717671599996</v>
      </c>
      <c r="S106" s="451"/>
      <c r="T106" s="451">
        <f>I38+H84+H99</f>
        <v>308153.33458199998</v>
      </c>
      <c r="U106" s="452"/>
      <c r="V106" s="22"/>
      <c r="W106" s="22"/>
    </row>
    <row r="107" spans="2:41" ht="24" thickBot="1" x14ac:dyDescent="0.4">
      <c r="F107" s="453"/>
      <c r="G107" s="454"/>
      <c r="H107" s="454"/>
      <c r="I107" s="454"/>
      <c r="J107" s="454"/>
      <c r="K107" s="454"/>
      <c r="L107" s="454"/>
      <c r="M107" s="454"/>
      <c r="N107" s="454"/>
      <c r="O107" s="454"/>
      <c r="P107" s="454"/>
      <c r="Q107" s="454"/>
      <c r="R107" s="454"/>
      <c r="S107" s="454"/>
      <c r="T107" s="454"/>
      <c r="U107" s="455"/>
      <c r="Y107" s="235" t="s">
        <v>19</v>
      </c>
      <c r="Z107" s="1">
        <f>C36</f>
        <v>220</v>
      </c>
      <c r="AB107" s="1" t="s">
        <v>103</v>
      </c>
      <c r="AD107" s="1" t="str">
        <f t="shared" ref="AD107:AN107" si="54">AD20</f>
        <v>0-40</v>
      </c>
      <c r="AE107" s="1" t="str">
        <f t="shared" si="54"/>
        <v>40-60</v>
      </c>
      <c r="AF107" s="1" t="str">
        <f t="shared" si="54"/>
        <v>60-80</v>
      </c>
      <c r="AG107" s="1">
        <f t="shared" si="54"/>
        <v>0</v>
      </c>
      <c r="AH107" s="1">
        <f t="shared" si="54"/>
        <v>0</v>
      </c>
      <c r="AI107" s="1">
        <f t="shared" si="54"/>
        <v>0</v>
      </c>
      <c r="AJ107" s="1" t="str">
        <f t="shared" si="54"/>
        <v>200-250</v>
      </c>
      <c r="AK107" s="1" t="str">
        <f t="shared" si="54"/>
        <v>250-350</v>
      </c>
      <c r="AL107" s="1" t="str">
        <f t="shared" si="54"/>
        <v>350-450</v>
      </c>
      <c r="AM107" s="1" t="str">
        <f t="shared" si="54"/>
        <v>450-650</v>
      </c>
      <c r="AN107" s="1" t="str">
        <f t="shared" si="54"/>
        <v>650-2000</v>
      </c>
    </row>
    <row r="108" spans="2:41" x14ac:dyDescent="0.2">
      <c r="H108" s="22"/>
      <c r="I108" s="22"/>
      <c r="J108" s="22"/>
      <c r="K108" s="22"/>
      <c r="L108" s="22"/>
      <c r="M108" s="22"/>
      <c r="N108" s="22"/>
      <c r="O108" s="22"/>
      <c r="P108" s="22"/>
      <c r="Q108" s="22"/>
      <c r="R108" s="22"/>
      <c r="S108" s="22"/>
      <c r="T108" s="22"/>
      <c r="U108" s="22"/>
      <c r="V108" s="22"/>
      <c r="W108" s="22"/>
      <c r="AD108" s="1">
        <f t="shared" ref="AD108:AO108" si="55">AD13</f>
        <v>0</v>
      </c>
      <c r="AE108" s="1">
        <f t="shared" si="55"/>
        <v>40</v>
      </c>
      <c r="AF108" s="1">
        <f t="shared" si="55"/>
        <v>60</v>
      </c>
      <c r="AG108" s="1">
        <f t="shared" si="55"/>
        <v>0</v>
      </c>
      <c r="AH108" s="1">
        <f t="shared" si="55"/>
        <v>0</v>
      </c>
      <c r="AI108" s="1">
        <f t="shared" si="55"/>
        <v>0</v>
      </c>
      <c r="AJ108" s="1">
        <f t="shared" si="55"/>
        <v>200</v>
      </c>
      <c r="AK108" s="1">
        <f t="shared" si="55"/>
        <v>250</v>
      </c>
      <c r="AL108" s="1">
        <f t="shared" si="55"/>
        <v>350</v>
      </c>
      <c r="AM108" s="1">
        <f t="shared" si="55"/>
        <v>450</v>
      </c>
      <c r="AN108" s="1">
        <f t="shared" si="55"/>
        <v>650</v>
      </c>
      <c r="AO108" s="1">
        <f t="shared" si="55"/>
        <v>2000</v>
      </c>
    </row>
    <row r="109" spans="2:41" x14ac:dyDescent="0.2">
      <c r="Y109" s="235" t="s">
        <v>33</v>
      </c>
      <c r="Z109" s="1">
        <f>SUM(AD109:AO109)</f>
        <v>208071.20779200003</v>
      </c>
      <c r="AB109" s="1" t="s">
        <v>106</v>
      </c>
      <c r="AD109" s="1">
        <f t="shared" ref="AD109:AN109" si="56">IF($Z$107&gt;AD108,(IF($Z$107-AE108&gt;0,(AE108-AD108)*$B$16*AD111,($Z$107-AD108)*$B$16*AD111)),0)</f>
        <v>138714.13852800001</v>
      </c>
      <c r="AE109" s="1">
        <f t="shared" si="56"/>
        <v>69357.069264000005</v>
      </c>
      <c r="AF109" s="1">
        <f t="shared" si="56"/>
        <v>0</v>
      </c>
      <c r="AG109" s="1">
        <f t="shared" si="56"/>
        <v>0</v>
      </c>
      <c r="AH109" s="1">
        <f t="shared" si="56"/>
        <v>0</v>
      </c>
      <c r="AI109" s="1">
        <f t="shared" si="56"/>
        <v>0</v>
      </c>
      <c r="AJ109" s="1">
        <f t="shared" si="56"/>
        <v>0</v>
      </c>
      <c r="AK109" s="1">
        <f t="shared" si="56"/>
        <v>0</v>
      </c>
      <c r="AL109" s="1">
        <f t="shared" si="56"/>
        <v>0</v>
      </c>
      <c r="AM109" s="1">
        <f t="shared" si="56"/>
        <v>0</v>
      </c>
      <c r="AN109" s="1">
        <f t="shared" si="56"/>
        <v>0</v>
      </c>
    </row>
    <row r="111" spans="2:41" x14ac:dyDescent="0.2">
      <c r="AB111" s="1" t="s">
        <v>109</v>
      </c>
      <c r="AD111" s="218">
        <f t="shared" ref="AD111:AO111" si="57">AD16</f>
        <v>0.14000000000000001</v>
      </c>
      <c r="AE111" s="218">
        <f t="shared" si="57"/>
        <v>0.14000000000000001</v>
      </c>
      <c r="AF111" s="218">
        <f t="shared" si="57"/>
        <v>0</v>
      </c>
      <c r="AG111" s="218">
        <f t="shared" si="57"/>
        <v>0</v>
      </c>
      <c r="AH111" s="218">
        <f t="shared" si="57"/>
        <v>0</v>
      </c>
      <c r="AI111" s="218">
        <f t="shared" si="57"/>
        <v>0</v>
      </c>
      <c r="AJ111" s="218">
        <f t="shared" si="57"/>
        <v>0</v>
      </c>
      <c r="AK111" s="218">
        <f t="shared" si="57"/>
        <v>0</v>
      </c>
      <c r="AL111" s="218">
        <f t="shared" si="57"/>
        <v>0</v>
      </c>
      <c r="AM111" s="218">
        <f t="shared" si="57"/>
        <v>0</v>
      </c>
      <c r="AN111" s="218">
        <f t="shared" si="57"/>
        <v>0</v>
      </c>
      <c r="AO111" s="218">
        <f t="shared" si="57"/>
        <v>0</v>
      </c>
    </row>
    <row r="115" spans="7:41" x14ac:dyDescent="0.2">
      <c r="H115" s="22"/>
      <c r="Y115" s="235" t="s">
        <v>10</v>
      </c>
      <c r="Z115" s="1">
        <f>C37</f>
        <v>316</v>
      </c>
      <c r="AB115" s="1" t="s">
        <v>103</v>
      </c>
      <c r="AD115" s="1" t="str">
        <f t="shared" ref="AD115:AN115" si="58">AD20</f>
        <v>0-40</v>
      </c>
      <c r="AE115" s="1" t="str">
        <f t="shared" si="58"/>
        <v>40-60</v>
      </c>
      <c r="AF115" s="1" t="str">
        <f t="shared" si="58"/>
        <v>60-80</v>
      </c>
      <c r="AG115" s="1">
        <f t="shared" si="58"/>
        <v>0</v>
      </c>
      <c r="AH115" s="1">
        <f t="shared" si="58"/>
        <v>0</v>
      </c>
      <c r="AI115" s="1">
        <f t="shared" si="58"/>
        <v>0</v>
      </c>
      <c r="AJ115" s="1" t="str">
        <f t="shared" si="58"/>
        <v>200-250</v>
      </c>
      <c r="AK115" s="1" t="str">
        <f t="shared" si="58"/>
        <v>250-350</v>
      </c>
      <c r="AL115" s="1" t="str">
        <f t="shared" si="58"/>
        <v>350-450</v>
      </c>
      <c r="AM115" s="1" t="str">
        <f t="shared" si="58"/>
        <v>450-650</v>
      </c>
      <c r="AN115" s="1" t="str">
        <f t="shared" si="58"/>
        <v>650-2000</v>
      </c>
    </row>
    <row r="116" spans="7:41" x14ac:dyDescent="0.2">
      <c r="AD116" s="1">
        <f t="shared" ref="AD116:AO116" si="59">AD13</f>
        <v>0</v>
      </c>
      <c r="AE116" s="1">
        <f t="shared" si="59"/>
        <v>40</v>
      </c>
      <c r="AF116" s="1">
        <f t="shared" si="59"/>
        <v>60</v>
      </c>
      <c r="AG116" s="1">
        <f t="shared" si="59"/>
        <v>0</v>
      </c>
      <c r="AH116" s="1">
        <f t="shared" si="59"/>
        <v>0</v>
      </c>
      <c r="AI116" s="1">
        <f t="shared" si="59"/>
        <v>0</v>
      </c>
      <c r="AJ116" s="1">
        <f t="shared" si="59"/>
        <v>200</v>
      </c>
      <c r="AK116" s="1">
        <f t="shared" si="59"/>
        <v>250</v>
      </c>
      <c r="AL116" s="1">
        <f t="shared" si="59"/>
        <v>350</v>
      </c>
      <c r="AM116" s="1">
        <f t="shared" si="59"/>
        <v>450</v>
      </c>
      <c r="AN116" s="1">
        <f t="shared" si="59"/>
        <v>650</v>
      </c>
      <c r="AO116" s="1">
        <f t="shared" si="59"/>
        <v>2000</v>
      </c>
    </row>
    <row r="117" spans="7:41" x14ac:dyDescent="0.2">
      <c r="Y117" s="235" t="s">
        <v>33</v>
      </c>
      <c r="Z117" s="1">
        <f>SUM(AD117:AO117)</f>
        <v>208071.20779200003</v>
      </c>
      <c r="AB117" s="1" t="s">
        <v>106</v>
      </c>
      <c r="AD117" s="1">
        <f t="shared" ref="AD117:AN117" si="60">IF($Z$115&gt;AD116,(IF($Z$115-AE116&gt;0,(AE116-AD116)*$B$16*AD119,($Z$115-AD116)*$B$16*AD119)),0)</f>
        <v>138714.13852800001</v>
      </c>
      <c r="AE117" s="1">
        <f t="shared" si="60"/>
        <v>69357.069264000005</v>
      </c>
      <c r="AF117" s="1">
        <f t="shared" si="60"/>
        <v>0</v>
      </c>
      <c r="AG117" s="1">
        <f t="shared" si="60"/>
        <v>0</v>
      </c>
      <c r="AH117" s="1">
        <f t="shared" si="60"/>
        <v>0</v>
      </c>
      <c r="AI117" s="1">
        <f t="shared" si="60"/>
        <v>0</v>
      </c>
      <c r="AJ117" s="1">
        <f t="shared" si="60"/>
        <v>0</v>
      </c>
      <c r="AK117" s="1">
        <f t="shared" si="60"/>
        <v>0</v>
      </c>
      <c r="AL117" s="1">
        <f t="shared" si="60"/>
        <v>0</v>
      </c>
      <c r="AM117" s="1">
        <f t="shared" si="60"/>
        <v>0</v>
      </c>
      <c r="AN117" s="1">
        <f t="shared" si="60"/>
        <v>0</v>
      </c>
    </row>
    <row r="119" spans="7:41" x14ac:dyDescent="0.2">
      <c r="AB119" s="1" t="s">
        <v>109</v>
      </c>
      <c r="AD119" s="218">
        <f t="shared" ref="AD119:AO119" si="61">AD16</f>
        <v>0.14000000000000001</v>
      </c>
      <c r="AE119" s="218">
        <f t="shared" si="61"/>
        <v>0.14000000000000001</v>
      </c>
      <c r="AF119" s="218">
        <f t="shared" si="61"/>
        <v>0</v>
      </c>
      <c r="AG119" s="218">
        <f t="shared" si="61"/>
        <v>0</v>
      </c>
      <c r="AH119" s="218">
        <f t="shared" si="61"/>
        <v>0</v>
      </c>
      <c r="AI119" s="218">
        <f t="shared" si="61"/>
        <v>0</v>
      </c>
      <c r="AJ119" s="218">
        <f t="shared" si="61"/>
        <v>0</v>
      </c>
      <c r="AK119" s="218">
        <f t="shared" si="61"/>
        <v>0</v>
      </c>
      <c r="AL119" s="218">
        <f t="shared" si="61"/>
        <v>0</v>
      </c>
      <c r="AM119" s="218">
        <f t="shared" si="61"/>
        <v>0</v>
      </c>
      <c r="AN119" s="218">
        <f t="shared" si="61"/>
        <v>0</v>
      </c>
      <c r="AO119" s="218">
        <f t="shared" si="61"/>
        <v>0</v>
      </c>
    </row>
    <row r="122" spans="7:41" x14ac:dyDescent="0.2">
      <c r="H122" s="22"/>
      <c r="I122" s="22"/>
      <c r="J122" s="22"/>
      <c r="K122" s="22"/>
      <c r="L122" s="22"/>
      <c r="M122" s="22"/>
      <c r="N122" s="22"/>
      <c r="O122" s="22"/>
      <c r="P122" s="22"/>
      <c r="Q122" s="22"/>
      <c r="R122" s="22"/>
      <c r="S122" s="22"/>
      <c r="T122" s="22"/>
      <c r="U122" s="22"/>
      <c r="V122" s="22"/>
      <c r="W122" s="22"/>
      <c r="Y122" s="235" t="s">
        <v>14</v>
      </c>
      <c r="Z122" s="1">
        <f>C38</f>
        <v>604</v>
      </c>
      <c r="AB122" s="1" t="s">
        <v>103</v>
      </c>
      <c r="AD122" s="1" t="str">
        <f t="shared" ref="AD122:AN122" si="62">AD20</f>
        <v>0-40</v>
      </c>
      <c r="AE122" s="1" t="str">
        <f t="shared" si="62"/>
        <v>40-60</v>
      </c>
      <c r="AF122" s="1" t="str">
        <f t="shared" si="62"/>
        <v>60-80</v>
      </c>
      <c r="AG122" s="1">
        <f t="shared" si="62"/>
        <v>0</v>
      </c>
      <c r="AH122" s="1">
        <f t="shared" si="62"/>
        <v>0</v>
      </c>
      <c r="AI122" s="1">
        <f t="shared" si="62"/>
        <v>0</v>
      </c>
      <c r="AJ122" s="1" t="str">
        <f t="shared" si="62"/>
        <v>200-250</v>
      </c>
      <c r="AK122" s="1" t="str">
        <f t="shared" si="62"/>
        <v>250-350</v>
      </c>
      <c r="AL122" s="1" t="str">
        <f t="shared" si="62"/>
        <v>350-450</v>
      </c>
      <c r="AM122" s="1" t="str">
        <f t="shared" si="62"/>
        <v>450-650</v>
      </c>
      <c r="AN122" s="1" t="str">
        <f t="shared" si="62"/>
        <v>650-2000</v>
      </c>
    </row>
    <row r="123" spans="7:41" x14ac:dyDescent="0.2">
      <c r="H123" s="22"/>
      <c r="I123" s="22"/>
      <c r="J123" s="22"/>
      <c r="K123" s="22"/>
      <c r="L123" s="22"/>
      <c r="M123" s="22"/>
      <c r="N123" s="22"/>
      <c r="O123" s="22"/>
      <c r="P123" s="22"/>
      <c r="Q123" s="22"/>
      <c r="R123" s="22"/>
      <c r="S123" s="22"/>
      <c r="T123" s="22"/>
      <c r="U123" s="22"/>
      <c r="V123" s="22"/>
      <c r="W123" s="22"/>
      <c r="AD123" s="1">
        <f t="shared" ref="AD123:AO123" si="63">AD13</f>
        <v>0</v>
      </c>
      <c r="AE123" s="1">
        <f t="shared" si="63"/>
        <v>40</v>
      </c>
      <c r="AF123" s="1">
        <f t="shared" si="63"/>
        <v>60</v>
      </c>
      <c r="AG123" s="1">
        <f t="shared" si="63"/>
        <v>0</v>
      </c>
      <c r="AH123" s="1">
        <f t="shared" si="63"/>
        <v>0</v>
      </c>
      <c r="AI123" s="1">
        <f t="shared" si="63"/>
        <v>0</v>
      </c>
      <c r="AJ123" s="1">
        <f t="shared" si="63"/>
        <v>200</v>
      </c>
      <c r="AK123" s="1">
        <f t="shared" si="63"/>
        <v>250</v>
      </c>
      <c r="AL123" s="1">
        <f t="shared" si="63"/>
        <v>350</v>
      </c>
      <c r="AM123" s="1">
        <f t="shared" si="63"/>
        <v>450</v>
      </c>
      <c r="AN123" s="1">
        <f t="shared" si="63"/>
        <v>650</v>
      </c>
      <c r="AO123" s="1">
        <f t="shared" si="63"/>
        <v>2000</v>
      </c>
    </row>
    <row r="124" spans="7:41" x14ac:dyDescent="0.2">
      <c r="Y124" s="235" t="s">
        <v>33</v>
      </c>
      <c r="Z124" s="1">
        <f>SUM(AD124:AO124)</f>
        <v>208071.20779200003</v>
      </c>
      <c r="AB124" s="1" t="s">
        <v>106</v>
      </c>
      <c r="AD124" s="1">
        <f t="shared" ref="AD124:AN124" si="64">IF($Z$122&gt;AD123,(IF($Z$122-AE123&gt;0,(AE123-AD123)*$B$16*AD126,($Z$122-AD123)*$B$16*AD126)),0)</f>
        <v>138714.13852800001</v>
      </c>
      <c r="AE124" s="1">
        <f t="shared" si="64"/>
        <v>69357.069264000005</v>
      </c>
      <c r="AF124" s="1">
        <f t="shared" si="64"/>
        <v>0</v>
      </c>
      <c r="AG124" s="1">
        <f t="shared" si="64"/>
        <v>0</v>
      </c>
      <c r="AH124" s="1">
        <f t="shared" si="64"/>
        <v>0</v>
      </c>
      <c r="AI124" s="1">
        <f t="shared" si="64"/>
        <v>0</v>
      </c>
      <c r="AJ124" s="1">
        <f t="shared" si="64"/>
        <v>0</v>
      </c>
      <c r="AK124" s="1">
        <f t="shared" si="64"/>
        <v>0</v>
      </c>
      <c r="AL124" s="1">
        <f t="shared" si="64"/>
        <v>0</v>
      </c>
      <c r="AM124" s="1">
        <f t="shared" si="64"/>
        <v>0</v>
      </c>
      <c r="AN124" s="1">
        <f t="shared" si="64"/>
        <v>0</v>
      </c>
    </row>
    <row r="125" spans="7:41" x14ac:dyDescent="0.2">
      <c r="G125" s="24"/>
      <c r="H125" s="281"/>
      <c r="I125" s="281"/>
      <c r="J125" s="281"/>
      <c r="K125" s="281"/>
      <c r="L125" s="281"/>
      <c r="M125" s="281"/>
      <c r="N125" s="281"/>
      <c r="O125" s="281"/>
      <c r="P125" s="281"/>
      <c r="Q125" s="281"/>
      <c r="R125" s="281"/>
      <c r="S125" s="281"/>
      <c r="T125" s="281"/>
      <c r="U125" s="281"/>
      <c r="V125" s="281"/>
      <c r="W125" s="281"/>
    </row>
    <row r="126" spans="7:41" x14ac:dyDescent="0.2">
      <c r="H126" s="25"/>
      <c r="I126" s="25"/>
      <c r="J126" s="25"/>
      <c r="K126" s="25"/>
      <c r="L126" s="25"/>
      <c r="M126" s="25"/>
      <c r="N126" s="25"/>
      <c r="O126" s="25"/>
      <c r="P126" s="25"/>
      <c r="Q126" s="25"/>
      <c r="R126" s="25"/>
      <c r="S126" s="25"/>
      <c r="T126" s="25"/>
      <c r="U126" s="25"/>
      <c r="V126" s="25"/>
      <c r="W126" s="25"/>
      <c r="AB126" s="1" t="s">
        <v>109</v>
      </c>
      <c r="AD126" s="218">
        <f t="shared" ref="AD126:AO126" si="65">AD16</f>
        <v>0.14000000000000001</v>
      </c>
      <c r="AE126" s="218">
        <f t="shared" si="65"/>
        <v>0.14000000000000001</v>
      </c>
      <c r="AF126" s="218">
        <f t="shared" si="65"/>
        <v>0</v>
      </c>
      <c r="AG126" s="218">
        <f t="shared" si="65"/>
        <v>0</v>
      </c>
      <c r="AH126" s="218">
        <f t="shared" si="65"/>
        <v>0</v>
      </c>
      <c r="AI126" s="218">
        <f t="shared" si="65"/>
        <v>0</v>
      </c>
      <c r="AJ126" s="218">
        <f t="shared" si="65"/>
        <v>0</v>
      </c>
      <c r="AK126" s="218">
        <f t="shared" si="65"/>
        <v>0</v>
      </c>
      <c r="AL126" s="218">
        <f t="shared" si="65"/>
        <v>0</v>
      </c>
      <c r="AM126" s="218">
        <f t="shared" si="65"/>
        <v>0</v>
      </c>
      <c r="AN126" s="218">
        <f t="shared" si="65"/>
        <v>0</v>
      </c>
      <c r="AO126" s="218">
        <f t="shared" si="65"/>
        <v>0</v>
      </c>
    </row>
    <row r="127" spans="7:41" x14ac:dyDescent="0.2">
      <c r="H127" s="115"/>
      <c r="I127" s="115"/>
      <c r="J127" s="115"/>
      <c r="K127" s="115"/>
      <c r="L127" s="115"/>
      <c r="M127" s="115"/>
      <c r="N127" s="115"/>
      <c r="O127" s="115"/>
      <c r="P127" s="115"/>
      <c r="Q127" s="115"/>
      <c r="R127" s="115"/>
      <c r="S127" s="115"/>
      <c r="T127" s="115"/>
      <c r="U127" s="115"/>
      <c r="V127" s="115"/>
      <c r="W127" s="115"/>
    </row>
    <row r="130" spans="25:41" x14ac:dyDescent="0.2">
      <c r="Y130" s="235" t="s">
        <v>23</v>
      </c>
      <c r="Z130" s="1">
        <f>C39</f>
        <v>1086</v>
      </c>
      <c r="AB130" s="1" t="s">
        <v>103</v>
      </c>
      <c r="AD130" s="1" t="str">
        <f t="shared" ref="AD130:AN130" si="66">AD122</f>
        <v>0-40</v>
      </c>
      <c r="AE130" s="1" t="str">
        <f t="shared" si="66"/>
        <v>40-60</v>
      </c>
      <c r="AF130" s="1" t="str">
        <f t="shared" si="66"/>
        <v>60-80</v>
      </c>
      <c r="AG130" s="1">
        <f t="shared" si="66"/>
        <v>0</v>
      </c>
      <c r="AH130" s="1">
        <f t="shared" si="66"/>
        <v>0</v>
      </c>
      <c r="AI130" s="1">
        <f t="shared" si="66"/>
        <v>0</v>
      </c>
      <c r="AJ130" s="1" t="str">
        <f t="shared" si="66"/>
        <v>200-250</v>
      </c>
      <c r="AK130" s="1" t="str">
        <f t="shared" si="66"/>
        <v>250-350</v>
      </c>
      <c r="AL130" s="1" t="str">
        <f t="shared" si="66"/>
        <v>350-450</v>
      </c>
      <c r="AM130" s="1" t="str">
        <f t="shared" si="66"/>
        <v>450-650</v>
      </c>
      <c r="AN130" s="1" t="str">
        <f t="shared" si="66"/>
        <v>650-2000</v>
      </c>
    </row>
    <row r="131" spans="25:41" x14ac:dyDescent="0.2">
      <c r="AD131" s="1">
        <f t="shared" ref="AD131:AO131" si="67">AD13</f>
        <v>0</v>
      </c>
      <c r="AE131" s="1">
        <f t="shared" si="67"/>
        <v>40</v>
      </c>
      <c r="AF131" s="1">
        <f t="shared" si="67"/>
        <v>60</v>
      </c>
      <c r="AG131" s="1">
        <f t="shared" si="67"/>
        <v>0</v>
      </c>
      <c r="AH131" s="1">
        <f t="shared" si="67"/>
        <v>0</v>
      </c>
      <c r="AI131" s="1">
        <f t="shared" si="67"/>
        <v>0</v>
      </c>
      <c r="AJ131" s="1">
        <f t="shared" si="67"/>
        <v>200</v>
      </c>
      <c r="AK131" s="1">
        <f t="shared" si="67"/>
        <v>250</v>
      </c>
      <c r="AL131" s="1">
        <f t="shared" si="67"/>
        <v>350</v>
      </c>
      <c r="AM131" s="1">
        <f t="shared" si="67"/>
        <v>450</v>
      </c>
      <c r="AN131" s="1">
        <f t="shared" si="67"/>
        <v>650</v>
      </c>
      <c r="AO131" s="1">
        <f t="shared" si="67"/>
        <v>2000</v>
      </c>
    </row>
    <row r="132" spans="25:41" x14ac:dyDescent="0.2">
      <c r="Y132" s="235" t="s">
        <v>33</v>
      </c>
      <c r="Z132" s="1">
        <f>SUM(AD132:AO132)</f>
        <v>208071.20779200003</v>
      </c>
      <c r="AB132" s="1" t="s">
        <v>106</v>
      </c>
      <c r="AD132" s="1">
        <f t="shared" ref="AD132:AN132" si="68">IF($Z$130&gt;AD131,(IF($Z$130-AE131&gt;0,(AE131-AD131)*$B$16*AD134,($Z$130-AD131)*$B$16*AD134)),0)</f>
        <v>138714.13852800001</v>
      </c>
      <c r="AE132" s="1">
        <f t="shared" si="68"/>
        <v>69357.069264000005</v>
      </c>
      <c r="AF132" s="1">
        <f t="shared" si="68"/>
        <v>0</v>
      </c>
      <c r="AG132" s="1">
        <f t="shared" si="68"/>
        <v>0</v>
      </c>
      <c r="AH132" s="1">
        <f t="shared" si="68"/>
        <v>0</v>
      </c>
      <c r="AI132" s="1">
        <f t="shared" si="68"/>
        <v>0</v>
      </c>
      <c r="AJ132" s="1">
        <f t="shared" si="68"/>
        <v>0</v>
      </c>
      <c r="AK132" s="1">
        <f t="shared" si="68"/>
        <v>0</v>
      </c>
      <c r="AL132" s="1">
        <f t="shared" si="68"/>
        <v>0</v>
      </c>
      <c r="AM132" s="1">
        <f t="shared" si="68"/>
        <v>0</v>
      </c>
      <c r="AN132" s="1">
        <f t="shared" si="68"/>
        <v>0</v>
      </c>
    </row>
    <row r="134" spans="25:41" x14ac:dyDescent="0.2">
      <c r="AB134" s="1" t="s">
        <v>109</v>
      </c>
      <c r="AD134" s="218">
        <f t="shared" ref="AD134:AO134" si="69">AD16</f>
        <v>0.14000000000000001</v>
      </c>
      <c r="AE134" s="218">
        <f t="shared" si="69"/>
        <v>0.14000000000000001</v>
      </c>
      <c r="AF134" s="218">
        <f t="shared" si="69"/>
        <v>0</v>
      </c>
      <c r="AG134" s="218">
        <f t="shared" si="69"/>
        <v>0</v>
      </c>
      <c r="AH134" s="218">
        <f t="shared" si="69"/>
        <v>0</v>
      </c>
      <c r="AI134" s="218">
        <f t="shared" si="69"/>
        <v>0</v>
      </c>
      <c r="AJ134" s="218">
        <f t="shared" si="69"/>
        <v>0</v>
      </c>
      <c r="AK134" s="218">
        <f t="shared" si="69"/>
        <v>0</v>
      </c>
      <c r="AL134" s="218">
        <f t="shared" si="69"/>
        <v>0</v>
      </c>
      <c r="AM134" s="218">
        <f t="shared" si="69"/>
        <v>0</v>
      </c>
      <c r="AN134" s="218">
        <f t="shared" si="69"/>
        <v>0</v>
      </c>
      <c r="AO134" s="218">
        <f t="shared" si="69"/>
        <v>0</v>
      </c>
    </row>
    <row r="137" spans="25:41" x14ac:dyDescent="0.2">
      <c r="Y137" s="235" t="s">
        <v>138</v>
      </c>
      <c r="Z137" s="1">
        <f>SUM(Z130+Z122+Z115+Z107+Z100+Z92+Z80+Z72+Z65+Z57+Z50+Z42+Z35+Z27+Z20+Z12)</f>
        <v>3206</v>
      </c>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U70"/>
  <sheetViews>
    <sheetView zoomScale="85" zoomScaleNormal="85" workbookViewId="0">
      <selection activeCell="M9" sqref="M9:M24"/>
    </sheetView>
  </sheetViews>
  <sheetFormatPr defaultColWidth="8.88671875" defaultRowHeight="15" x14ac:dyDescent="0.2"/>
  <cols>
    <col min="1" max="1" width="10.21875" style="1" customWidth="1"/>
    <col min="2" max="2" width="23.44140625" style="1" customWidth="1"/>
    <col min="3" max="3" width="13.33203125" style="1" customWidth="1"/>
    <col min="4" max="4" width="14.109375" style="1" customWidth="1"/>
    <col min="5" max="5" width="10.77734375" style="1" customWidth="1"/>
    <col min="6" max="6" width="12.6640625" style="1" customWidth="1"/>
    <col min="7" max="7" width="13.21875" style="1" customWidth="1"/>
    <col min="8" max="8" width="12.109375" style="1" customWidth="1"/>
    <col min="9" max="9" width="15.33203125" style="1" customWidth="1"/>
    <col min="10" max="10" width="8.88671875" style="1"/>
    <col min="11" max="11" width="12.5546875" style="1" customWidth="1"/>
    <col min="12" max="12" width="8.88671875" style="1"/>
    <col min="13" max="13" width="11.6640625" style="1" customWidth="1"/>
    <col min="14" max="14" width="8.88671875" style="1"/>
    <col min="15" max="15" width="12.33203125" style="1" customWidth="1"/>
    <col min="16" max="17" width="8.88671875" style="1"/>
    <col min="18" max="18" width="11.77734375" style="1" customWidth="1"/>
    <col min="19" max="19" width="9.88671875" style="1" customWidth="1"/>
    <col min="20" max="16384" width="8.88671875" style="1"/>
  </cols>
  <sheetData>
    <row r="5" spans="2:19" x14ac:dyDescent="0.2">
      <c r="I5" s="1" t="str">
        <f>IF(Kontrollpanel!K37=2,"Nettodriftskostnader","Nyckelmodell")</f>
        <v>Nettodriftskostnader</v>
      </c>
      <c r="M5" s="9"/>
      <c r="N5" s="9"/>
      <c r="O5" s="9"/>
      <c r="P5" s="9"/>
      <c r="Q5" s="9"/>
    </row>
    <row r="6" spans="2:19" ht="15.75" thickBot="1" x14ac:dyDescent="0.25">
      <c r="C6" s="288"/>
      <c r="D6" s="288"/>
      <c r="E6" s="288"/>
      <c r="F6" s="288"/>
      <c r="G6" s="288"/>
      <c r="H6" s="288"/>
      <c r="M6" s="9"/>
      <c r="N6" s="9"/>
      <c r="O6" s="9"/>
      <c r="P6" s="9"/>
      <c r="Q6" s="9"/>
    </row>
    <row r="7" spans="2:19" ht="16.5" thickBot="1" x14ac:dyDescent="0.3">
      <c r="B7" s="315" t="s">
        <v>173</v>
      </c>
      <c r="C7" s="317" t="s">
        <v>174</v>
      </c>
      <c r="D7" s="318"/>
      <c r="E7" s="322" t="s">
        <v>177</v>
      </c>
      <c r="F7" s="317"/>
      <c r="G7" s="317"/>
      <c r="H7" s="317"/>
      <c r="I7" s="314"/>
      <c r="J7" s="314"/>
      <c r="K7" s="427" t="s">
        <v>178</v>
      </c>
      <c r="L7" s="320"/>
      <c r="M7" s="425"/>
      <c r="N7" s="320"/>
      <c r="O7" s="427" t="s">
        <v>81</v>
      </c>
      <c r="P7" s="320"/>
      <c r="Q7" s="9"/>
    </row>
    <row r="8" spans="2:19" ht="16.5" thickBot="1" x14ac:dyDescent="0.3">
      <c r="B8" s="316"/>
      <c r="C8" s="319" t="s">
        <v>270</v>
      </c>
      <c r="D8" s="320"/>
      <c r="E8" s="319" t="s">
        <v>175</v>
      </c>
      <c r="F8" s="320"/>
      <c r="G8" s="319" t="s">
        <v>2</v>
      </c>
      <c r="H8" s="321"/>
      <c r="I8" s="319" t="s">
        <v>176</v>
      </c>
      <c r="J8" s="425"/>
      <c r="K8" s="319" t="s">
        <v>179</v>
      </c>
      <c r="L8" s="320"/>
      <c r="M8" s="426" t="s">
        <v>223</v>
      </c>
      <c r="N8" s="321" t="s">
        <v>396</v>
      </c>
      <c r="O8" s="319" t="s">
        <v>224</v>
      </c>
      <c r="P8" s="320"/>
      <c r="Q8" s="9"/>
    </row>
    <row r="9" spans="2:19" ht="16.5" thickBot="1" x14ac:dyDescent="0.3">
      <c r="B9" s="215" t="s">
        <v>8</v>
      </c>
      <c r="C9" s="408"/>
      <c r="D9" s="408">
        <f>Kalkyler!O65</f>
        <v>410760.9170824188</v>
      </c>
      <c r="E9" s="408">
        <f>'B2. Kostnadsutj. skola (2014)'!G69</f>
        <v>203918.72</v>
      </c>
      <c r="F9" s="324"/>
      <c r="G9" s="429">
        <f>'B3. Förslag, socialvård (2014)'!E159</f>
        <v>140367.64000000001</v>
      </c>
      <c r="H9" s="323"/>
      <c r="I9" s="408">
        <f>IF(Kontrollpanel!$K$37=2,'B4. Förslag, utjämning (2014)'!E195,'B. NYCKELMOD. UTJ (2014)'!E194)</f>
        <v>2474.2769475323148</v>
      </c>
      <c r="J9" s="323"/>
      <c r="K9" s="414">
        <f>'B5. Skärgårdstillägg (2014)'!F106</f>
        <v>394249.42989999999</v>
      </c>
      <c r="L9" s="428"/>
      <c r="M9" s="408"/>
      <c r="N9" s="748">
        <f>'B6. Övriga delar (2014)'!F121</f>
        <v>7275.66</v>
      </c>
      <c r="O9" s="408">
        <f>SUM(C9:N9)</f>
        <v>1159046.6439299511</v>
      </c>
      <c r="P9" s="324"/>
      <c r="Q9" s="9"/>
      <c r="R9" s="22">
        <v>-75231.851956512488</v>
      </c>
      <c r="S9" s="22">
        <v>-29313.446270992805</v>
      </c>
    </row>
    <row r="10" spans="2:19" ht="16.5" thickBot="1" x14ac:dyDescent="0.3">
      <c r="B10" s="215" t="s">
        <v>9</v>
      </c>
      <c r="C10" s="409"/>
      <c r="D10" s="408">
        <f>Kalkyler!O66</f>
        <v>1144114.1089025226</v>
      </c>
      <c r="E10" s="409">
        <f>'B2. Kostnadsutj. skola (2014)'!H69</f>
        <v>306757.04000000004</v>
      </c>
      <c r="F10" s="326"/>
      <c r="G10" s="429">
        <f>'B3. Förslag, socialvård (2014)'!E160</f>
        <v>291716.32</v>
      </c>
      <c r="H10" s="325"/>
      <c r="I10" s="408">
        <f>IF(Kontrollpanel!$K$37=2,'B4. Förslag, utjämning (2014)'!E196,'B. NYCKELMOD. UTJ (2014)'!E195)</f>
        <v>240662.69802853587</v>
      </c>
      <c r="J10" s="325"/>
      <c r="K10" s="418"/>
      <c r="L10" s="419"/>
      <c r="M10" s="408"/>
      <c r="N10" s="748">
        <f>'B6. Övriga delar (2014)'!F122</f>
        <v>14673.6</v>
      </c>
      <c r="O10" s="409">
        <f t="shared" ref="O10:O24" si="0">SUM(C10:N10)</f>
        <v>1997923.7669310586</v>
      </c>
      <c r="P10" s="326"/>
      <c r="Q10" s="9"/>
      <c r="R10" s="22">
        <v>237051.41627395409</v>
      </c>
      <c r="S10" s="22">
        <v>115564.62563137198</v>
      </c>
    </row>
    <row r="11" spans="2:19" ht="16.5" thickBot="1" x14ac:dyDescent="0.3">
      <c r="B11" s="215" t="s">
        <v>10</v>
      </c>
      <c r="C11" s="409"/>
      <c r="D11" s="408">
        <f>Kalkyler!O67</f>
        <v>2446470.993142772</v>
      </c>
      <c r="E11" s="409">
        <f>'B2. Kostnadsutj. skola (2014)'!I69</f>
        <v>387566.42500000005</v>
      </c>
      <c r="F11" s="326"/>
      <c r="G11" s="429">
        <f>'B3. Förslag, socialvård (2014)'!E161</f>
        <v>709338.28</v>
      </c>
      <c r="H11" s="325"/>
      <c r="I11" s="408">
        <f>IF(Kontrollpanel!$K$37=2,'B4. Förslag, utjämning (2014)'!E197,'B. NYCKELMOD. UTJ (2014)'!E196)</f>
        <v>146143.64682185609</v>
      </c>
      <c r="J11" s="325"/>
      <c r="K11" s="418"/>
      <c r="L11" s="419"/>
      <c r="M11" s="408"/>
      <c r="N11" s="748">
        <f>'B6. Övriga delar (2014)'!F123</f>
        <v>38686.334999999999</v>
      </c>
      <c r="O11" s="409">
        <f t="shared" si="0"/>
        <v>3728205.6799646285</v>
      </c>
      <c r="P11" s="326"/>
      <c r="Q11" s="9"/>
      <c r="R11" s="22">
        <v>-116737.23809805815</v>
      </c>
      <c r="S11" s="22">
        <v>-124563.98165743053</v>
      </c>
    </row>
    <row r="12" spans="2:19" ht="16.5" thickBot="1" x14ac:dyDescent="0.3">
      <c r="B12" s="215" t="s">
        <v>11</v>
      </c>
      <c r="C12" s="409"/>
      <c r="D12" s="408">
        <f>Kalkyler!O68</f>
        <v>509672.58422660211</v>
      </c>
      <c r="E12" s="409">
        <f>'B2. Kostnadsutj. skola (2014)'!J69</f>
        <v>265885.40000000002</v>
      </c>
      <c r="F12" s="326"/>
      <c r="G12" s="429">
        <f>'B3. Förslag, socialvård (2014)'!E162</f>
        <v>183504.44000000003</v>
      </c>
      <c r="H12" s="325"/>
      <c r="I12" s="408">
        <f>IF(Kontrollpanel!$K$37=2,'B4. Förslag, utjämning (2014)'!E198,'B. NYCKELMOD. UTJ (2014)'!E197)</f>
        <v>29013.031990427262</v>
      </c>
      <c r="J12" s="325"/>
      <c r="K12" s="414">
        <f>'B5. Skärgårdstillägg (2014)'!I106</f>
        <v>378118.21799999999</v>
      </c>
      <c r="L12" s="428"/>
      <c r="M12" s="408"/>
      <c r="N12" s="748">
        <f>'B6. Övriga delar (2014)'!F124</f>
        <v>8834.73</v>
      </c>
      <c r="O12" s="409">
        <f t="shared" si="0"/>
        <v>1375028.4042170295</v>
      </c>
      <c r="P12" s="326"/>
      <c r="Q12" s="9"/>
      <c r="R12" s="22">
        <v>-35252.383544143115</v>
      </c>
      <c r="S12" s="22">
        <v>-26129.714607216883</v>
      </c>
    </row>
    <row r="13" spans="2:19" ht="16.5" thickBot="1" x14ac:dyDescent="0.3">
      <c r="B13" s="215" t="s">
        <v>12</v>
      </c>
      <c r="C13" s="409"/>
      <c r="D13" s="408">
        <f>Kalkyler!O69</f>
        <v>789770.99889887834</v>
      </c>
      <c r="E13" s="409">
        <f>'B2. Kostnadsutj. skola (2014)'!K69</f>
        <v>234682.32</v>
      </c>
      <c r="F13" s="326"/>
      <c r="G13" s="429">
        <f>'B3. Förslag, socialvård (2014)'!E163</f>
        <v>155993.74</v>
      </c>
      <c r="H13" s="325"/>
      <c r="I13" s="408">
        <f>IF(Kontrollpanel!$K$37=2,'B4. Förslag, utjämning (2014)'!E199,'B. NYCKELMOD. UTJ (2014)'!E198)</f>
        <v>239734.51176797543</v>
      </c>
      <c r="J13" s="325"/>
      <c r="K13" s="418"/>
      <c r="L13" s="419"/>
      <c r="M13" s="408"/>
      <c r="N13" s="748">
        <f>'B6. Övriga delar (2014)'!F125</f>
        <v>7566.0749999999998</v>
      </c>
      <c r="O13" s="409">
        <f t="shared" si="0"/>
        <v>1427747.6456668538</v>
      </c>
      <c r="P13" s="326"/>
      <c r="Q13" s="9"/>
      <c r="R13" s="22">
        <v>296966.79346419056</v>
      </c>
      <c r="S13" s="22">
        <v>-20297.90538093826</v>
      </c>
    </row>
    <row r="14" spans="2:19" ht="16.5" thickBot="1" x14ac:dyDescent="0.3">
      <c r="B14" s="215" t="s">
        <v>13</v>
      </c>
      <c r="C14" s="409"/>
      <c r="D14" s="408">
        <f>Kalkyler!O70</f>
        <v>1646141.5077582325</v>
      </c>
      <c r="E14" s="409">
        <f>'B2. Kostnadsutj. skola (2014)'!L69</f>
        <v>351309.32500000001</v>
      </c>
      <c r="F14" s="326"/>
      <c r="G14" s="429">
        <f>'B3. Förslag, socialvård (2014)'!E164</f>
        <v>422968.70000000007</v>
      </c>
      <c r="H14" s="325"/>
      <c r="I14" s="408">
        <f>IF(Kontrollpanel!$K$37=2,'B4. Förslag, utjämning (2014)'!E200,'B. NYCKELMOD. UTJ (2014)'!E199)</f>
        <v>115455.17331716092</v>
      </c>
      <c r="J14" s="325"/>
      <c r="K14" s="418"/>
      <c r="L14" s="419"/>
      <c r="M14" s="408"/>
      <c r="N14" s="748">
        <f>'B6. Övriga delar (2014)'!F126</f>
        <v>23263.77</v>
      </c>
      <c r="O14" s="409">
        <f t="shared" si="0"/>
        <v>2559138.4760753936</v>
      </c>
      <c r="P14" s="326"/>
      <c r="Q14" s="9"/>
      <c r="R14" s="22">
        <v>-48541.631008079858</v>
      </c>
      <c r="S14" s="22">
        <v>-81271.066305681248</v>
      </c>
    </row>
    <row r="15" spans="2:19" ht="16.5" thickBot="1" x14ac:dyDescent="0.3">
      <c r="B15" s="215" t="s">
        <v>14</v>
      </c>
      <c r="C15" s="409"/>
      <c r="D15" s="408">
        <f>Kalkyler!O71</f>
        <v>2937508.5770745589</v>
      </c>
      <c r="E15" s="409">
        <f>'B2. Kostnadsutj. skola (2014)'!M69</f>
        <v>461179.32500000001</v>
      </c>
      <c r="F15" s="326"/>
      <c r="G15" s="429">
        <f>'B3. Förslag, socialvård (2014)'!E165</f>
        <v>1133357.1200000001</v>
      </c>
      <c r="H15" s="325"/>
      <c r="I15" s="408">
        <f>IF(Kontrollpanel!$K$37=2,'B4. Förslag, utjämning (2014)'!E201,'B. NYCKELMOD. UTJ (2014)'!E200)</f>
        <v>-292928.94225773407</v>
      </c>
      <c r="J15" s="325"/>
      <c r="K15" s="418"/>
      <c r="L15" s="419"/>
      <c r="M15" s="408"/>
      <c r="N15" s="748">
        <f>'B6. Övriga delar (2014)'!F127</f>
        <v>66566.175000000003</v>
      </c>
      <c r="O15" s="409">
        <f t="shared" si="0"/>
        <v>4305682.2548168255</v>
      </c>
      <c r="P15" s="326"/>
      <c r="Q15" s="9"/>
      <c r="R15" s="22">
        <v>-1054024.381623588</v>
      </c>
      <c r="S15" s="22">
        <v>-696793.34875417734</v>
      </c>
    </row>
    <row r="16" spans="2:19" ht="16.5" thickBot="1" x14ac:dyDescent="0.3">
      <c r="B16" s="215" t="s">
        <v>15</v>
      </c>
      <c r="C16" s="409"/>
      <c r="D16" s="408">
        <f>Kalkyler!O72</f>
        <v>319857.47542924754</v>
      </c>
      <c r="E16" s="409">
        <f>'B2. Kostnadsutj. skola (2014)'!N69</f>
        <v>118659.6</v>
      </c>
      <c r="F16" s="326"/>
      <c r="G16" s="429">
        <f>'B3. Förslag, socialvård (2014)'!E166</f>
        <v>120657.04000000001</v>
      </c>
      <c r="H16" s="325"/>
      <c r="I16" s="408">
        <f>IF(Kontrollpanel!$K$37=2,'B4. Förslag, utjämning (2014)'!E202,'B. NYCKELMOD. UTJ (2014)'!E201)</f>
        <v>-43691.456900975521</v>
      </c>
      <c r="J16" s="325"/>
      <c r="K16" s="414">
        <f>'B5. Skärgårdstillägg (2014)'!M106</f>
        <v>285094.68640000001</v>
      </c>
      <c r="L16" s="428"/>
      <c r="M16" s="408"/>
      <c r="N16" s="748">
        <f>'B6. Övriga delar (2014)'!F128</f>
        <v>5166.33</v>
      </c>
      <c r="O16" s="409">
        <f t="shared" si="0"/>
        <v>805743.67492827203</v>
      </c>
      <c r="P16" s="326"/>
      <c r="Q16" s="9"/>
      <c r="R16" s="22">
        <v>-107140.2130800795</v>
      </c>
      <c r="S16" s="22">
        <v>6044.158551546192</v>
      </c>
    </row>
    <row r="17" spans="2:21" ht="16.5" thickBot="1" x14ac:dyDescent="0.3">
      <c r="B17" s="215" t="s">
        <v>16</v>
      </c>
      <c r="C17" s="409"/>
      <c r="D17" s="408">
        <f>Kalkyler!O73</f>
        <v>301333.25554141926</v>
      </c>
      <c r="E17" s="409">
        <f>'B2. Kostnadsutj. skola (2014)'!O69</f>
        <v>128547.90000000001</v>
      </c>
      <c r="F17" s="326"/>
      <c r="G17" s="429">
        <f>'B3. Förslag, socialvård (2014)'!E167</f>
        <v>69072.78</v>
      </c>
      <c r="H17" s="325"/>
      <c r="I17" s="408">
        <f>IF(Kontrollpanel!$K$37=2,'B4. Förslag, utjämning (2014)'!E203,'B. NYCKELMOD. UTJ (2014)'!E202)</f>
        <v>-55057.094153087601</v>
      </c>
      <c r="J17" s="325"/>
      <c r="K17" s="410">
        <f>'B5. Skärgårdstillägg (2014)'!N106</f>
        <v>220796.84359999999</v>
      </c>
      <c r="L17" s="328"/>
      <c r="M17" s="408"/>
      <c r="N17" s="748">
        <f>'B6. Övriga delar (2014)'!F129</f>
        <v>3744.8249999999998</v>
      </c>
      <c r="O17" s="409">
        <f t="shared" si="0"/>
        <v>668438.5099883317</v>
      </c>
      <c r="P17" s="326"/>
      <c r="Q17" s="9"/>
      <c r="R17" s="22">
        <v>-127205.81083802189</v>
      </c>
      <c r="S17" s="22">
        <v>-29448.309505478217</v>
      </c>
    </row>
    <row r="18" spans="2:21" ht="16.5" thickBot="1" x14ac:dyDescent="0.3">
      <c r="B18" s="215" t="s">
        <v>17</v>
      </c>
      <c r="C18" s="409"/>
      <c r="D18" s="408">
        <f>Kalkyler!O74</f>
        <v>1484132.7059359502</v>
      </c>
      <c r="E18" s="409">
        <f>'B2. Kostnadsutj. skola (2014)'!P69</f>
        <v>376579.42500000005</v>
      </c>
      <c r="F18" s="326"/>
      <c r="G18" s="429">
        <f>'B3. Förslag, socialvård (2014)'!E168</f>
        <v>417030.04000000004</v>
      </c>
      <c r="H18" s="325"/>
      <c r="I18" s="408">
        <f>IF(Kontrollpanel!$K$37=2,'B4. Förslag, utjämning (2014)'!E204,'B. NYCKELMOD. UTJ (2014)'!E203)</f>
        <v>188511.63830918359</v>
      </c>
      <c r="J18" s="325"/>
      <c r="K18" s="418"/>
      <c r="L18" s="419"/>
      <c r="M18" s="408"/>
      <c r="N18" s="748">
        <f>'B6. Övriga delar (2014)'!F130</f>
        <v>28781.654999999999</v>
      </c>
      <c r="O18" s="409">
        <f t="shared" si="0"/>
        <v>2495035.4642451336</v>
      </c>
      <c r="P18" s="326"/>
      <c r="Q18" s="9"/>
      <c r="R18" s="22">
        <v>30516.605072126724</v>
      </c>
      <c r="S18" s="22">
        <v>-343897.60339692864</v>
      </c>
    </row>
    <row r="19" spans="2:21" ht="16.5" thickBot="1" x14ac:dyDescent="0.3">
      <c r="B19" s="215" t="s">
        <v>18</v>
      </c>
      <c r="C19" s="409"/>
      <c r="D19" s="408">
        <f>Kalkyler!O75</f>
        <v>319158.12392293836</v>
      </c>
      <c r="E19" s="409">
        <f>'B2. Kostnadsutj. skola (2014)'!Q69</f>
        <v>222376.88</v>
      </c>
      <c r="F19" s="326"/>
      <c r="G19" s="429">
        <f>'B3. Förslag, socialvård (2014)'!E169</f>
        <v>100788.66</v>
      </c>
      <c r="H19" s="325"/>
      <c r="I19" s="408">
        <f>IF(Kontrollpanel!$K$37=2,'B4. Förslag, utjämning (2014)'!E205,'B. NYCKELMOD. UTJ (2014)'!E204)</f>
        <v>1497.1532473256957</v>
      </c>
      <c r="J19" s="325"/>
      <c r="K19" s="418"/>
      <c r="L19" s="419"/>
      <c r="M19" s="408"/>
      <c r="N19" s="748">
        <f>'B6. Övriga delar (2014)'!F131</f>
        <v>5991.72</v>
      </c>
      <c r="O19" s="409">
        <f t="shared" si="0"/>
        <v>649812.53717026406</v>
      </c>
      <c r="P19" s="326"/>
      <c r="Q19" s="9"/>
      <c r="R19" s="22">
        <v>-59664.500181902782</v>
      </c>
      <c r="S19" s="22">
        <v>-74196.959761411184</v>
      </c>
    </row>
    <row r="20" spans="2:21" ht="16.5" thickBot="1" x14ac:dyDescent="0.3">
      <c r="B20" s="215" t="s">
        <v>19</v>
      </c>
      <c r="C20" s="409"/>
      <c r="D20" s="408">
        <f>Kalkyler!O76</f>
        <v>1560729.6057309525</v>
      </c>
      <c r="E20" s="409">
        <f>'B2. Kostnadsutj. skola (2014)'!R69</f>
        <v>360373.60000000003</v>
      </c>
      <c r="F20" s="326"/>
      <c r="G20" s="429">
        <f>'B3. Förslag, socialvård (2014)'!E170</f>
        <v>532317.38</v>
      </c>
      <c r="H20" s="325"/>
      <c r="I20" s="408">
        <f>IF(Kontrollpanel!$K$37=2,'B4. Förslag, utjämning (2014)'!E206,'B. NYCKELMOD. UTJ (2014)'!E205)</f>
        <v>-226522.10068762556</v>
      </c>
      <c r="J20" s="325"/>
      <c r="K20" s="418"/>
      <c r="L20" s="419"/>
      <c r="M20" s="408"/>
      <c r="N20" s="748">
        <f>'B6. Övriga delar (2014)'!F132</f>
        <v>27864.555</v>
      </c>
      <c r="O20" s="409">
        <f t="shared" si="0"/>
        <v>2254763.0400433275</v>
      </c>
      <c r="P20" s="326"/>
      <c r="Q20" s="9"/>
      <c r="R20" s="22">
        <v>-614172.77530352375</v>
      </c>
      <c r="S20" s="22">
        <v>-96969.425880959257</v>
      </c>
    </row>
    <row r="21" spans="2:21" ht="16.5" thickBot="1" x14ac:dyDescent="0.3">
      <c r="B21" s="215" t="s">
        <v>20</v>
      </c>
      <c r="C21" s="409"/>
      <c r="D21" s="408">
        <f>Kalkyler!O77</f>
        <v>79358.779253204964</v>
      </c>
      <c r="E21" s="409">
        <f>'B2. Kostnadsutj. skola (2014)'!S69</f>
        <v>39553.200000000004</v>
      </c>
      <c r="F21" s="326"/>
      <c r="G21" s="429">
        <f>'B3. Förslag, socialvård (2014)'!E171</f>
        <v>45100.3</v>
      </c>
      <c r="H21" s="325"/>
      <c r="I21" s="408">
        <f>IF(Kontrollpanel!$K$37=2,'B4. Förslag, utjämning (2014)'!E207,'B. NYCKELMOD. UTJ (2014)'!E206)</f>
        <v>-31672.828001595462</v>
      </c>
      <c r="J21" s="325"/>
      <c r="K21" s="414">
        <f>'B5. Skärgårdstillägg (2014)'!R106</f>
        <v>102004.8288</v>
      </c>
      <c r="L21" s="428"/>
      <c r="M21" s="408"/>
      <c r="N21" s="748">
        <f>'B6. Övriga delar (2014)'!F133</f>
        <v>1543.7850000000001</v>
      </c>
      <c r="O21" s="409">
        <f t="shared" si="0"/>
        <v>235888.06505160956</v>
      </c>
      <c r="P21" s="326"/>
      <c r="Q21" s="9"/>
      <c r="R21" s="22">
        <v>-64200.301307161892</v>
      </c>
      <c r="S21" s="22">
        <v>11222.55892381235</v>
      </c>
    </row>
    <row r="22" spans="2:21" ht="16.5" thickBot="1" x14ac:dyDescent="0.3">
      <c r="B22" s="215" t="s">
        <v>21</v>
      </c>
      <c r="C22" s="409"/>
      <c r="D22" s="408">
        <f>Kalkyler!O78</f>
        <v>1129622.7532760482</v>
      </c>
      <c r="E22" s="409">
        <f>'B2. Kostnadsutj. skola (2014)'!T69</f>
        <v>324775.72000000003</v>
      </c>
      <c r="F22" s="326"/>
      <c r="G22" s="429">
        <f>'B3. Förslag, socialvård (2014)'!E172</f>
        <v>276172.12</v>
      </c>
      <c r="H22" s="325"/>
      <c r="I22" s="408">
        <f>IF(Kontrollpanel!$K$37=2,'B4. Förslag, utjämning (2014)'!E208,'B. NYCKELMOD. UTJ (2014)'!E207)</f>
        <v>359960.42672874243</v>
      </c>
      <c r="J22" s="325"/>
      <c r="K22" s="418"/>
      <c r="L22" s="419"/>
      <c r="M22" s="408"/>
      <c r="N22" s="748">
        <f>'B6. Övriga delar (2014)'!F134</f>
        <v>15819.975</v>
      </c>
      <c r="O22" s="409">
        <f t="shared" si="0"/>
        <v>2106350.9950047904</v>
      </c>
      <c r="P22" s="326"/>
      <c r="Q22" s="9"/>
      <c r="R22" s="22">
        <v>388839.75029400561</v>
      </c>
      <c r="S22" s="22">
        <v>-142908.48364144005</v>
      </c>
    </row>
    <row r="23" spans="2:21" ht="16.5" thickBot="1" x14ac:dyDescent="0.3">
      <c r="B23" s="215" t="s">
        <v>22</v>
      </c>
      <c r="C23" s="409"/>
      <c r="D23" s="408">
        <f>Kalkyler!O79</f>
        <v>598279.0669171937</v>
      </c>
      <c r="E23" s="409">
        <f>'B2. Kostnadsutj. skola (2014)'!U69</f>
        <v>213147.8</v>
      </c>
      <c r="F23" s="326"/>
      <c r="G23" s="429">
        <f>'B3. Förslag, socialvård (2014)'!E173</f>
        <v>149995.58000000002</v>
      </c>
      <c r="H23" s="325"/>
      <c r="I23" s="408">
        <f>IF(Kontrollpanel!$K$37=2,'B4. Förslag, utjämning (2014)'!E209,'B. NYCKELMOD. UTJ (2014)'!E208)</f>
        <v>119541.94400844831</v>
      </c>
      <c r="J23" s="325"/>
      <c r="K23" s="414">
        <f>'B5. Skärgårdstillägg (2014)'!T106</f>
        <v>309914.07750000001</v>
      </c>
      <c r="L23" s="428"/>
      <c r="M23" s="408"/>
      <c r="N23" s="748">
        <f>'B6. Övriga delar (2014)'!F135</f>
        <v>6450.27</v>
      </c>
      <c r="O23" s="409">
        <f t="shared" si="0"/>
        <v>1397328.7384256423</v>
      </c>
      <c r="P23" s="326"/>
      <c r="Q23" s="9"/>
      <c r="R23" s="22">
        <v>122577.20991158683</v>
      </c>
      <c r="S23" s="22">
        <v>53795.949325267575</v>
      </c>
    </row>
    <row r="24" spans="2:21" ht="16.5" thickBot="1" x14ac:dyDescent="0.3">
      <c r="B24" s="216" t="s">
        <v>23</v>
      </c>
      <c r="C24" s="409"/>
      <c r="D24" s="408">
        <f>Kalkyler!O80</f>
        <v>0</v>
      </c>
      <c r="E24" s="410">
        <f>'B2. Kostnadsutj. skola (2014)'!V69</f>
        <v>604285</v>
      </c>
      <c r="F24" s="328"/>
      <c r="G24" s="429">
        <f>'B3. Förslag, socialvård (2014)'!E174</f>
        <v>2975097.4400000004</v>
      </c>
      <c r="H24" s="327"/>
      <c r="I24" s="408">
        <f>IF(Kontrollpanel!$K$37=2,'B4. Förslag, utjämning (2014)'!E210,'B. NYCKELMOD. UTJ (2014)'!E209)</f>
        <v>1827180.4952338324</v>
      </c>
      <c r="J24" s="327"/>
      <c r="K24" s="418"/>
      <c r="L24" s="419"/>
      <c r="M24" s="408"/>
      <c r="N24" s="748">
        <f>'B6. Övriga delar (2014)'!F136+'B6. Övriga delar (2014)'!G136</f>
        <v>272171.63919999998</v>
      </c>
      <c r="O24" s="410">
        <f t="shared" si="0"/>
        <v>5678734.5744338334</v>
      </c>
      <c r="P24" s="326"/>
      <c r="Q24" s="9"/>
      <c r="R24" s="22">
        <v>1226219.3119252101</v>
      </c>
      <c r="S24" s="22">
        <v>1479162.9527306585</v>
      </c>
    </row>
    <row r="25" spans="2:21" ht="16.5" thickBot="1" x14ac:dyDescent="0.3">
      <c r="B25" s="411" t="s">
        <v>81</v>
      </c>
      <c r="C25" s="414"/>
      <c r="D25" s="408">
        <f>Kalkyler!O81</f>
        <v>15676911.453092942</v>
      </c>
      <c r="E25" s="412">
        <f>SUM(E9:E24)</f>
        <v>4599597.6800000006</v>
      </c>
      <c r="F25" s="328"/>
      <c r="G25" s="412">
        <f>SUM(G9:G24)</f>
        <v>7723477.580000001</v>
      </c>
      <c r="H25" s="327"/>
      <c r="I25" s="408">
        <f>IF(Kontrollpanel!$K$37=2,'B4. Förslag, utjämning (2014)'!E211,'B. NYCKELMOD. UTJ (2014)'!E210)</f>
        <v>2620302.5744000021</v>
      </c>
      <c r="J25" s="327"/>
      <c r="K25" s="414">
        <f>SUM(K23,K21,K16,K17,K12,K9)</f>
        <v>1690178.0841999999</v>
      </c>
      <c r="L25" s="428"/>
      <c r="M25" s="681">
        <f>SUM(M9:M24)</f>
        <v>0</v>
      </c>
      <c r="N25" s="681">
        <f>SUM(N9:N24)</f>
        <v>534401.09920000006</v>
      </c>
      <c r="O25" s="412">
        <f>SUM(C25:N25)</f>
        <v>32844868.470892943</v>
      </c>
      <c r="P25" s="428"/>
      <c r="Q25" s="9"/>
      <c r="R25" s="1" t="s">
        <v>225</v>
      </c>
      <c r="S25" s="9"/>
      <c r="T25" s="9"/>
      <c r="U25" s="9"/>
    </row>
    <row r="26" spans="2:21" ht="15.75" thickBot="1" x14ac:dyDescent="0.25">
      <c r="D26" s="408">
        <v>7943070.6296497602</v>
      </c>
      <c r="E26" s="412">
        <v>7769450.7843258139</v>
      </c>
      <c r="F26" s="328"/>
      <c r="G26" s="412">
        <v>13031074.109819949</v>
      </c>
      <c r="H26" s="327"/>
      <c r="I26" s="410">
        <v>0</v>
      </c>
      <c r="J26" s="327"/>
      <c r="K26" s="414">
        <v>1377143.375061912</v>
      </c>
      <c r="L26" s="428"/>
      <c r="M26" s="681">
        <v>258236.97991240845</v>
      </c>
      <c r="N26" s="681">
        <v>940189.77359999996</v>
      </c>
      <c r="O26" s="412">
        <v>31319165.652369842</v>
      </c>
      <c r="P26" s="9"/>
      <c r="Q26" s="9"/>
      <c r="S26" s="9"/>
      <c r="T26" s="9"/>
      <c r="U26" s="9"/>
    </row>
    <row r="27" spans="2:21" ht="15.75" thickBot="1" x14ac:dyDescent="0.25">
      <c r="M27" s="9"/>
      <c r="N27" s="9"/>
      <c r="O27" s="9"/>
      <c r="P27" s="9"/>
      <c r="Q27" s="9"/>
      <c r="R27" s="9"/>
      <c r="S27" s="9"/>
      <c r="T27" s="9"/>
      <c r="U27" s="9"/>
    </row>
    <row r="28" spans="2:21" ht="15.75" x14ac:dyDescent="0.25">
      <c r="B28" s="348" t="s">
        <v>187</v>
      </c>
      <c r="C28" s="477" t="s">
        <v>218</v>
      </c>
      <c r="D28" s="478"/>
      <c r="E28" s="466" t="s">
        <v>230</v>
      </c>
      <c r="F28" s="466"/>
      <c r="G28" s="466"/>
      <c r="H28" s="473"/>
      <c r="I28" s="1423" t="s">
        <v>571</v>
      </c>
      <c r="J28" s="1423"/>
      <c r="K28" s="338" t="s">
        <v>219</v>
      </c>
      <c r="L28" s="340"/>
      <c r="M28" s="338" t="s">
        <v>219</v>
      </c>
      <c r="N28" s="415"/>
      <c r="O28" s="338" t="s">
        <v>219</v>
      </c>
      <c r="P28" s="340"/>
      <c r="Q28" s="6"/>
      <c r="R28" s="483"/>
      <c r="S28" s="9"/>
      <c r="T28" s="9"/>
      <c r="U28" s="9"/>
    </row>
    <row r="29" spans="2:21" ht="31.5" customHeight="1" thickBot="1" x14ac:dyDescent="0.3">
      <c r="B29" s="356" t="s">
        <v>570</v>
      </c>
      <c r="C29" s="458" t="s">
        <v>217</v>
      </c>
      <c r="D29" s="476"/>
      <c r="E29" s="423" t="s">
        <v>227</v>
      </c>
      <c r="F29" s="423" t="s">
        <v>228</v>
      </c>
      <c r="G29" s="423" t="s">
        <v>229</v>
      </c>
      <c r="H29" s="479" t="s">
        <v>81</v>
      </c>
      <c r="I29" s="1424"/>
      <c r="J29" s="1424"/>
      <c r="K29" s="343" t="s">
        <v>221</v>
      </c>
      <c r="L29" s="342"/>
      <c r="M29" s="343" t="s">
        <v>220</v>
      </c>
      <c r="N29" s="417"/>
      <c r="O29" s="343" t="s">
        <v>222</v>
      </c>
      <c r="P29" s="342"/>
      <c r="Q29" s="6"/>
      <c r="R29" s="487" t="s">
        <v>512</v>
      </c>
      <c r="S29" s="9"/>
      <c r="T29" s="9"/>
      <c r="U29" s="9"/>
    </row>
    <row r="30" spans="2:21" ht="15.75" x14ac:dyDescent="0.25">
      <c r="B30" s="456" t="s">
        <v>8</v>
      </c>
      <c r="C30" s="460">
        <f>O9</f>
        <v>1159046.6439299511</v>
      </c>
      <c r="D30" s="331"/>
      <c r="E30" s="464">
        <v>351676.10343388136</v>
      </c>
      <c r="F30" s="464">
        <v>501633.59155000007</v>
      </c>
      <c r="G30" s="464">
        <v>92349.320699999997</v>
      </c>
      <c r="H30" s="480">
        <f>SUM(E30:G30)</f>
        <v>945659.01568388147</v>
      </c>
      <c r="I30" s="480">
        <v>1166752.652</v>
      </c>
      <c r="J30" s="480">
        <f>I30/R30</f>
        <v>2451.1610336134454</v>
      </c>
      <c r="K30" s="468">
        <f>C30-I30</f>
        <v>-7706.0080700488761</v>
      </c>
      <c r="L30" s="415"/>
      <c r="M30" s="468">
        <f>(C30/R30)-(I30/R30)</f>
        <v>-16.189092584136233</v>
      </c>
      <c r="N30" s="415"/>
      <c r="O30" s="472">
        <f>C30/I30</f>
        <v>0.99339533700065774</v>
      </c>
      <c r="P30" s="340"/>
      <c r="Q30" s="456" t="s">
        <v>8</v>
      </c>
      <c r="R30" s="483">
        <v>476</v>
      </c>
      <c r="S30" s="9"/>
    </row>
    <row r="31" spans="2:21" ht="15.75" x14ac:dyDescent="0.25">
      <c r="B31" s="456" t="s">
        <v>9</v>
      </c>
      <c r="C31" s="461">
        <f t="shared" ref="C31:C45" si="1">O10</f>
        <v>1997923.7669310586</v>
      </c>
      <c r="D31" s="337"/>
      <c r="E31" s="459">
        <v>510312.60661329515</v>
      </c>
      <c r="F31" s="459">
        <v>974006.01124999986</v>
      </c>
      <c r="G31" s="459">
        <v>262890.80499999999</v>
      </c>
      <c r="H31" s="481">
        <f t="shared" ref="H31:H45" si="2">SUM(E31:G31)</f>
        <v>1747209.4228632951</v>
      </c>
      <c r="I31" s="481">
        <v>2188441.3979999996</v>
      </c>
      <c r="J31" s="481">
        <f t="shared" ref="J31:J47" si="3">I31/R31</f>
        <v>2279.6264562499996</v>
      </c>
      <c r="K31" s="469">
        <f t="shared" ref="K31:K45" si="4">C31-I31</f>
        <v>-190517.63106894097</v>
      </c>
      <c r="L31" s="417"/>
      <c r="M31" s="469">
        <f t="shared" ref="M31:M45" si="5">(C31/R31)-(I31/R31)</f>
        <v>-198.45586569681336</v>
      </c>
      <c r="N31" s="417"/>
      <c r="O31" s="474">
        <f t="shared" ref="O31:O45" si="6">C31/I31</f>
        <v>0.91294369077323545</v>
      </c>
      <c r="P31" s="342"/>
      <c r="Q31" s="456" t="s">
        <v>9</v>
      </c>
      <c r="R31" s="484">
        <v>960</v>
      </c>
      <c r="S31" s="9"/>
    </row>
    <row r="32" spans="2:21" ht="15.75" x14ac:dyDescent="0.25">
      <c r="B32" s="456" t="s">
        <v>10</v>
      </c>
      <c r="C32" s="461">
        <f t="shared" si="1"/>
        <v>3728205.6799646285</v>
      </c>
      <c r="D32" s="337"/>
      <c r="E32" s="459">
        <v>1215576.0966518943</v>
      </c>
      <c r="F32" s="459">
        <v>1881224.0232499999</v>
      </c>
      <c r="G32" s="459">
        <v>266908.48599999998</v>
      </c>
      <c r="H32" s="481">
        <f t="shared" si="2"/>
        <v>3363708.6059018942</v>
      </c>
      <c r="I32" s="481">
        <v>3320288.9940000009</v>
      </c>
      <c r="J32" s="481">
        <f t="shared" si="3"/>
        <v>1311.8486740418809</v>
      </c>
      <c r="K32" s="469">
        <f t="shared" si="4"/>
        <v>407916.68596462766</v>
      </c>
      <c r="L32" s="417"/>
      <c r="M32" s="469">
        <f t="shared" si="5"/>
        <v>161.16818884418331</v>
      </c>
      <c r="N32" s="417"/>
      <c r="O32" s="474">
        <f t="shared" si="6"/>
        <v>1.1228557775247161</v>
      </c>
      <c r="P32" s="342"/>
      <c r="Q32" s="456" t="s">
        <v>10</v>
      </c>
      <c r="R32" s="484">
        <v>2531</v>
      </c>
      <c r="S32" s="9"/>
    </row>
    <row r="33" spans="2:19" ht="15.75" x14ac:dyDescent="0.25">
      <c r="B33" s="456" t="s">
        <v>11</v>
      </c>
      <c r="C33" s="461">
        <f t="shared" si="1"/>
        <v>1375028.4042170295</v>
      </c>
      <c r="D33" s="337"/>
      <c r="E33" s="459">
        <v>496933.62441744097</v>
      </c>
      <c r="F33" s="459">
        <v>651159.79110000003</v>
      </c>
      <c r="G33" s="459">
        <v>113401.2061</v>
      </c>
      <c r="H33" s="481">
        <f t="shared" si="2"/>
        <v>1261494.6216174411</v>
      </c>
      <c r="I33" s="481">
        <v>1588176.6280000003</v>
      </c>
      <c r="J33" s="481">
        <f t="shared" si="3"/>
        <v>2747.7104290657444</v>
      </c>
      <c r="K33" s="469">
        <f t="shared" si="4"/>
        <v>-213148.2237829708</v>
      </c>
      <c r="L33" s="417"/>
      <c r="M33" s="469">
        <f t="shared" si="5"/>
        <v>-368.76855325773477</v>
      </c>
      <c r="N33" s="417"/>
      <c r="O33" s="474">
        <f t="shared" si="6"/>
        <v>0.86579060538663788</v>
      </c>
      <c r="P33" s="342"/>
      <c r="Q33" s="456" t="s">
        <v>11</v>
      </c>
      <c r="R33" s="484">
        <v>578</v>
      </c>
      <c r="S33" s="9"/>
    </row>
    <row r="34" spans="2:19" ht="15.75" x14ac:dyDescent="0.25">
      <c r="B34" s="456" t="s">
        <v>12</v>
      </c>
      <c r="C34" s="461">
        <f t="shared" si="1"/>
        <v>1427747.6456668538</v>
      </c>
      <c r="D34" s="337"/>
      <c r="E34" s="459">
        <v>382256.63416726235</v>
      </c>
      <c r="F34" s="459">
        <v>540608.46385000006</v>
      </c>
      <c r="G34" s="459">
        <v>243550.7893</v>
      </c>
      <c r="H34" s="481">
        <f t="shared" si="2"/>
        <v>1166415.8873172624</v>
      </c>
      <c r="I34" s="481">
        <v>1744516.662</v>
      </c>
      <c r="J34" s="481">
        <f t="shared" si="3"/>
        <v>3524.276084848485</v>
      </c>
      <c r="K34" s="469">
        <f t="shared" si="4"/>
        <v>-316769.01633314625</v>
      </c>
      <c r="L34" s="417"/>
      <c r="M34" s="469">
        <f t="shared" si="5"/>
        <v>-639.9374067336289</v>
      </c>
      <c r="N34" s="417"/>
      <c r="O34" s="474">
        <f t="shared" si="6"/>
        <v>0.8184201829462685</v>
      </c>
      <c r="P34" s="342"/>
      <c r="Q34" s="456" t="s">
        <v>12</v>
      </c>
      <c r="R34" s="484">
        <v>495</v>
      </c>
      <c r="S34" s="9"/>
    </row>
    <row r="35" spans="2:19" ht="15.75" x14ac:dyDescent="0.25">
      <c r="B35" s="456" t="s">
        <v>13</v>
      </c>
      <c r="C35" s="461">
        <f t="shared" si="1"/>
        <v>2559138.4760753936</v>
      </c>
      <c r="D35" s="337"/>
      <c r="E35" s="459">
        <v>743966.9742480343</v>
      </c>
      <c r="F35" s="459">
        <v>1250051.29125</v>
      </c>
      <c r="G35" s="459">
        <v>128670.46124999999</v>
      </c>
      <c r="H35" s="481">
        <f t="shared" si="2"/>
        <v>2122688.7267480344</v>
      </c>
      <c r="I35" s="481">
        <v>2596462.9890000001</v>
      </c>
      <c r="J35" s="481">
        <f t="shared" si="3"/>
        <v>1705.9546576872538</v>
      </c>
      <c r="K35" s="469">
        <f t="shared" si="4"/>
        <v>-37324.512924606446</v>
      </c>
      <c r="L35" s="417"/>
      <c r="M35" s="469">
        <f t="shared" si="5"/>
        <v>-24.523333064787494</v>
      </c>
      <c r="N35" s="417"/>
      <c r="O35" s="474">
        <f t="shared" si="6"/>
        <v>0.98562486232897095</v>
      </c>
      <c r="P35" s="342"/>
      <c r="Q35" s="456" t="s">
        <v>13</v>
      </c>
      <c r="R35" s="484">
        <v>1522</v>
      </c>
      <c r="S35" s="9"/>
    </row>
    <row r="36" spans="2:19" ht="15.75" x14ac:dyDescent="0.25">
      <c r="B36" s="456" t="s">
        <v>14</v>
      </c>
      <c r="C36" s="461">
        <f t="shared" si="1"/>
        <v>4305682.2548168255</v>
      </c>
      <c r="D36" s="337"/>
      <c r="E36" s="459">
        <v>1889781.2351644028</v>
      </c>
      <c r="F36" s="459">
        <v>2447867.6255000001</v>
      </c>
      <c r="G36" s="459">
        <v>324068.14550000004</v>
      </c>
      <c r="H36" s="481">
        <f t="shared" si="2"/>
        <v>4661717.0061644027</v>
      </c>
      <c r="I36" s="481">
        <v>3670195.7359999996</v>
      </c>
      <c r="J36" s="481">
        <f t="shared" si="3"/>
        <v>842.75447439724439</v>
      </c>
      <c r="K36" s="469">
        <f t="shared" si="4"/>
        <v>635486.51881682593</v>
      </c>
      <c r="L36" s="417"/>
      <c r="M36" s="469">
        <f t="shared" si="5"/>
        <v>145.92112946425402</v>
      </c>
      <c r="N36" s="417"/>
      <c r="O36" s="474">
        <f t="shared" si="6"/>
        <v>1.1731478549177918</v>
      </c>
      <c r="P36" s="342"/>
      <c r="Q36" s="456" t="s">
        <v>14</v>
      </c>
      <c r="R36" s="484">
        <v>4355</v>
      </c>
      <c r="S36" s="9"/>
    </row>
    <row r="37" spans="2:19" ht="15.75" x14ac:dyDescent="0.25">
      <c r="B37" s="456" t="s">
        <v>15</v>
      </c>
      <c r="C37" s="461">
        <f t="shared" si="1"/>
        <v>805743.67492827203</v>
      </c>
      <c r="D37" s="337"/>
      <c r="E37" s="459">
        <v>252289.37855039316</v>
      </c>
      <c r="F37" s="459">
        <v>423065.08334999997</v>
      </c>
      <c r="G37" s="459">
        <v>46779.00045</v>
      </c>
      <c r="H37" s="481">
        <f t="shared" si="2"/>
        <v>722133.46235039318</v>
      </c>
      <c r="I37" s="481">
        <v>843567.58399999992</v>
      </c>
      <c r="J37" s="481">
        <f t="shared" si="3"/>
        <v>2495.7620828402364</v>
      </c>
      <c r="K37" s="469">
        <f t="shared" si="4"/>
        <v>-37823.909071727889</v>
      </c>
      <c r="L37" s="417"/>
      <c r="M37" s="469">
        <f t="shared" si="5"/>
        <v>-111.90505642523021</v>
      </c>
      <c r="N37" s="417"/>
      <c r="O37" s="474">
        <f t="shared" si="6"/>
        <v>0.95516196948633825</v>
      </c>
      <c r="P37" s="342"/>
      <c r="Q37" s="456" t="s">
        <v>15</v>
      </c>
      <c r="R37" s="484">
        <v>338</v>
      </c>
      <c r="S37" s="9"/>
    </row>
    <row r="38" spans="2:19" ht="15.75" x14ac:dyDescent="0.25">
      <c r="B38" s="456" t="s">
        <v>16</v>
      </c>
      <c r="C38" s="461">
        <f t="shared" si="1"/>
        <v>668438.5099883317</v>
      </c>
      <c r="D38" s="337"/>
      <c r="E38" s="459">
        <v>229353.98050035737</v>
      </c>
      <c r="F38" s="459">
        <v>279920.13594999997</v>
      </c>
      <c r="G38" s="459">
        <v>16835</v>
      </c>
      <c r="H38" s="481">
        <f t="shared" si="2"/>
        <v>526109.11645035737</v>
      </c>
      <c r="I38" s="481">
        <v>634366.65599999996</v>
      </c>
      <c r="J38" s="481">
        <f t="shared" si="3"/>
        <v>2589.2516571428569</v>
      </c>
      <c r="K38" s="469">
        <f t="shared" si="4"/>
        <v>34071.853988331743</v>
      </c>
      <c r="L38" s="417"/>
      <c r="M38" s="469">
        <f t="shared" si="5"/>
        <v>139.06879178910913</v>
      </c>
      <c r="N38" s="417"/>
      <c r="O38" s="474">
        <f t="shared" si="6"/>
        <v>1.0537100329376892</v>
      </c>
      <c r="P38" s="342"/>
      <c r="Q38" s="456" t="s">
        <v>16</v>
      </c>
      <c r="R38" s="484">
        <v>245</v>
      </c>
      <c r="S38" s="9"/>
    </row>
    <row r="39" spans="2:19" ht="15.75" x14ac:dyDescent="0.25">
      <c r="B39" s="456" t="s">
        <v>17</v>
      </c>
      <c r="C39" s="461">
        <f t="shared" si="1"/>
        <v>2495035.4642451336</v>
      </c>
      <c r="D39" s="337"/>
      <c r="E39" s="459">
        <v>1182606.4619549678</v>
      </c>
      <c r="F39" s="459">
        <v>1332230.2650000001</v>
      </c>
      <c r="G39" s="459">
        <v>186782.7825</v>
      </c>
      <c r="H39" s="481">
        <f t="shared" si="2"/>
        <v>2701619.5094549679</v>
      </c>
      <c r="I39" s="481">
        <v>2778064.5570000005</v>
      </c>
      <c r="J39" s="481">
        <f t="shared" si="3"/>
        <v>1475.3396479022838</v>
      </c>
      <c r="K39" s="469">
        <f t="shared" si="4"/>
        <v>-283029.09275486693</v>
      </c>
      <c r="L39" s="417"/>
      <c r="M39" s="469">
        <f t="shared" si="5"/>
        <v>-150.30753731007258</v>
      </c>
      <c r="N39" s="417"/>
      <c r="O39" s="474">
        <f t="shared" si="6"/>
        <v>0.89812004474780571</v>
      </c>
      <c r="P39" s="342"/>
      <c r="Q39" s="456" t="s">
        <v>17</v>
      </c>
      <c r="R39" s="484">
        <v>1883</v>
      </c>
      <c r="S39" s="9"/>
    </row>
    <row r="40" spans="2:19" ht="15.75" x14ac:dyDescent="0.25">
      <c r="B40" s="456" t="s">
        <v>18</v>
      </c>
      <c r="C40" s="461">
        <f t="shared" si="1"/>
        <v>649812.53717026406</v>
      </c>
      <c r="D40" s="337"/>
      <c r="E40" s="459">
        <v>292426.32513795566</v>
      </c>
      <c r="F40" s="459">
        <v>344378.71549999993</v>
      </c>
      <c r="G40" s="459">
        <v>40353.750000000007</v>
      </c>
      <c r="H40" s="481">
        <f t="shared" si="2"/>
        <v>677158.79063795554</v>
      </c>
      <c r="I40" s="481">
        <v>691448.47600000002</v>
      </c>
      <c r="J40" s="481">
        <f t="shared" si="3"/>
        <v>1763.8991734693877</v>
      </c>
      <c r="K40" s="469">
        <f t="shared" si="4"/>
        <v>-41635.938829735969</v>
      </c>
      <c r="L40" s="417"/>
      <c r="M40" s="469">
        <f t="shared" si="5"/>
        <v>-106.21412966769367</v>
      </c>
      <c r="N40" s="417"/>
      <c r="O40" s="474">
        <f t="shared" si="6"/>
        <v>0.93978446655837888</v>
      </c>
      <c r="P40" s="342"/>
      <c r="Q40" s="456" t="s">
        <v>18</v>
      </c>
      <c r="R40" s="484">
        <v>392</v>
      </c>
      <c r="S40" s="9"/>
    </row>
    <row r="41" spans="2:19" ht="15.75" x14ac:dyDescent="0.25">
      <c r="B41" s="456" t="s">
        <v>19</v>
      </c>
      <c r="C41" s="461">
        <f t="shared" si="1"/>
        <v>2254763.0400433275</v>
      </c>
      <c r="D41" s="337"/>
      <c r="E41" s="459">
        <v>894480.5239513939</v>
      </c>
      <c r="F41" s="459">
        <v>1562005.93875</v>
      </c>
      <c r="G41" s="459">
        <v>148111.36875000002</v>
      </c>
      <c r="H41" s="481">
        <f t="shared" si="2"/>
        <v>2604597.8314513937</v>
      </c>
      <c r="I41" s="481">
        <v>2823397.6259999997</v>
      </c>
      <c r="J41" s="481">
        <f t="shared" si="3"/>
        <v>1548.7644684585846</v>
      </c>
      <c r="K41" s="469">
        <f t="shared" si="4"/>
        <v>-568634.58595667221</v>
      </c>
      <c r="L41" s="417"/>
      <c r="M41" s="469">
        <f t="shared" si="5"/>
        <v>-311.92242784238738</v>
      </c>
      <c r="N41" s="417"/>
      <c r="O41" s="474">
        <f t="shared" si="6"/>
        <v>0.79859918393348106</v>
      </c>
      <c r="P41" s="342"/>
      <c r="Q41" s="456" t="s">
        <v>19</v>
      </c>
      <c r="R41" s="484">
        <v>1823</v>
      </c>
      <c r="S41" s="9"/>
    </row>
    <row r="42" spans="2:19" ht="15.75" x14ac:dyDescent="0.25">
      <c r="B42" s="456" t="s">
        <v>20</v>
      </c>
      <c r="C42" s="461">
        <f t="shared" si="1"/>
        <v>235888.06505160956</v>
      </c>
      <c r="D42" s="337"/>
      <c r="E42" s="459">
        <v>61161.061466761974</v>
      </c>
      <c r="F42" s="459">
        <v>168358.78150000001</v>
      </c>
      <c r="G42" s="459">
        <v>0</v>
      </c>
      <c r="H42" s="481">
        <f t="shared" si="2"/>
        <v>229519.84296676199</v>
      </c>
      <c r="I42" s="481">
        <v>279788.45800000004</v>
      </c>
      <c r="J42" s="481">
        <f t="shared" si="3"/>
        <v>2770.182752475248</v>
      </c>
      <c r="K42" s="469">
        <f t="shared" si="4"/>
        <v>-43900.392948390479</v>
      </c>
      <c r="L42" s="417"/>
      <c r="M42" s="469">
        <f t="shared" si="5"/>
        <v>-434.65735592465808</v>
      </c>
      <c r="N42" s="417"/>
      <c r="O42" s="474">
        <f t="shared" si="6"/>
        <v>0.84309433897952124</v>
      </c>
      <c r="P42" s="342"/>
      <c r="Q42" s="456" t="s">
        <v>20</v>
      </c>
      <c r="R42" s="484">
        <v>101</v>
      </c>
      <c r="S42" s="9"/>
    </row>
    <row r="43" spans="2:19" ht="15.75" x14ac:dyDescent="0.25">
      <c r="B43" s="456" t="s">
        <v>21</v>
      </c>
      <c r="C43" s="461">
        <f t="shared" si="1"/>
        <v>2106350.9950047904</v>
      </c>
      <c r="D43" s="337"/>
      <c r="E43" s="459">
        <v>590586.49978842027</v>
      </c>
      <c r="F43" s="459">
        <v>995075.96000000008</v>
      </c>
      <c r="G43" s="459">
        <v>313299.51100000006</v>
      </c>
      <c r="H43" s="481">
        <f t="shared" si="2"/>
        <v>1898961.9707884202</v>
      </c>
      <c r="I43" s="481">
        <v>2159562.2279999997</v>
      </c>
      <c r="J43" s="481">
        <f t="shared" si="3"/>
        <v>2086.5335536231883</v>
      </c>
      <c r="K43" s="469">
        <f t="shared" si="4"/>
        <v>-53211.232995209284</v>
      </c>
      <c r="L43" s="417"/>
      <c r="M43" s="469">
        <f t="shared" si="5"/>
        <v>-51.411819319042934</v>
      </c>
      <c r="N43" s="417"/>
      <c r="O43" s="474">
        <f t="shared" si="6"/>
        <v>0.97536017610176073</v>
      </c>
      <c r="P43" s="342"/>
      <c r="Q43" s="456" t="s">
        <v>21</v>
      </c>
      <c r="R43" s="484">
        <v>1035</v>
      </c>
      <c r="S43" s="9"/>
    </row>
    <row r="44" spans="2:19" ht="15.75" x14ac:dyDescent="0.25">
      <c r="B44" s="456" t="s">
        <v>22</v>
      </c>
      <c r="C44" s="461">
        <f t="shared" si="1"/>
        <v>1397328.7384256423</v>
      </c>
      <c r="D44" s="337"/>
      <c r="E44" s="459">
        <v>336385.83806719084</v>
      </c>
      <c r="F44" s="459">
        <v>539862.85990000004</v>
      </c>
      <c r="G44" s="459">
        <v>75099.902149999994</v>
      </c>
      <c r="H44" s="481">
        <f t="shared" si="2"/>
        <v>951348.60011719086</v>
      </c>
      <c r="I44" s="481">
        <v>1428427.97</v>
      </c>
      <c r="J44" s="481">
        <f t="shared" si="3"/>
        <v>3384.900402843602</v>
      </c>
      <c r="K44" s="469">
        <f t="shared" si="4"/>
        <v>-31099.23157435772</v>
      </c>
      <c r="L44" s="417"/>
      <c r="M44" s="469">
        <f t="shared" si="5"/>
        <v>-73.694861550610767</v>
      </c>
      <c r="N44" s="417"/>
      <c r="O44" s="474">
        <f t="shared" si="6"/>
        <v>0.9782283515672423</v>
      </c>
      <c r="P44" s="342"/>
      <c r="Q44" s="456" t="s">
        <v>22</v>
      </c>
      <c r="R44" s="484">
        <v>422</v>
      </c>
      <c r="S44" s="9"/>
    </row>
    <row r="45" spans="2:19" ht="16.5" thickBot="1" x14ac:dyDescent="0.3">
      <c r="B45" s="457" t="s">
        <v>23</v>
      </c>
      <c r="C45" s="462">
        <f t="shared" si="1"/>
        <v>5678734.5744338334</v>
      </c>
      <c r="D45" s="334"/>
      <c r="E45" s="465">
        <v>2064185.8245032167</v>
      </c>
      <c r="F45" s="465">
        <v>3527549.4961999995</v>
      </c>
      <c r="G45" s="465">
        <v>788625.27210000018</v>
      </c>
      <c r="H45" s="482">
        <f t="shared" si="2"/>
        <v>6380360.5928032156</v>
      </c>
      <c r="I45" s="482">
        <v>5886408.9280000012</v>
      </c>
      <c r="J45" s="482">
        <f t="shared" si="3"/>
        <v>518.80917750749177</v>
      </c>
      <c r="K45" s="470">
        <f t="shared" si="4"/>
        <v>-207674.35356616788</v>
      </c>
      <c r="L45" s="416"/>
      <c r="M45" s="470">
        <f t="shared" si="5"/>
        <v>-18.303750534652579</v>
      </c>
      <c r="N45" s="416"/>
      <c r="O45" s="475">
        <f t="shared" si="6"/>
        <v>0.9647196862966283</v>
      </c>
      <c r="P45" s="341"/>
      <c r="Q45" s="457" t="s">
        <v>23</v>
      </c>
      <c r="R45" s="485">
        <v>11346</v>
      </c>
      <c r="S45" s="9"/>
    </row>
    <row r="46" spans="2:19" ht="16.5" thickBot="1" x14ac:dyDescent="0.3">
      <c r="B46" s="420"/>
      <c r="C46" s="424"/>
      <c r="D46" s="421"/>
      <c r="E46" s="421"/>
      <c r="F46" s="421"/>
      <c r="G46" s="421"/>
      <c r="H46" s="467"/>
      <c r="I46" s="467"/>
      <c r="J46" s="467"/>
      <c r="K46" s="222"/>
      <c r="L46" s="9"/>
      <c r="M46" s="489"/>
      <c r="N46" s="9"/>
      <c r="O46" s="490"/>
      <c r="P46" s="9"/>
      <c r="Q46" s="9"/>
      <c r="S46" s="9"/>
    </row>
    <row r="47" spans="2:19" ht="16.5" thickBot="1" x14ac:dyDescent="0.3">
      <c r="B47" s="353" t="s">
        <v>81</v>
      </c>
      <c r="C47" s="463">
        <f t="shared" ref="C47:H47" si="7">SUM(C30:C45)</f>
        <v>32844868.470892943</v>
      </c>
      <c r="D47" s="463">
        <f t="shared" si="7"/>
        <v>0</v>
      </c>
      <c r="E47" s="463">
        <f t="shared" si="7"/>
        <v>11493979.16861687</v>
      </c>
      <c r="F47" s="463">
        <f t="shared" si="7"/>
        <v>17418998.0339</v>
      </c>
      <c r="G47" s="463">
        <f t="shared" si="7"/>
        <v>3047725.8007999999</v>
      </c>
      <c r="H47" s="488">
        <f t="shared" si="7"/>
        <v>31960703.003316864</v>
      </c>
      <c r="I47" s="488">
        <v>33799867.542000003</v>
      </c>
      <c r="J47" s="488">
        <f t="shared" si="3"/>
        <v>1185.8770451898113</v>
      </c>
      <c r="K47" s="471">
        <f>C47-I47</f>
        <v>-954999.07110705972</v>
      </c>
      <c r="L47" s="354"/>
      <c r="M47" s="470">
        <f>(C47/R47)-(I47/R47)</f>
        <v>-33.506388011615172</v>
      </c>
      <c r="N47" s="354"/>
      <c r="O47" s="475">
        <f>C47/I47</f>
        <v>0.97174547888625984</v>
      </c>
      <c r="P47" s="355"/>
      <c r="Q47" s="6"/>
      <c r="R47" s="486">
        <f>SUM(R30:R45)</f>
        <v>28502</v>
      </c>
      <c r="S47" s="9"/>
    </row>
    <row r="48" spans="2:19" x14ac:dyDescent="0.2">
      <c r="M48" s="9"/>
      <c r="N48" s="9"/>
      <c r="O48" s="9"/>
      <c r="P48" s="9"/>
      <c r="Q48" s="9"/>
      <c r="R48" s="9"/>
      <c r="S48" s="9"/>
    </row>
    <row r="49" spans="2:20" ht="15.75" thickBot="1" x14ac:dyDescent="0.25"/>
    <row r="50" spans="2:20" ht="15.75" x14ac:dyDescent="0.25">
      <c r="B50" s="348" t="s">
        <v>180</v>
      </c>
      <c r="C50" s="344" t="s">
        <v>181</v>
      </c>
      <c r="D50" s="345"/>
      <c r="E50" s="349" t="s">
        <v>524</v>
      </c>
      <c r="F50" s="350"/>
      <c r="G50" s="345" t="s">
        <v>183</v>
      </c>
      <c r="H50" s="345"/>
      <c r="I50" s="338" t="s">
        <v>180</v>
      </c>
      <c r="J50" s="340"/>
      <c r="K50" s="345" t="s">
        <v>350</v>
      </c>
      <c r="L50" s="345"/>
      <c r="M50" s="338" t="s">
        <v>184</v>
      </c>
      <c r="N50" s="340"/>
      <c r="O50" s="330" t="s">
        <v>185</v>
      </c>
      <c r="P50" s="693" t="s">
        <v>352</v>
      </c>
      <c r="Q50" s="338" t="s">
        <v>186</v>
      </c>
      <c r="R50" s="340"/>
      <c r="T50" s="9"/>
    </row>
    <row r="51" spans="2:20" ht="16.5" thickBot="1" x14ac:dyDescent="0.3">
      <c r="B51" s="704">
        <v>2014</v>
      </c>
      <c r="C51" s="689"/>
      <c r="D51" s="690"/>
      <c r="E51" s="351">
        <v>2014</v>
      </c>
      <c r="F51" s="352"/>
      <c r="G51" s="346">
        <v>2014</v>
      </c>
      <c r="H51" s="346"/>
      <c r="I51" s="339" t="s">
        <v>274</v>
      </c>
      <c r="J51" s="342" t="s">
        <v>275</v>
      </c>
      <c r="K51" s="346" t="s">
        <v>351</v>
      </c>
      <c r="L51" s="346"/>
      <c r="M51" s="339"/>
      <c r="N51" s="341"/>
      <c r="O51" s="336"/>
      <c r="P51" s="694"/>
      <c r="Q51" s="343"/>
      <c r="R51" s="342"/>
      <c r="T51" s="9"/>
    </row>
    <row r="52" spans="2:20" ht="15.75" x14ac:dyDescent="0.25">
      <c r="B52" s="456" t="s">
        <v>8</v>
      </c>
      <c r="C52" s="687">
        <f>C30</f>
        <v>1159046.6439299511</v>
      </c>
      <c r="D52" s="331"/>
      <c r="E52" s="687">
        <v>703000</v>
      </c>
      <c r="F52" s="698"/>
      <c r="G52" s="687"/>
      <c r="H52" s="331"/>
      <c r="I52" s="338"/>
      <c r="J52" s="701">
        <f>C52/SUM(E52+G52)</f>
        <v>1.6487149984778822</v>
      </c>
      <c r="K52" s="464">
        <v>2555000</v>
      </c>
      <c r="L52" s="698"/>
      <c r="M52" s="329"/>
      <c r="N52" s="330"/>
      <c r="O52" s="687">
        <f>'Data, inkomst- skkompl, kost'!U48*1000</f>
        <v>1536000</v>
      </c>
      <c r="P52" s="695">
        <f>C52/O52</f>
        <v>0.75458765880856193</v>
      </c>
      <c r="Q52" s="705">
        <f>(O52+C52)/K52</f>
        <v>1.0548127764892177</v>
      </c>
      <c r="R52" s="340"/>
      <c r="T52" s="9"/>
    </row>
    <row r="53" spans="2:20" ht="15.75" x14ac:dyDescent="0.25">
      <c r="B53" s="456" t="s">
        <v>9</v>
      </c>
      <c r="C53" s="688">
        <f t="shared" ref="C53:C69" si="8">C31</f>
        <v>1997923.7669310586</v>
      </c>
      <c r="D53" s="337"/>
      <c r="E53" s="688">
        <v>1190000</v>
      </c>
      <c r="F53" s="699"/>
      <c r="G53" s="688"/>
      <c r="H53" s="337"/>
      <c r="I53" s="343"/>
      <c r="J53" s="702">
        <f t="shared" ref="J53:J67" si="9">C53/SUM(E53+G53)</f>
        <v>1.6789275352361837</v>
      </c>
      <c r="K53" s="459">
        <v>4841000</v>
      </c>
      <c r="L53" s="699"/>
      <c r="M53" s="335"/>
      <c r="N53" s="336"/>
      <c r="O53" s="688">
        <f>'Data, inkomst- skkompl, kost'!U49*1000</f>
        <v>2643000</v>
      </c>
      <c r="P53" s="696">
        <f t="shared" ref="P53:P67" si="10">C53/O53</f>
        <v>0.75593029395802447</v>
      </c>
      <c r="Q53" s="706">
        <f t="shared" ref="Q53:Q69" si="11">(O53+C53)/K53</f>
        <v>0.95867047447450093</v>
      </c>
      <c r="R53" s="342"/>
      <c r="T53" s="9"/>
    </row>
    <row r="54" spans="2:20" ht="15.75" x14ac:dyDescent="0.25">
      <c r="B54" s="456" t="s">
        <v>10</v>
      </c>
      <c r="C54" s="688">
        <f t="shared" si="8"/>
        <v>3728205.6799646285</v>
      </c>
      <c r="D54" s="337"/>
      <c r="E54" s="688">
        <v>3606000</v>
      </c>
      <c r="F54" s="699"/>
      <c r="G54" s="688"/>
      <c r="H54" s="337"/>
      <c r="I54" s="343"/>
      <c r="J54" s="702">
        <f t="shared" si="9"/>
        <v>1.0338895396463197</v>
      </c>
      <c r="K54" s="459">
        <v>11224000</v>
      </c>
      <c r="L54" s="699"/>
      <c r="M54" s="335"/>
      <c r="N54" s="336"/>
      <c r="O54" s="688">
        <f>'Data, inkomst- skkompl, kost'!U50*1000</f>
        <v>8184000</v>
      </c>
      <c r="P54" s="696">
        <f t="shared" si="10"/>
        <v>0.45554810361249126</v>
      </c>
      <c r="Q54" s="706">
        <f t="shared" si="11"/>
        <v>1.0613155452570053</v>
      </c>
      <c r="R54" s="342"/>
      <c r="T54" s="9"/>
    </row>
    <row r="55" spans="2:20" ht="15.75" x14ac:dyDescent="0.25">
      <c r="B55" s="456" t="s">
        <v>11</v>
      </c>
      <c r="C55" s="688">
        <f t="shared" si="8"/>
        <v>1375028.4042170295</v>
      </c>
      <c r="D55" s="337"/>
      <c r="E55" s="688">
        <v>987000</v>
      </c>
      <c r="F55" s="699"/>
      <c r="G55" s="688"/>
      <c r="H55" s="337"/>
      <c r="I55" s="343"/>
      <c r="J55" s="702">
        <f t="shared" si="9"/>
        <v>1.3931392139990166</v>
      </c>
      <c r="K55" s="459">
        <v>3152000</v>
      </c>
      <c r="L55" s="699"/>
      <c r="M55" s="335"/>
      <c r="N55" s="336"/>
      <c r="O55" s="688">
        <f>'Data, inkomst- skkompl, kost'!U51*1000</f>
        <v>1755000</v>
      </c>
      <c r="P55" s="696">
        <f t="shared" si="10"/>
        <v>0.78349196821483158</v>
      </c>
      <c r="Q55" s="706">
        <f t="shared" si="11"/>
        <v>0.99302931605870226</v>
      </c>
      <c r="R55" s="342"/>
      <c r="T55" s="9"/>
    </row>
    <row r="56" spans="2:20" ht="15.75" x14ac:dyDescent="0.25">
      <c r="B56" s="456" t="s">
        <v>12</v>
      </c>
      <c r="C56" s="688">
        <f t="shared" si="8"/>
        <v>1427747.6456668538</v>
      </c>
      <c r="D56" s="337"/>
      <c r="E56" s="688">
        <v>815000</v>
      </c>
      <c r="F56" s="699"/>
      <c r="G56" s="688"/>
      <c r="H56" s="337"/>
      <c r="I56" s="343"/>
      <c r="J56" s="702">
        <f t="shared" si="9"/>
        <v>1.7518376020452193</v>
      </c>
      <c r="K56" s="459">
        <v>2517000</v>
      </c>
      <c r="L56" s="699"/>
      <c r="M56" s="335"/>
      <c r="N56" s="336"/>
      <c r="O56" s="688">
        <f>'Data, inkomst- skkompl, kost'!U52*1000</f>
        <v>1083000</v>
      </c>
      <c r="P56" s="696">
        <f t="shared" si="10"/>
        <v>1.3183265426286739</v>
      </c>
      <c r="Q56" s="706">
        <f t="shared" si="11"/>
        <v>0.9975159498080467</v>
      </c>
      <c r="R56" s="342"/>
      <c r="T56" s="9"/>
    </row>
    <row r="57" spans="2:20" ht="15.75" x14ac:dyDescent="0.25">
      <c r="B57" s="456" t="s">
        <v>13</v>
      </c>
      <c r="C57" s="688">
        <f t="shared" si="8"/>
        <v>2559138.4760753936</v>
      </c>
      <c r="D57" s="337"/>
      <c r="E57" s="688">
        <v>2206000</v>
      </c>
      <c r="F57" s="699"/>
      <c r="G57" s="688"/>
      <c r="H57" s="337"/>
      <c r="I57" s="343"/>
      <c r="J57" s="702">
        <f t="shared" si="9"/>
        <v>1.1600809048392537</v>
      </c>
      <c r="K57" s="459">
        <v>6805000</v>
      </c>
      <c r="L57" s="699"/>
      <c r="M57" s="335"/>
      <c r="N57" s="336"/>
      <c r="O57" s="688">
        <f>'Data, inkomst- skkompl, kost'!U53*1000</f>
        <v>3898000</v>
      </c>
      <c r="P57" s="696">
        <f t="shared" si="10"/>
        <v>0.65652603285669409</v>
      </c>
      <c r="Q57" s="706">
        <f t="shared" si="11"/>
        <v>0.9488814806870528</v>
      </c>
      <c r="R57" s="342"/>
      <c r="T57" s="9"/>
    </row>
    <row r="58" spans="2:20" ht="15.75" x14ac:dyDescent="0.25">
      <c r="B58" s="456" t="s">
        <v>14</v>
      </c>
      <c r="C58" s="688">
        <f t="shared" si="8"/>
        <v>4305682.2548168255</v>
      </c>
      <c r="D58" s="337"/>
      <c r="E58" s="688">
        <v>6338000</v>
      </c>
      <c r="F58" s="699"/>
      <c r="G58" s="688"/>
      <c r="H58" s="337"/>
      <c r="I58" s="343"/>
      <c r="J58" s="702">
        <f t="shared" si="9"/>
        <v>0.67934399728886485</v>
      </c>
      <c r="K58" s="459">
        <v>17323000</v>
      </c>
      <c r="L58" s="699"/>
      <c r="M58" s="335"/>
      <c r="N58" s="336"/>
      <c r="O58" s="688">
        <f>'Data, inkomst- skkompl, kost'!U54*1000</f>
        <v>14291000</v>
      </c>
      <c r="P58" s="696">
        <f t="shared" si="10"/>
        <v>0.30128628191287005</v>
      </c>
      <c r="Q58" s="706">
        <f t="shared" si="11"/>
        <v>1.0735255010573703</v>
      </c>
      <c r="R58" s="342"/>
      <c r="T58" s="9"/>
    </row>
    <row r="59" spans="2:20" ht="15.75" x14ac:dyDescent="0.25">
      <c r="B59" s="456" t="s">
        <v>15</v>
      </c>
      <c r="C59" s="688">
        <f t="shared" si="8"/>
        <v>805743.67492827203</v>
      </c>
      <c r="D59" s="337"/>
      <c r="E59" s="688">
        <v>501000</v>
      </c>
      <c r="F59" s="699"/>
      <c r="G59" s="688"/>
      <c r="H59" s="337"/>
      <c r="I59" s="343"/>
      <c r="J59" s="702">
        <f t="shared" si="9"/>
        <v>1.6082708082400639</v>
      </c>
      <c r="K59" s="459">
        <v>1911000</v>
      </c>
      <c r="L59" s="699"/>
      <c r="M59" s="335"/>
      <c r="N59" s="336"/>
      <c r="O59" s="688">
        <f>'Data, inkomst- skkompl, kost'!U55*1000</f>
        <v>1030000</v>
      </c>
      <c r="P59" s="696">
        <f t="shared" si="10"/>
        <v>0.78227541255172039</v>
      </c>
      <c r="Q59" s="706">
        <f t="shared" si="11"/>
        <v>0.96061940079972374</v>
      </c>
      <c r="R59" s="342"/>
      <c r="T59" s="9"/>
    </row>
    <row r="60" spans="2:20" ht="15.75" x14ac:dyDescent="0.25">
      <c r="B60" s="456" t="s">
        <v>16</v>
      </c>
      <c r="C60" s="688">
        <f t="shared" si="8"/>
        <v>668438.5099883317</v>
      </c>
      <c r="D60" s="337"/>
      <c r="E60" s="688">
        <v>495000</v>
      </c>
      <c r="F60" s="699"/>
      <c r="G60" s="688"/>
      <c r="H60" s="337"/>
      <c r="I60" s="343"/>
      <c r="J60" s="702">
        <f t="shared" si="9"/>
        <v>1.350380828259256</v>
      </c>
      <c r="K60" s="459">
        <v>1542000</v>
      </c>
      <c r="L60" s="699"/>
      <c r="M60" s="335"/>
      <c r="N60" s="336"/>
      <c r="O60" s="688">
        <f>'Data, inkomst- skkompl, kost'!U56*1000</f>
        <v>818000</v>
      </c>
      <c r="P60" s="696">
        <f t="shared" si="10"/>
        <v>0.81716199265077227</v>
      </c>
      <c r="Q60" s="706">
        <f t="shared" si="11"/>
        <v>0.96396790531020216</v>
      </c>
      <c r="R60" s="342"/>
      <c r="T60" s="9"/>
    </row>
    <row r="61" spans="2:20" ht="15.75" x14ac:dyDescent="0.25">
      <c r="B61" s="456" t="s">
        <v>17</v>
      </c>
      <c r="C61" s="688">
        <f t="shared" si="8"/>
        <v>2495035.4642451336</v>
      </c>
      <c r="D61" s="337"/>
      <c r="E61" s="688">
        <v>3406000</v>
      </c>
      <c r="F61" s="699"/>
      <c r="G61" s="688"/>
      <c r="H61" s="337"/>
      <c r="I61" s="343"/>
      <c r="J61" s="702">
        <f t="shared" si="9"/>
        <v>0.73254124023638689</v>
      </c>
      <c r="K61" s="459">
        <v>8575000</v>
      </c>
      <c r="L61" s="699"/>
      <c r="M61" s="335"/>
      <c r="N61" s="336"/>
      <c r="O61" s="688">
        <f>'Data, inkomst- skkompl, kost'!U57*1000</f>
        <v>5508000</v>
      </c>
      <c r="P61" s="696">
        <f t="shared" si="10"/>
        <v>0.45298392597043091</v>
      </c>
      <c r="Q61" s="706">
        <f t="shared" si="11"/>
        <v>0.93329859641342661</v>
      </c>
      <c r="R61" s="342"/>
      <c r="T61" s="9"/>
    </row>
    <row r="62" spans="2:20" ht="15.75" x14ac:dyDescent="0.25">
      <c r="B62" s="456" t="s">
        <v>18</v>
      </c>
      <c r="C62" s="688">
        <f t="shared" si="8"/>
        <v>649812.53717026406</v>
      </c>
      <c r="D62" s="337"/>
      <c r="E62" s="688">
        <v>704000</v>
      </c>
      <c r="F62" s="699"/>
      <c r="G62" s="688"/>
      <c r="H62" s="337"/>
      <c r="I62" s="343"/>
      <c r="J62" s="702">
        <f t="shared" si="9"/>
        <v>0.92302917211685231</v>
      </c>
      <c r="K62" s="459">
        <v>2288000</v>
      </c>
      <c r="L62" s="699"/>
      <c r="M62" s="335"/>
      <c r="N62" s="336"/>
      <c r="O62" s="688">
        <f>'Data, inkomst- skkompl, kost'!U58*1000</f>
        <v>1376000</v>
      </c>
      <c r="P62" s="696">
        <f t="shared" si="10"/>
        <v>0.47224748340862216</v>
      </c>
      <c r="Q62" s="706">
        <f t="shared" si="11"/>
        <v>0.88540757743455589</v>
      </c>
      <c r="R62" s="342"/>
      <c r="T62" s="9"/>
    </row>
    <row r="63" spans="2:20" ht="15.75" x14ac:dyDescent="0.25">
      <c r="B63" s="456" t="s">
        <v>19</v>
      </c>
      <c r="C63" s="688">
        <f t="shared" si="8"/>
        <v>2254763.0400433275</v>
      </c>
      <c r="D63" s="337"/>
      <c r="E63" s="688">
        <v>2515000</v>
      </c>
      <c r="F63" s="699"/>
      <c r="G63" s="688"/>
      <c r="H63" s="337"/>
      <c r="I63" s="343"/>
      <c r="J63" s="702">
        <f t="shared" si="9"/>
        <v>0.89652605965937471</v>
      </c>
      <c r="K63" s="459">
        <v>7858000</v>
      </c>
      <c r="L63" s="699"/>
      <c r="M63" s="335"/>
      <c r="N63" s="336"/>
      <c r="O63" s="688">
        <f>'Data, inkomst- skkompl, kost'!U59*1000</f>
        <v>4999000</v>
      </c>
      <c r="P63" s="696">
        <f t="shared" si="10"/>
        <v>0.45104281657197992</v>
      </c>
      <c r="Q63" s="706">
        <f t="shared" si="11"/>
        <v>0.92310550267794955</v>
      </c>
      <c r="R63" s="342"/>
      <c r="T63" s="9"/>
    </row>
    <row r="64" spans="2:20" ht="15.75" x14ac:dyDescent="0.25">
      <c r="B64" s="456" t="s">
        <v>20</v>
      </c>
      <c r="C64" s="688">
        <f t="shared" si="8"/>
        <v>235888.06505160956</v>
      </c>
      <c r="D64" s="337"/>
      <c r="E64" s="688">
        <v>87000</v>
      </c>
      <c r="F64" s="699"/>
      <c r="G64" s="688"/>
      <c r="H64" s="337"/>
      <c r="I64" s="343"/>
      <c r="J64" s="702">
        <f t="shared" si="9"/>
        <v>2.7113570695587308</v>
      </c>
      <c r="K64" s="459">
        <v>663000</v>
      </c>
      <c r="L64" s="699"/>
      <c r="M64" s="335"/>
      <c r="N64" s="336"/>
      <c r="O64" s="688">
        <f>'Data, inkomst- skkompl, kost'!U60*1000</f>
        <v>360000</v>
      </c>
      <c r="P64" s="696">
        <f t="shared" si="10"/>
        <v>0.6552446251433599</v>
      </c>
      <c r="Q64" s="706">
        <f t="shared" si="11"/>
        <v>0.89877536206879272</v>
      </c>
      <c r="R64" s="342"/>
      <c r="T64" s="9"/>
    </row>
    <row r="65" spans="2:20" ht="15.75" x14ac:dyDescent="0.25">
      <c r="B65" s="456" t="s">
        <v>21</v>
      </c>
      <c r="C65" s="688">
        <f t="shared" si="8"/>
        <v>2106350.9950047904</v>
      </c>
      <c r="D65" s="337"/>
      <c r="E65" s="688">
        <v>1432000</v>
      </c>
      <c r="F65" s="699"/>
      <c r="G65" s="688"/>
      <c r="H65" s="337"/>
      <c r="I65" s="343"/>
      <c r="J65" s="702">
        <f t="shared" si="9"/>
        <v>1.4709154993050213</v>
      </c>
      <c r="K65" s="459">
        <v>5377000</v>
      </c>
      <c r="L65" s="699"/>
      <c r="M65" s="335"/>
      <c r="N65" s="336"/>
      <c r="O65" s="688">
        <f>'Data, inkomst- skkompl, kost'!U61*1000</f>
        <v>3036000</v>
      </c>
      <c r="P65" s="696">
        <f t="shared" si="10"/>
        <v>0.6937915003309586</v>
      </c>
      <c r="Q65" s="706">
        <f t="shared" si="11"/>
        <v>0.9563606090765836</v>
      </c>
      <c r="R65" s="342"/>
      <c r="T65" s="9"/>
    </row>
    <row r="66" spans="2:20" ht="15.75" x14ac:dyDescent="0.25">
      <c r="B66" s="456" t="s">
        <v>22</v>
      </c>
      <c r="C66" s="688">
        <f t="shared" si="8"/>
        <v>1397328.7384256423</v>
      </c>
      <c r="D66" s="337"/>
      <c r="E66" s="688">
        <v>737000</v>
      </c>
      <c r="F66" s="699"/>
      <c r="G66" s="688"/>
      <c r="H66" s="337"/>
      <c r="I66" s="343"/>
      <c r="J66" s="702">
        <f t="shared" si="9"/>
        <v>1.8959684374839108</v>
      </c>
      <c r="K66" s="459">
        <v>2483000</v>
      </c>
      <c r="L66" s="699"/>
      <c r="M66" s="335"/>
      <c r="N66" s="336"/>
      <c r="O66" s="688">
        <f>'Data, inkomst- skkompl, kost'!U62*1000</f>
        <v>1019000</v>
      </c>
      <c r="P66" s="696">
        <f t="shared" si="10"/>
        <v>1.3712745224981768</v>
      </c>
      <c r="Q66" s="706">
        <f t="shared" si="11"/>
        <v>0.973148907944278</v>
      </c>
      <c r="R66" s="342"/>
      <c r="T66" s="9"/>
    </row>
    <row r="67" spans="2:20" ht="16.5" thickBot="1" x14ac:dyDescent="0.3">
      <c r="B67" s="457" t="s">
        <v>23</v>
      </c>
      <c r="C67" s="691">
        <f t="shared" si="8"/>
        <v>5678734.5744338334</v>
      </c>
      <c r="D67" s="334"/>
      <c r="E67" s="691">
        <v>10088000</v>
      </c>
      <c r="F67" s="700"/>
      <c r="G67" s="691"/>
      <c r="H67" s="334"/>
      <c r="I67" s="339"/>
      <c r="J67" s="703">
        <f t="shared" si="9"/>
        <v>0.5629197635243689</v>
      </c>
      <c r="K67" s="465">
        <v>48463000</v>
      </c>
      <c r="L67" s="700"/>
      <c r="M67" s="332"/>
      <c r="N67" s="333"/>
      <c r="O67" s="691">
        <f>'Data, inkomst- skkompl, kost'!U63*1000</f>
        <v>40669000</v>
      </c>
      <c r="P67" s="697">
        <f t="shared" si="10"/>
        <v>0.13963300239577647</v>
      </c>
      <c r="Q67" s="707">
        <f t="shared" si="11"/>
        <v>0.95635298216028375</v>
      </c>
      <c r="R67" s="341"/>
      <c r="T67" s="9"/>
    </row>
    <row r="68" spans="2:20" ht="16.5" thickBot="1" x14ac:dyDescent="0.3">
      <c r="C68" s="36"/>
      <c r="Q68" s="6"/>
      <c r="T68" s="9"/>
    </row>
    <row r="69" spans="2:20" ht="16.5" thickBot="1" x14ac:dyDescent="0.3">
      <c r="B69" s="353" t="s">
        <v>81</v>
      </c>
      <c r="C69" s="692">
        <f t="shared" si="8"/>
        <v>32844868.470892943</v>
      </c>
      <c r="D69" s="354"/>
      <c r="E69" s="692">
        <f>SUM(E52:E67)</f>
        <v>35810000</v>
      </c>
      <c r="F69" s="354"/>
      <c r="G69" s="692"/>
      <c r="H69" s="354"/>
      <c r="I69" s="354"/>
      <c r="J69" s="354"/>
      <c r="K69" s="354">
        <f>SUM(K52:K67)</f>
        <v>127577000</v>
      </c>
      <c r="L69" s="354"/>
      <c r="M69" s="354"/>
      <c r="N69" s="354"/>
      <c r="O69" s="463">
        <f>'Data, inkomst- skkompl, kost'!U64*1000</f>
        <v>92205000</v>
      </c>
      <c r="P69" s="354"/>
      <c r="Q69" s="708">
        <f t="shared" si="11"/>
        <v>0.98019132344304172</v>
      </c>
      <c r="R69" s="355"/>
      <c r="T69" s="9"/>
    </row>
    <row r="70" spans="2:20" x14ac:dyDescent="0.2">
      <c r="O70" s="1" t="s">
        <v>349</v>
      </c>
      <c r="T70" s="9"/>
    </row>
  </sheetData>
  <mergeCells count="2">
    <mergeCell ref="I28:I29"/>
    <mergeCell ref="J28:J29"/>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16"/>
  <sheetViews>
    <sheetView zoomScale="85" zoomScaleNormal="85" workbookViewId="0">
      <selection activeCell="H37" sqref="H37"/>
    </sheetView>
  </sheetViews>
  <sheetFormatPr defaultColWidth="8.88671875" defaultRowHeight="15" x14ac:dyDescent="0.2"/>
  <cols>
    <col min="1" max="1" width="7.5546875" style="9" customWidth="1"/>
    <col min="2" max="2" width="12.44140625" style="9" customWidth="1"/>
    <col min="3" max="3" width="12.21875" style="11" customWidth="1"/>
    <col min="4" max="4" width="6.6640625" style="1" customWidth="1"/>
    <col min="5" max="12" width="8.88671875" style="1"/>
    <col min="13" max="13" width="7.44140625" style="1" customWidth="1"/>
    <col min="14" max="14" width="10.5546875" style="1" customWidth="1"/>
    <col min="15" max="15" width="9.88671875" style="1" customWidth="1"/>
    <col min="16" max="16" width="9" style="1" customWidth="1"/>
    <col min="17" max="18" width="8.88671875" style="1"/>
    <col min="19" max="19" width="10.5546875" style="1" customWidth="1"/>
    <col min="20" max="20" width="14.6640625" style="1" customWidth="1"/>
    <col min="21" max="21" width="8" style="1" customWidth="1"/>
    <col min="22" max="22" width="18.21875" style="1" customWidth="1"/>
    <col min="23" max="23" width="10.21875" style="1" customWidth="1"/>
    <col min="24" max="16384" width="8.88671875" style="1"/>
  </cols>
  <sheetData>
    <row r="1" spans="1:84" s="359" customFormat="1" x14ac:dyDescent="0.2">
      <c r="A1" s="357"/>
      <c r="B1" s="357"/>
      <c r="C1" s="358"/>
    </row>
    <row r="2" spans="1:84" s="359" customFormat="1" x14ac:dyDescent="0.2">
      <c r="A2" s="360"/>
      <c r="B2" s="360"/>
      <c r="C2" s="361"/>
    </row>
    <row r="3" spans="1:84" s="359" customFormat="1" ht="20.25" x14ac:dyDescent="0.3">
      <c r="A3" s="362" t="s">
        <v>189</v>
      </c>
      <c r="B3" s="363"/>
      <c r="C3" s="361"/>
    </row>
    <row r="4" spans="1:84" s="359" customFormat="1" ht="15.75" x14ac:dyDescent="0.25">
      <c r="A4" s="363"/>
      <c r="B4" s="363"/>
      <c r="C4" s="361"/>
    </row>
    <row r="5" spans="1:84" s="359" customFormat="1" ht="15.75" x14ac:dyDescent="0.25">
      <c r="A5" s="364" t="s">
        <v>190</v>
      </c>
      <c r="B5" s="363"/>
      <c r="C5" s="361"/>
    </row>
    <row r="6" spans="1:84" s="359" customFormat="1" ht="15.75" x14ac:dyDescent="0.25">
      <c r="A6" s="364" t="s">
        <v>191</v>
      </c>
      <c r="B6" s="363"/>
      <c r="C6" s="361"/>
    </row>
    <row r="7" spans="1:84" s="359" customFormat="1" ht="15.75" x14ac:dyDescent="0.25">
      <c r="A7" s="363"/>
      <c r="B7" s="363"/>
      <c r="C7" s="361"/>
    </row>
    <row r="8" spans="1:84" s="371" customFormat="1" ht="15.75" x14ac:dyDescent="0.25">
      <c r="A8" s="365"/>
      <c r="B8" s="365"/>
      <c r="C8" s="366"/>
      <c r="D8" s="367"/>
      <c r="E8" s="368"/>
      <c r="F8" s="368"/>
      <c r="G8" s="368"/>
      <c r="H8" s="368"/>
      <c r="I8" s="368"/>
      <c r="J8" s="368"/>
      <c r="K8" s="368"/>
      <c r="L8" s="368"/>
      <c r="M8" s="368"/>
      <c r="N8" s="368"/>
      <c r="O8" s="368"/>
      <c r="P8" s="368"/>
      <c r="Q8" s="368"/>
      <c r="R8" s="368"/>
      <c r="S8" s="368"/>
      <c r="T8" s="368"/>
      <c r="U8" s="367"/>
      <c r="V8" s="367"/>
      <c r="W8" s="367"/>
      <c r="X8" s="367"/>
      <c r="Y8" s="367"/>
      <c r="Z8" s="367"/>
      <c r="AA8" s="367"/>
      <c r="AB8" s="367"/>
      <c r="AC8" s="367"/>
      <c r="AD8" s="367"/>
      <c r="AE8" s="367"/>
      <c r="AF8" s="367"/>
      <c r="AG8" s="367"/>
      <c r="AH8" s="367"/>
      <c r="AI8" s="367"/>
      <c r="AJ8" s="367"/>
      <c r="AK8" s="367"/>
      <c r="AL8" s="367"/>
      <c r="AM8" s="367"/>
      <c r="AN8" s="367"/>
      <c r="AO8" s="367"/>
      <c r="AP8" s="367"/>
      <c r="AQ8" s="367"/>
      <c r="AR8" s="367"/>
      <c r="AS8" s="367"/>
      <c r="AT8" s="367"/>
      <c r="AU8" s="367"/>
      <c r="AV8" s="367"/>
      <c r="AW8" s="367"/>
      <c r="AX8" s="367"/>
      <c r="AY8" s="367"/>
      <c r="AZ8" s="367"/>
      <c r="BA8" s="369"/>
      <c r="BB8" s="369"/>
      <c r="BC8" s="369"/>
      <c r="BD8" s="369"/>
      <c r="BE8" s="369"/>
      <c r="BF8" s="369"/>
      <c r="BG8" s="369"/>
      <c r="BH8" s="369"/>
      <c r="BI8" s="369"/>
      <c r="BJ8" s="369"/>
      <c r="BK8" s="369"/>
      <c r="BL8" s="369"/>
      <c r="BM8" s="369"/>
      <c r="BN8" s="369"/>
      <c r="BO8" s="369"/>
      <c r="BP8" s="369"/>
      <c r="BQ8" s="369"/>
      <c r="BR8" s="369"/>
      <c r="BS8" s="369"/>
      <c r="BT8" s="369"/>
      <c r="BU8" s="369"/>
      <c r="BV8" s="369"/>
      <c r="BW8" s="369"/>
      <c r="BX8" s="369"/>
      <c r="BY8" s="369"/>
      <c r="BZ8" s="369"/>
      <c r="CA8" s="369"/>
      <c r="CB8" s="369"/>
      <c r="CC8" s="369"/>
      <c r="CD8" s="369"/>
      <c r="CE8" s="369"/>
      <c r="CF8" s="370"/>
    </row>
    <row r="9" spans="1:84" s="371" customFormat="1" ht="15.75" x14ac:dyDescent="0.25">
      <c r="A9" s="372"/>
      <c r="B9" s="373"/>
      <c r="C9" s="374"/>
      <c r="D9" s="375"/>
      <c r="E9" s="376" t="s">
        <v>102</v>
      </c>
      <c r="F9" s="376" t="s">
        <v>8</v>
      </c>
      <c r="G9" s="376" t="s">
        <v>11</v>
      </c>
      <c r="H9" s="376" t="s">
        <v>22</v>
      </c>
      <c r="I9" s="376" t="s">
        <v>15</v>
      </c>
      <c r="J9" s="376" t="s">
        <v>128</v>
      </c>
      <c r="K9" s="376" t="s">
        <v>16</v>
      </c>
      <c r="L9" s="376" t="s">
        <v>9</v>
      </c>
      <c r="M9" s="376" t="s">
        <v>21</v>
      </c>
      <c r="N9" s="376" t="s">
        <v>18</v>
      </c>
      <c r="O9" s="376" t="s">
        <v>13</v>
      </c>
      <c r="P9" s="376" t="s">
        <v>17</v>
      </c>
      <c r="Q9" s="376" t="s">
        <v>19</v>
      </c>
      <c r="R9" s="376" t="s">
        <v>10</v>
      </c>
      <c r="S9" s="376" t="s">
        <v>14</v>
      </c>
      <c r="T9" s="376" t="s">
        <v>23</v>
      </c>
      <c r="U9" s="377"/>
      <c r="V9" s="375"/>
      <c r="W9" s="375"/>
      <c r="X9" s="375"/>
      <c r="Y9" s="375"/>
      <c r="Z9" s="375"/>
      <c r="AA9" s="375"/>
      <c r="AB9" s="375"/>
      <c r="AC9" s="375"/>
      <c r="AD9" s="375"/>
      <c r="AE9" s="375"/>
      <c r="AF9" s="375"/>
      <c r="AG9" s="375"/>
      <c r="AH9" s="375"/>
      <c r="AI9" s="375"/>
      <c r="AJ9" s="375"/>
      <c r="AK9" s="375"/>
      <c r="AL9" s="375"/>
      <c r="AM9" s="375"/>
      <c r="AN9" s="375"/>
      <c r="AO9" s="375"/>
      <c r="AP9" s="375"/>
      <c r="AQ9" s="375"/>
      <c r="AR9" s="375"/>
      <c r="AS9" s="375"/>
      <c r="AT9" s="375"/>
      <c r="AU9" s="375"/>
      <c r="AV9" s="375"/>
      <c r="AW9" s="375"/>
      <c r="AX9" s="375"/>
      <c r="AY9" s="375"/>
      <c r="AZ9" s="375"/>
      <c r="BA9" s="378"/>
      <c r="BB9" s="378"/>
      <c r="BC9" s="378"/>
      <c r="BD9" s="378"/>
      <c r="BE9" s="378"/>
      <c r="BF9" s="378"/>
      <c r="BG9" s="378"/>
      <c r="BH9" s="378"/>
      <c r="BI9" s="378"/>
      <c r="BJ9" s="378"/>
      <c r="BK9" s="378"/>
      <c r="BL9" s="378"/>
      <c r="BM9" s="378"/>
      <c r="BN9" s="378"/>
      <c r="BO9" s="378"/>
      <c r="BP9" s="378"/>
      <c r="BQ9" s="378"/>
      <c r="BR9" s="378"/>
      <c r="BS9" s="378"/>
      <c r="BT9" s="378"/>
      <c r="BU9" s="378"/>
      <c r="BV9" s="378"/>
      <c r="BW9" s="378"/>
      <c r="BX9" s="378"/>
      <c r="BY9" s="378"/>
      <c r="BZ9" s="378"/>
      <c r="CA9" s="378"/>
      <c r="CB9" s="378"/>
      <c r="CC9" s="378"/>
      <c r="CD9" s="378"/>
      <c r="CE9" s="378"/>
      <c r="CF9" s="379"/>
    </row>
    <row r="10" spans="1:84" s="371" customFormat="1" ht="16.5" thickBot="1" x14ac:dyDescent="0.3">
      <c r="A10" s="380"/>
      <c r="B10" s="380"/>
      <c r="C10" s="18"/>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1"/>
      <c r="AJ10" s="381"/>
      <c r="AK10" s="381"/>
      <c r="AL10" s="381"/>
      <c r="AM10" s="381"/>
      <c r="AN10" s="381"/>
      <c r="AO10" s="381"/>
      <c r="AP10" s="381"/>
      <c r="AQ10" s="381"/>
      <c r="AR10" s="381"/>
      <c r="AS10" s="381"/>
      <c r="AT10" s="381"/>
      <c r="AU10" s="381"/>
      <c r="AV10" s="381"/>
      <c r="AW10" s="381"/>
      <c r="AX10" s="381"/>
      <c r="AY10" s="381"/>
      <c r="AZ10" s="381"/>
    </row>
    <row r="11" spans="1:84" s="371" customFormat="1" ht="21" thickBot="1" x14ac:dyDescent="0.35">
      <c r="A11" s="382" t="s">
        <v>192</v>
      </c>
      <c r="B11" s="383"/>
      <c r="C11" s="18"/>
      <c r="D11" s="381"/>
      <c r="E11" s="381"/>
      <c r="F11" s="381"/>
      <c r="G11" s="381"/>
      <c r="H11" s="381"/>
      <c r="I11" s="381"/>
      <c r="J11" s="381"/>
      <c r="K11" s="381"/>
      <c r="L11" s="381"/>
      <c r="M11" s="381"/>
      <c r="N11" s="381"/>
      <c r="O11" s="381"/>
      <c r="P11" s="381"/>
      <c r="Q11" s="381"/>
      <c r="R11" s="381"/>
      <c r="S11" s="381"/>
      <c r="T11" s="381"/>
      <c r="U11" s="381"/>
      <c r="V11" s="381"/>
      <c r="W11" s="381"/>
      <c r="X11" s="381"/>
      <c r="Y11" s="381"/>
      <c r="Z11" s="381"/>
      <c r="AA11" s="381"/>
      <c r="AB11" s="381"/>
      <c r="AC11" s="381"/>
      <c r="AD11" s="381"/>
      <c r="AE11" s="381"/>
      <c r="AF11" s="381"/>
      <c r="AG11" s="381"/>
      <c r="AH11" s="381"/>
      <c r="AI11" s="381"/>
      <c r="AJ11" s="381"/>
      <c r="AK11" s="381"/>
      <c r="AL11" s="381"/>
      <c r="AM11" s="381"/>
      <c r="AN11" s="381"/>
      <c r="AO11" s="381"/>
      <c r="AP11" s="381"/>
      <c r="AQ11" s="381"/>
      <c r="AR11" s="381"/>
      <c r="AS11" s="381"/>
      <c r="AT11" s="381"/>
      <c r="AU11" s="381"/>
      <c r="AV11" s="381"/>
      <c r="AW11" s="381"/>
      <c r="AX11" s="381"/>
      <c r="AY11" s="381"/>
      <c r="AZ11" s="381"/>
    </row>
    <row r="12" spans="1:84" s="371" customFormat="1" ht="20.25" x14ac:dyDescent="0.3">
      <c r="A12" s="384"/>
      <c r="B12" s="380"/>
      <c r="C12" s="18"/>
      <c r="D12" s="381"/>
      <c r="E12" s="381">
        <v>1</v>
      </c>
      <c r="F12" s="381">
        <v>2</v>
      </c>
      <c r="G12" s="381">
        <v>3</v>
      </c>
      <c r="H12" s="381">
        <v>4</v>
      </c>
      <c r="I12" s="381">
        <v>5</v>
      </c>
      <c r="J12" s="381">
        <v>6</v>
      </c>
      <c r="K12" s="381">
        <v>7</v>
      </c>
      <c r="L12" s="381">
        <v>8</v>
      </c>
      <c r="M12" s="381">
        <v>9</v>
      </c>
      <c r="N12" s="381">
        <v>10</v>
      </c>
      <c r="O12" s="381">
        <v>11</v>
      </c>
      <c r="P12" s="381">
        <v>12</v>
      </c>
      <c r="Q12" s="381">
        <v>13</v>
      </c>
      <c r="R12" s="381">
        <v>14</v>
      </c>
      <c r="S12" s="381">
        <v>15</v>
      </c>
      <c r="T12" s="381">
        <v>16</v>
      </c>
      <c r="U12" s="381"/>
      <c r="V12" s="385" t="s">
        <v>193</v>
      </c>
      <c r="W12" s="386">
        <v>16621.594601349661</v>
      </c>
      <c r="X12" s="381"/>
      <c r="Y12" s="381"/>
      <c r="Z12" s="381"/>
      <c r="AA12" s="381"/>
      <c r="AB12" s="381"/>
      <c r="AC12" s="381"/>
      <c r="AD12" s="381"/>
      <c r="AE12" s="381"/>
      <c r="AF12" s="381"/>
      <c r="AG12" s="381"/>
      <c r="AH12" s="381"/>
      <c r="AI12" s="381"/>
      <c r="AJ12" s="381"/>
      <c r="AK12" s="381"/>
      <c r="AL12" s="381"/>
      <c r="AM12" s="381"/>
      <c r="AN12" s="381"/>
      <c r="AO12" s="381"/>
      <c r="AP12" s="381"/>
      <c r="AQ12" s="381"/>
      <c r="AR12" s="381"/>
      <c r="AS12" s="381"/>
      <c r="AT12" s="381"/>
      <c r="AU12" s="381"/>
      <c r="AV12" s="381"/>
      <c r="AW12" s="381"/>
      <c r="AX12" s="381"/>
      <c r="AY12" s="381"/>
      <c r="AZ12" s="381"/>
    </row>
    <row r="13" spans="1:84" s="371" customFormat="1" ht="15.75" x14ac:dyDescent="0.25">
      <c r="A13" s="380"/>
      <c r="B13" s="387" t="s">
        <v>194</v>
      </c>
      <c r="C13" s="388" t="s">
        <v>195</v>
      </c>
      <c r="D13" s="385"/>
      <c r="E13" s="389">
        <v>11656.842105263158</v>
      </c>
      <c r="F13" s="389">
        <v>14440.573770491803</v>
      </c>
      <c r="G13" s="389">
        <v>14600</v>
      </c>
      <c r="H13" s="389">
        <v>12420.353982300885</v>
      </c>
      <c r="I13" s="389">
        <v>14832.417582417582</v>
      </c>
      <c r="J13" s="389">
        <v>17000</v>
      </c>
      <c r="K13" s="389">
        <v>13501.930501930501</v>
      </c>
      <c r="L13" s="389">
        <v>13275.715800636268</v>
      </c>
      <c r="M13" s="389">
        <v>14899.90186457311</v>
      </c>
      <c r="N13" s="389">
        <v>16149.746192893401</v>
      </c>
      <c r="O13" s="389">
        <v>14050.397877984085</v>
      </c>
      <c r="P13" s="389">
        <v>16692.943770672548</v>
      </c>
      <c r="Q13" s="389">
        <v>14865.149833518313</v>
      </c>
      <c r="R13" s="389">
        <v>15019.184652278178</v>
      </c>
      <c r="S13" s="389">
        <v>16800.390434358225</v>
      </c>
      <c r="T13" s="389">
        <v>18694.459338695262</v>
      </c>
      <c r="U13" s="385"/>
      <c r="V13" s="385" t="s">
        <v>196</v>
      </c>
      <c r="W13" s="390">
        <v>0.17027508050211806</v>
      </c>
      <c r="X13" s="381"/>
      <c r="Y13" s="381"/>
      <c r="Z13" s="381"/>
      <c r="AA13" s="381"/>
      <c r="AB13" s="381"/>
      <c r="AC13" s="381"/>
      <c r="AD13" s="381"/>
      <c r="AE13" s="381"/>
      <c r="AF13" s="381"/>
      <c r="AG13" s="381"/>
      <c r="AH13" s="381"/>
      <c r="AI13" s="381"/>
      <c r="AJ13" s="381"/>
      <c r="AK13" s="381"/>
      <c r="AL13" s="381"/>
      <c r="AM13" s="381"/>
      <c r="AN13" s="381"/>
      <c r="AO13" s="381"/>
      <c r="AP13" s="381"/>
      <c r="AQ13" s="381"/>
      <c r="AR13" s="381"/>
      <c r="AS13" s="381"/>
      <c r="AT13" s="381"/>
      <c r="AU13" s="381"/>
      <c r="AV13" s="381"/>
      <c r="AW13" s="381"/>
      <c r="AX13" s="381"/>
      <c r="AY13" s="381"/>
      <c r="AZ13" s="381"/>
    </row>
    <row r="14" spans="1:84" s="371" customFormat="1" ht="15.75" x14ac:dyDescent="0.25">
      <c r="A14" s="380"/>
      <c r="B14" s="387" t="s">
        <v>197</v>
      </c>
      <c r="C14" s="391" t="s">
        <v>195</v>
      </c>
      <c r="D14" s="392"/>
      <c r="E14" s="393">
        <f>SUM(E15:E16)</f>
        <v>2096.4578947368423</v>
      </c>
      <c r="F14" s="393">
        <f t="shared" ref="F14:T14" si="0">SUM(F15:F16)</f>
        <v>2844.1157629066106</v>
      </c>
      <c r="G14" s="393">
        <f t="shared" si="0"/>
        <v>3013.3275862068967</v>
      </c>
      <c r="H14" s="393">
        <f t="shared" si="0"/>
        <v>2195.6858407079644</v>
      </c>
      <c r="I14" s="393">
        <f t="shared" si="0"/>
        <v>2831.9093406593406</v>
      </c>
      <c r="J14" s="393">
        <f t="shared" si="0"/>
        <v>3110.4201680672268</v>
      </c>
      <c r="K14" s="393">
        <f t="shared" si="0"/>
        <v>2559.6332046332045</v>
      </c>
      <c r="L14" s="393">
        <f t="shared" si="0"/>
        <v>2861.5270413573699</v>
      </c>
      <c r="M14" s="393">
        <f t="shared" si="0"/>
        <v>2779.05299313052</v>
      </c>
      <c r="N14" s="393">
        <f t="shared" si="0"/>
        <v>3256.7385786802029</v>
      </c>
      <c r="O14" s="393">
        <f t="shared" si="0"/>
        <v>2504.5015952777703</v>
      </c>
      <c r="P14" s="393">
        <f t="shared" si="0"/>
        <v>2903.0318151513989</v>
      </c>
      <c r="Q14" s="393">
        <f t="shared" si="0"/>
        <v>2871.8971040012411</v>
      </c>
      <c r="R14" s="393">
        <f t="shared" si="0"/>
        <v>3069.8281374900084</v>
      </c>
      <c r="S14" s="393">
        <f t="shared" si="0"/>
        <v>3111.5419088359749</v>
      </c>
      <c r="T14" s="393">
        <f t="shared" si="0"/>
        <v>4063.6295232635011</v>
      </c>
      <c r="U14" s="381"/>
      <c r="V14" s="385" t="s">
        <v>198</v>
      </c>
      <c r="W14" s="394">
        <f>W12*W13+W15</f>
        <v>3303.4107812484913</v>
      </c>
      <c r="X14" s="385">
        <f>W14*1.1</f>
        <v>3633.7518593733407</v>
      </c>
      <c r="Y14" s="381"/>
      <c r="Z14" s="381"/>
      <c r="AA14" s="381"/>
      <c r="AB14" s="381"/>
      <c r="AC14" s="381"/>
      <c r="AD14" s="381"/>
      <c r="AE14" s="381"/>
      <c r="AF14" s="381"/>
      <c r="AG14" s="381"/>
      <c r="AH14" s="381"/>
      <c r="AI14" s="381"/>
      <c r="AJ14" s="381"/>
      <c r="AK14" s="381"/>
      <c r="AL14" s="381"/>
      <c r="AM14" s="381"/>
      <c r="AN14" s="381"/>
      <c r="AO14" s="381"/>
      <c r="AP14" s="381"/>
      <c r="AQ14" s="381"/>
      <c r="AR14" s="381"/>
      <c r="AS14" s="381"/>
      <c r="AT14" s="381"/>
      <c r="AU14" s="381"/>
      <c r="AV14" s="381"/>
      <c r="AW14" s="381"/>
      <c r="AX14" s="381"/>
      <c r="AY14" s="381"/>
      <c r="AZ14" s="381"/>
    </row>
    <row r="15" spans="1:84" s="371" customFormat="1" ht="15.75" x14ac:dyDescent="0.25">
      <c r="A15" s="395"/>
      <c r="B15" s="396" t="s">
        <v>199</v>
      </c>
      <c r="C15" s="391"/>
      <c r="D15" s="395"/>
      <c r="E15" s="397">
        <f>E13*(IF(E17&gt;$W$13,E17,$W$13))</f>
        <v>2069.0894736842106</v>
      </c>
      <c r="F15" s="397">
        <f t="shared" ref="F15:T15" si="1">F13*(IF(F17&gt;$W$13,F17,$W$13))</f>
        <v>2458.8698612672665</v>
      </c>
      <c r="G15" s="397">
        <f t="shared" si="1"/>
        <v>2518.5</v>
      </c>
      <c r="H15" s="397">
        <f t="shared" si="1"/>
        <v>2173.5619469026547</v>
      </c>
      <c r="I15" s="397">
        <f t="shared" si="1"/>
        <v>2743.9972527472528</v>
      </c>
      <c r="J15" s="397">
        <f t="shared" si="1"/>
        <v>3060</v>
      </c>
      <c r="K15" s="397">
        <f t="shared" si="1"/>
        <v>2497.8571428571427</v>
      </c>
      <c r="L15" s="397">
        <f t="shared" si="1"/>
        <v>2389.628844114528</v>
      </c>
      <c r="M15" s="397">
        <f t="shared" si="1"/>
        <v>2756.4818449460254</v>
      </c>
      <c r="N15" s="397">
        <f t="shared" si="1"/>
        <v>2987.703045685279</v>
      </c>
      <c r="O15" s="397">
        <f t="shared" si="1"/>
        <v>2392.4326297605289</v>
      </c>
      <c r="P15" s="397">
        <f t="shared" si="1"/>
        <v>2842.3923443685985</v>
      </c>
      <c r="Q15" s="397">
        <f t="shared" si="1"/>
        <v>2531.1645845783778</v>
      </c>
      <c r="R15" s="397">
        <f t="shared" si="1"/>
        <v>2928.741007194245</v>
      </c>
      <c r="S15" s="397">
        <f t="shared" si="1"/>
        <v>2860.6878336773611</v>
      </c>
      <c r="T15" s="397">
        <f t="shared" si="1"/>
        <v>3183.2005688399086</v>
      </c>
      <c r="U15" s="381"/>
      <c r="V15" s="385" t="s">
        <v>200</v>
      </c>
      <c r="W15" s="394">
        <v>473.16742243010674</v>
      </c>
      <c r="X15" s="381"/>
      <c r="Y15" s="381"/>
      <c r="Z15" s="381"/>
      <c r="AA15" s="381"/>
      <c r="AB15" s="381"/>
      <c r="AC15" s="381"/>
      <c r="AD15" s="381"/>
      <c r="AE15" s="381"/>
      <c r="AF15" s="381"/>
      <c r="AG15" s="381"/>
      <c r="AH15" s="381"/>
      <c r="AI15" s="381"/>
      <c r="AJ15" s="381"/>
      <c r="AK15" s="381"/>
      <c r="AL15" s="381"/>
      <c r="AM15" s="381"/>
      <c r="AN15" s="381"/>
      <c r="AO15" s="381"/>
      <c r="AP15" s="381"/>
      <c r="AQ15" s="381"/>
      <c r="AR15" s="381"/>
      <c r="AS15" s="381"/>
      <c r="AT15" s="381"/>
      <c r="AU15" s="381"/>
      <c r="AV15" s="381"/>
      <c r="AW15" s="381"/>
      <c r="AX15" s="381"/>
      <c r="AY15" s="381"/>
      <c r="AZ15" s="381"/>
    </row>
    <row r="16" spans="1:84" s="371" customFormat="1" ht="15.75" x14ac:dyDescent="0.25">
      <c r="A16" s="395"/>
      <c r="B16" s="396" t="s">
        <v>201</v>
      </c>
      <c r="C16" s="391"/>
      <c r="D16" s="395"/>
      <c r="E16" s="397">
        <v>27.368421052631579</v>
      </c>
      <c r="F16" s="397">
        <v>385.24590163934425</v>
      </c>
      <c r="G16" s="397">
        <v>494.82758620689657</v>
      </c>
      <c r="H16" s="397">
        <v>22.123893805309734</v>
      </c>
      <c r="I16" s="397">
        <v>87.912087912087912</v>
      </c>
      <c r="J16" s="397">
        <v>50.420168067226889</v>
      </c>
      <c r="K16" s="397">
        <v>61.776061776061781</v>
      </c>
      <c r="L16" s="397">
        <v>471.898197242842</v>
      </c>
      <c r="M16" s="397">
        <v>22.571148184494604</v>
      </c>
      <c r="N16" s="397">
        <v>269.03553299492381</v>
      </c>
      <c r="O16" s="397">
        <v>112.06896551724138</v>
      </c>
      <c r="P16" s="397">
        <v>60.639470782800444</v>
      </c>
      <c r="Q16" s="397">
        <v>340.7325194228635</v>
      </c>
      <c r="R16" s="397">
        <v>141.08713029576339</v>
      </c>
      <c r="S16" s="397">
        <v>250.85407515861397</v>
      </c>
      <c r="T16" s="397">
        <v>880.42895442359247</v>
      </c>
      <c r="U16" s="381"/>
      <c r="V16" s="381"/>
      <c r="W16" s="381"/>
      <c r="X16" s="381"/>
      <c r="Y16" s="381"/>
      <c r="Z16" s="381"/>
      <c r="AA16" s="381"/>
      <c r="AB16" s="381"/>
      <c r="AC16" s="381"/>
      <c r="AD16" s="381"/>
      <c r="AE16" s="381"/>
      <c r="AF16" s="381"/>
      <c r="AG16" s="381"/>
      <c r="AH16" s="381"/>
      <c r="AI16" s="381"/>
      <c r="AJ16" s="381"/>
      <c r="AK16" s="381"/>
      <c r="AL16" s="381"/>
      <c r="AM16" s="381"/>
      <c r="AN16" s="381"/>
      <c r="AO16" s="381"/>
      <c r="AP16" s="381"/>
      <c r="AQ16" s="381"/>
      <c r="AR16" s="381"/>
      <c r="AS16" s="381"/>
      <c r="AT16" s="381"/>
      <c r="AU16" s="381"/>
      <c r="AV16" s="381"/>
      <c r="AW16" s="381"/>
      <c r="AX16" s="381"/>
      <c r="AY16" s="381"/>
      <c r="AZ16" s="381"/>
    </row>
    <row r="17" spans="1:52" s="371" customFormat="1" ht="15.75" x14ac:dyDescent="0.25">
      <c r="A17" s="395"/>
      <c r="B17" s="396" t="s">
        <v>202</v>
      </c>
      <c r="C17" s="391"/>
      <c r="D17" s="395"/>
      <c r="E17" s="398">
        <v>0.17749999999999999</v>
      </c>
      <c r="F17" s="398">
        <v>0.17</v>
      </c>
      <c r="G17" s="398">
        <v>0.17249999999999999</v>
      </c>
      <c r="H17" s="398">
        <v>0.17499999999999999</v>
      </c>
      <c r="I17" s="398">
        <v>0.185</v>
      </c>
      <c r="J17" s="398">
        <v>0.18</v>
      </c>
      <c r="K17" s="398">
        <v>0.185</v>
      </c>
      <c r="L17" s="398">
        <v>0.18</v>
      </c>
      <c r="M17" s="398">
        <v>0.185</v>
      </c>
      <c r="N17" s="398">
        <v>0.185</v>
      </c>
      <c r="O17" s="398">
        <v>0.16500000000000001</v>
      </c>
      <c r="P17" s="398">
        <v>0.16500000000000001</v>
      </c>
      <c r="Q17" s="398">
        <v>0.16250000000000001</v>
      </c>
      <c r="R17" s="398">
        <v>0.19500000000000001</v>
      </c>
      <c r="S17" s="398">
        <v>0.17</v>
      </c>
      <c r="T17" s="398">
        <v>0.16500000000000001</v>
      </c>
      <c r="U17" s="395"/>
      <c r="V17" s="381"/>
      <c r="W17" s="381"/>
      <c r="X17" s="381"/>
      <c r="Y17" s="381"/>
      <c r="Z17" s="381"/>
      <c r="AA17" s="381"/>
      <c r="AB17" s="381"/>
      <c r="AC17" s="381"/>
      <c r="AD17" s="381"/>
      <c r="AE17" s="381"/>
      <c r="AF17" s="381"/>
      <c r="AG17" s="381"/>
      <c r="AH17" s="381"/>
      <c r="AI17" s="381"/>
      <c r="AJ17" s="381"/>
      <c r="AK17" s="381"/>
      <c r="AL17" s="381"/>
      <c r="AM17" s="381"/>
      <c r="AN17" s="381"/>
      <c r="AO17" s="381"/>
      <c r="AP17" s="381"/>
      <c r="AQ17" s="381"/>
      <c r="AR17" s="381"/>
      <c r="AS17" s="381"/>
      <c r="AT17" s="381"/>
      <c r="AU17" s="381"/>
      <c r="AV17" s="381"/>
      <c r="AW17" s="381"/>
      <c r="AX17" s="381"/>
      <c r="AY17" s="381"/>
      <c r="AZ17" s="381"/>
    </row>
    <row r="18" spans="1:52" s="371" customFormat="1" x14ac:dyDescent="0.2">
      <c r="A18" s="395"/>
      <c r="B18" s="399"/>
      <c r="C18" s="391"/>
      <c r="D18" s="399"/>
      <c r="E18" s="399"/>
      <c r="F18" s="399"/>
      <c r="G18" s="399"/>
      <c r="H18" s="399"/>
      <c r="I18" s="399"/>
      <c r="J18" s="399"/>
      <c r="K18" s="399"/>
      <c r="L18" s="399"/>
      <c r="M18" s="399"/>
      <c r="N18" s="399"/>
      <c r="O18" s="399"/>
      <c r="P18" s="399"/>
      <c r="Q18" s="399"/>
      <c r="R18" s="399"/>
      <c r="S18" s="399"/>
      <c r="T18" s="399"/>
      <c r="U18" s="385"/>
      <c r="V18" s="381"/>
      <c r="W18" s="381"/>
      <c r="X18" s="381"/>
      <c r="Y18" s="381"/>
      <c r="Z18" s="381"/>
      <c r="AA18" s="381"/>
      <c r="AB18" s="381"/>
      <c r="AC18" s="381"/>
      <c r="AD18" s="381"/>
      <c r="AE18" s="381"/>
      <c r="AF18" s="381"/>
      <c r="AG18" s="381"/>
      <c r="AH18" s="381"/>
      <c r="AI18" s="381"/>
      <c r="AJ18" s="381"/>
      <c r="AK18" s="381"/>
      <c r="AL18" s="381"/>
      <c r="AM18" s="381"/>
      <c r="AN18" s="381"/>
      <c r="AO18" s="381"/>
      <c r="AP18" s="381"/>
      <c r="AQ18" s="381"/>
      <c r="AR18" s="381"/>
      <c r="AS18" s="381"/>
      <c r="AT18" s="381"/>
      <c r="AU18" s="381"/>
      <c r="AV18" s="381"/>
      <c r="AW18" s="381"/>
      <c r="AX18" s="381"/>
      <c r="AY18" s="381"/>
      <c r="AZ18" s="381"/>
    </row>
    <row r="19" spans="1:52" s="371" customFormat="1" x14ac:dyDescent="0.2">
      <c r="A19" s="395"/>
      <c r="B19" s="399" t="s">
        <v>203</v>
      </c>
      <c r="C19" s="400"/>
      <c r="D19" s="399"/>
      <c r="E19" s="398">
        <f>(IF(E17&gt;$W$13,E17,$W$13))</f>
        <v>0.17749999999999999</v>
      </c>
      <c r="F19" s="398">
        <f t="shared" ref="F19:T19" si="2">(IF(F17&gt;$W$13,F17,$W$13))</f>
        <v>0.17027508050211806</v>
      </c>
      <c r="G19" s="398">
        <f t="shared" si="2"/>
        <v>0.17249999999999999</v>
      </c>
      <c r="H19" s="398">
        <f t="shared" si="2"/>
        <v>0.17499999999999999</v>
      </c>
      <c r="I19" s="398">
        <f t="shared" si="2"/>
        <v>0.185</v>
      </c>
      <c r="J19" s="398">
        <f t="shared" si="2"/>
        <v>0.18</v>
      </c>
      <c r="K19" s="398">
        <f t="shared" si="2"/>
        <v>0.185</v>
      </c>
      <c r="L19" s="398">
        <f t="shared" si="2"/>
        <v>0.18</v>
      </c>
      <c r="M19" s="398">
        <f t="shared" si="2"/>
        <v>0.185</v>
      </c>
      <c r="N19" s="398">
        <f t="shared" si="2"/>
        <v>0.185</v>
      </c>
      <c r="O19" s="398">
        <f t="shared" si="2"/>
        <v>0.17027508050211806</v>
      </c>
      <c r="P19" s="398">
        <f t="shared" si="2"/>
        <v>0.17027508050211806</v>
      </c>
      <c r="Q19" s="398">
        <f t="shared" si="2"/>
        <v>0.17027508050211806</v>
      </c>
      <c r="R19" s="398">
        <f t="shared" si="2"/>
        <v>0.19500000000000001</v>
      </c>
      <c r="S19" s="398">
        <f t="shared" si="2"/>
        <v>0.17027508050211806</v>
      </c>
      <c r="T19" s="398">
        <f t="shared" si="2"/>
        <v>0.17027508050211806</v>
      </c>
      <c r="U19" s="381"/>
      <c r="V19" s="381"/>
      <c r="W19" s="381"/>
      <c r="X19" s="381"/>
      <c r="Y19" s="381"/>
      <c r="Z19" s="381"/>
      <c r="AA19" s="381"/>
      <c r="AB19" s="381"/>
      <c r="AC19" s="381"/>
      <c r="AD19" s="381"/>
      <c r="AE19" s="381"/>
      <c r="AF19" s="381"/>
      <c r="AG19" s="381"/>
      <c r="AH19" s="381"/>
      <c r="AI19" s="381"/>
      <c r="AJ19" s="381"/>
      <c r="AK19" s="381"/>
      <c r="AL19" s="381"/>
      <c r="AM19" s="381"/>
      <c r="AN19" s="381"/>
      <c r="AO19" s="381"/>
      <c r="AP19" s="381"/>
      <c r="AQ19" s="381"/>
      <c r="AR19" s="381"/>
      <c r="AS19" s="381"/>
      <c r="AT19" s="381"/>
      <c r="AU19" s="381"/>
      <c r="AV19" s="381"/>
      <c r="AW19" s="381"/>
      <c r="AX19" s="381"/>
      <c r="AY19" s="381"/>
      <c r="AZ19" s="381"/>
    </row>
    <row r="20" spans="1:52" s="371" customFormat="1" x14ac:dyDescent="0.2">
      <c r="A20" s="395"/>
      <c r="B20" s="399"/>
      <c r="C20" s="400"/>
      <c r="D20" s="399"/>
      <c r="E20" s="399"/>
      <c r="F20" s="399"/>
      <c r="G20" s="399"/>
      <c r="H20" s="399"/>
      <c r="I20" s="399"/>
      <c r="J20" s="399"/>
      <c r="K20" s="399"/>
      <c r="L20" s="399"/>
      <c r="M20" s="399"/>
      <c r="N20" s="399"/>
      <c r="O20" s="399"/>
      <c r="P20" s="399"/>
      <c r="Q20" s="399"/>
      <c r="R20" s="399"/>
      <c r="S20" s="399"/>
      <c r="T20" s="399"/>
      <c r="U20" s="381"/>
      <c r="V20" s="381"/>
      <c r="W20" s="381"/>
      <c r="X20" s="381"/>
      <c r="Y20" s="381"/>
      <c r="Z20" s="381"/>
      <c r="AA20" s="381"/>
      <c r="AB20" s="381"/>
      <c r="AC20" s="381"/>
      <c r="AD20" s="381"/>
      <c r="AE20" s="381"/>
      <c r="AF20" s="381"/>
      <c r="AG20" s="381"/>
      <c r="AH20" s="381"/>
      <c r="AI20" s="381"/>
      <c r="AJ20" s="381"/>
      <c r="AK20" s="381"/>
      <c r="AL20" s="381"/>
      <c r="AM20" s="381"/>
      <c r="AN20" s="381"/>
      <c r="AO20" s="381"/>
      <c r="AP20" s="381"/>
      <c r="AQ20" s="381"/>
      <c r="AR20" s="381"/>
      <c r="AS20" s="381"/>
      <c r="AT20" s="381"/>
      <c r="AU20" s="381"/>
      <c r="AV20" s="381"/>
      <c r="AW20" s="381"/>
      <c r="AX20" s="381"/>
      <c r="AY20" s="381"/>
      <c r="AZ20" s="381"/>
    </row>
    <row r="21" spans="1:52" s="371" customFormat="1" x14ac:dyDescent="0.2">
      <c r="A21" s="395"/>
      <c r="B21" s="399"/>
      <c r="C21" s="391"/>
      <c r="D21" s="399"/>
      <c r="E21" s="399"/>
      <c r="F21" s="399"/>
      <c r="G21" s="399"/>
      <c r="H21" s="399"/>
      <c r="I21" s="399"/>
      <c r="J21" s="399"/>
      <c r="K21" s="399"/>
      <c r="L21" s="399"/>
      <c r="M21" s="399"/>
      <c r="N21" s="399"/>
      <c r="O21" s="399"/>
      <c r="P21" s="399"/>
      <c r="Q21" s="399"/>
      <c r="R21" s="399"/>
      <c r="S21" s="399"/>
      <c r="T21" s="399"/>
      <c r="U21" s="381"/>
      <c r="V21" s="381"/>
      <c r="W21" s="381"/>
      <c r="X21" s="381"/>
      <c r="Y21" s="381"/>
      <c r="Z21" s="381"/>
      <c r="AA21" s="381"/>
      <c r="AB21" s="381"/>
      <c r="AC21" s="381"/>
      <c r="AD21" s="381"/>
      <c r="AE21" s="381"/>
      <c r="AF21" s="381"/>
      <c r="AG21" s="381"/>
      <c r="AH21" s="381"/>
      <c r="AI21" s="381"/>
      <c r="AJ21" s="381"/>
      <c r="AK21" s="381"/>
      <c r="AL21" s="381"/>
      <c r="AM21" s="381"/>
      <c r="AN21" s="381"/>
      <c r="AO21" s="381"/>
      <c r="AP21" s="381"/>
      <c r="AQ21" s="381"/>
      <c r="AR21" s="381"/>
      <c r="AS21" s="381"/>
      <c r="AT21" s="381"/>
      <c r="AU21" s="381"/>
      <c r="AV21" s="381"/>
      <c r="AW21" s="381"/>
      <c r="AX21" s="381"/>
      <c r="AY21" s="381"/>
      <c r="AZ21" s="381"/>
    </row>
    <row r="22" spans="1:52" s="371" customFormat="1" x14ac:dyDescent="0.2">
      <c r="A22" s="395"/>
      <c r="B22" s="399" t="s">
        <v>204</v>
      </c>
      <c r="C22" s="401"/>
      <c r="D22" s="399"/>
      <c r="E22" s="402">
        <f>E14-$W$14</f>
        <v>-1206.952886511649</v>
      </c>
      <c r="F22" s="402">
        <f t="shared" ref="F22:T22" si="3">F14-$W$14</f>
        <v>-459.29501834188068</v>
      </c>
      <c r="G22" s="402">
        <f t="shared" si="3"/>
        <v>-290.08319504159454</v>
      </c>
      <c r="H22" s="402">
        <f t="shared" si="3"/>
        <v>-1107.7249405405269</v>
      </c>
      <c r="I22" s="402">
        <f t="shared" si="3"/>
        <v>-471.50144058915066</v>
      </c>
      <c r="J22" s="402">
        <f t="shared" si="3"/>
        <v>-192.99061318126451</v>
      </c>
      <c r="K22" s="402">
        <f t="shared" si="3"/>
        <v>-743.77757661528676</v>
      </c>
      <c r="L22" s="402">
        <f t="shared" si="3"/>
        <v>-441.88373989112142</v>
      </c>
      <c r="M22" s="402">
        <f t="shared" si="3"/>
        <v>-524.35778811797127</v>
      </c>
      <c r="N22" s="402">
        <f t="shared" si="3"/>
        <v>-46.672202568288412</v>
      </c>
      <c r="O22" s="402">
        <f t="shared" si="3"/>
        <v>-798.90918597072096</v>
      </c>
      <c r="P22" s="402">
        <f t="shared" si="3"/>
        <v>-400.37896609709242</v>
      </c>
      <c r="Q22" s="402">
        <f t="shared" si="3"/>
        <v>-431.51367724725014</v>
      </c>
      <c r="R22" s="402">
        <f t="shared" si="3"/>
        <v>-233.58264375848285</v>
      </c>
      <c r="S22" s="402">
        <f t="shared" si="3"/>
        <v>-191.86887241251634</v>
      </c>
      <c r="T22" s="402">
        <f t="shared" si="3"/>
        <v>760.21874201500987</v>
      </c>
      <c r="U22" s="381"/>
      <c r="V22" s="381"/>
      <c r="W22" s="381"/>
      <c r="X22" s="381"/>
      <c r="Y22" s="381"/>
      <c r="Z22" s="381"/>
      <c r="AA22" s="381"/>
      <c r="AB22" s="381"/>
      <c r="AC22" s="381"/>
      <c r="AD22" s="381"/>
      <c r="AE22" s="381"/>
      <c r="AF22" s="381"/>
      <c r="AG22" s="381"/>
      <c r="AH22" s="381"/>
      <c r="AI22" s="381"/>
      <c r="AJ22" s="381"/>
      <c r="AK22" s="381"/>
      <c r="AL22" s="381"/>
      <c r="AM22" s="381"/>
      <c r="AN22" s="381"/>
      <c r="AO22" s="381"/>
      <c r="AP22" s="381"/>
      <c r="AQ22" s="381"/>
      <c r="AR22" s="381"/>
      <c r="AS22" s="381"/>
      <c r="AT22" s="381"/>
      <c r="AU22" s="381"/>
      <c r="AV22" s="381"/>
      <c r="AW22" s="381"/>
      <c r="AX22" s="381"/>
      <c r="AY22" s="381"/>
      <c r="AZ22" s="381"/>
    </row>
    <row r="23" spans="1:52" s="371" customFormat="1" x14ac:dyDescent="0.2">
      <c r="A23" s="395"/>
      <c r="B23" s="399"/>
      <c r="C23" s="401"/>
      <c r="D23" s="399"/>
      <c r="E23" s="399"/>
      <c r="F23" s="399"/>
      <c r="G23" s="399"/>
      <c r="H23" s="399"/>
      <c r="I23" s="399"/>
      <c r="J23" s="399"/>
      <c r="K23" s="399"/>
      <c r="L23" s="399"/>
      <c r="M23" s="399"/>
      <c r="N23" s="399"/>
      <c r="O23" s="399"/>
      <c r="P23" s="399"/>
      <c r="Q23" s="399"/>
      <c r="R23" s="399"/>
      <c r="S23" s="399"/>
      <c r="T23" s="399"/>
      <c r="U23" s="381"/>
      <c r="V23" s="381"/>
      <c r="W23" s="381"/>
      <c r="X23" s="381"/>
      <c r="Y23" s="381"/>
      <c r="Z23" s="381"/>
      <c r="AA23" s="381"/>
      <c r="AB23" s="381"/>
      <c r="AC23" s="381"/>
      <c r="AD23" s="381"/>
      <c r="AE23" s="381"/>
      <c r="AF23" s="381"/>
      <c r="AG23" s="381"/>
      <c r="AH23" s="381"/>
      <c r="AI23" s="381"/>
      <c r="AJ23" s="381"/>
      <c r="AK23" s="381"/>
      <c r="AL23" s="381"/>
      <c r="AM23" s="381"/>
      <c r="AN23" s="381"/>
      <c r="AO23" s="381"/>
      <c r="AP23" s="381"/>
      <c r="AQ23" s="381"/>
      <c r="AR23" s="381"/>
      <c r="AS23" s="381"/>
      <c r="AT23" s="381"/>
      <c r="AU23" s="381"/>
      <c r="AV23" s="381"/>
      <c r="AW23" s="381"/>
      <c r="AX23" s="381"/>
      <c r="AY23" s="381"/>
      <c r="AZ23" s="381"/>
    </row>
    <row r="24" spans="1:52" s="371" customFormat="1" x14ac:dyDescent="0.2">
      <c r="A24" s="395"/>
      <c r="B24" s="399" t="s">
        <v>205</v>
      </c>
      <c r="C24" s="391"/>
      <c r="D24" s="399"/>
      <c r="E24" s="402">
        <f>IF(E22&lt;0,E22*-1*0.9,0)</f>
        <v>1086.2575978604841</v>
      </c>
      <c r="F24" s="402">
        <f t="shared" ref="F24:T24" si="4">IF(F22&lt;0,F22*-1*0.9,0)</f>
        <v>413.36551650769263</v>
      </c>
      <c r="G24" s="402">
        <f t="shared" si="4"/>
        <v>261.0748755374351</v>
      </c>
      <c r="H24" s="402">
        <f t="shared" si="4"/>
        <v>996.95244648647417</v>
      </c>
      <c r="I24" s="402">
        <f t="shared" si="4"/>
        <v>424.35129653023563</v>
      </c>
      <c r="J24" s="402">
        <f t="shared" si="4"/>
        <v>173.69155186313807</v>
      </c>
      <c r="K24" s="402">
        <f t="shared" si="4"/>
        <v>669.39981895375809</v>
      </c>
      <c r="L24" s="402">
        <f t="shared" si="4"/>
        <v>397.69536590200931</v>
      </c>
      <c r="M24" s="402">
        <f t="shared" si="4"/>
        <v>471.92200930617417</v>
      </c>
      <c r="N24" s="402">
        <f t="shared" si="4"/>
        <v>42.004982311459571</v>
      </c>
      <c r="O24" s="402">
        <f t="shared" si="4"/>
        <v>719.01826737364888</v>
      </c>
      <c r="P24" s="402">
        <f t="shared" si="4"/>
        <v>360.34106948738321</v>
      </c>
      <c r="Q24" s="402">
        <f t="shared" si="4"/>
        <v>388.36230952252515</v>
      </c>
      <c r="R24" s="402">
        <f t="shared" si="4"/>
        <v>210.22437938263457</v>
      </c>
      <c r="S24" s="402">
        <f t="shared" si="4"/>
        <v>172.6819851712647</v>
      </c>
      <c r="T24" s="402">
        <f t="shared" si="4"/>
        <v>0</v>
      </c>
      <c r="U24" s="381"/>
      <c r="V24" s="381"/>
      <c r="W24" s="381"/>
      <c r="X24" s="381"/>
      <c r="Y24" s="381"/>
      <c r="Z24" s="381"/>
      <c r="AA24" s="381"/>
      <c r="AB24" s="381"/>
      <c r="AC24" s="381"/>
      <c r="AD24" s="381"/>
      <c r="AE24" s="381"/>
      <c r="AF24" s="381"/>
      <c r="AG24" s="381"/>
      <c r="AH24" s="381"/>
      <c r="AI24" s="381"/>
      <c r="AJ24" s="381"/>
      <c r="AK24" s="381"/>
      <c r="AL24" s="381"/>
      <c r="AM24" s="381"/>
      <c r="AN24" s="381"/>
      <c r="AO24" s="381"/>
      <c r="AP24" s="381"/>
      <c r="AQ24" s="381"/>
      <c r="AR24" s="381"/>
      <c r="AS24" s="381"/>
      <c r="AT24" s="381"/>
      <c r="AU24" s="381"/>
      <c r="AV24" s="381"/>
      <c r="AW24" s="381"/>
      <c r="AX24" s="381"/>
      <c r="AY24" s="381"/>
      <c r="AZ24" s="381"/>
    </row>
    <row r="25" spans="1:52" s="371" customFormat="1" x14ac:dyDescent="0.2">
      <c r="A25" s="395"/>
      <c r="B25" s="399"/>
      <c r="C25" s="391"/>
      <c r="D25" s="399"/>
      <c r="E25" s="399"/>
      <c r="F25" s="399"/>
      <c r="G25" s="399"/>
      <c r="H25" s="399"/>
      <c r="I25" s="399"/>
      <c r="J25" s="399"/>
      <c r="K25" s="399"/>
      <c r="L25" s="399"/>
      <c r="M25" s="399"/>
      <c r="N25" s="399"/>
      <c r="O25" s="399"/>
      <c r="P25" s="399"/>
      <c r="Q25" s="399"/>
      <c r="R25" s="399"/>
      <c r="S25" s="399"/>
      <c r="T25" s="399"/>
      <c r="U25" s="381"/>
      <c r="V25" s="381"/>
      <c r="W25" s="381"/>
      <c r="X25" s="381"/>
      <c r="Y25" s="381"/>
      <c r="Z25" s="381"/>
      <c r="AA25" s="381"/>
      <c r="AB25" s="381"/>
      <c r="AC25" s="381"/>
      <c r="AD25" s="381"/>
      <c r="AE25" s="381"/>
      <c r="AF25" s="381"/>
      <c r="AG25" s="381"/>
      <c r="AH25" s="381"/>
      <c r="AI25" s="381"/>
      <c r="AJ25" s="381"/>
      <c r="AK25" s="381"/>
      <c r="AL25" s="381"/>
      <c r="AM25" s="381"/>
      <c r="AN25" s="381"/>
      <c r="AO25" s="381"/>
      <c r="AP25" s="381"/>
      <c r="AQ25" s="381"/>
      <c r="AR25" s="381"/>
      <c r="AS25" s="381"/>
      <c r="AT25" s="381"/>
      <c r="AU25" s="381"/>
      <c r="AV25" s="381"/>
      <c r="AW25" s="381"/>
      <c r="AX25" s="381"/>
      <c r="AY25" s="381"/>
      <c r="AZ25" s="381"/>
    </row>
    <row r="26" spans="1:52" s="371" customFormat="1" x14ac:dyDescent="0.2">
      <c r="A26" s="395"/>
      <c r="B26" s="399"/>
      <c r="C26" s="391"/>
      <c r="D26" s="399"/>
      <c r="E26" s="402"/>
      <c r="F26" s="402"/>
      <c r="G26" s="402"/>
      <c r="H26" s="402"/>
      <c r="I26" s="402"/>
      <c r="J26" s="402"/>
      <c r="K26" s="402"/>
      <c r="L26" s="402"/>
      <c r="M26" s="402"/>
      <c r="N26" s="402"/>
      <c r="O26" s="402"/>
      <c r="P26" s="402"/>
      <c r="Q26" s="402"/>
      <c r="R26" s="402"/>
      <c r="S26" s="402"/>
      <c r="T26" s="402"/>
      <c r="U26" s="381"/>
      <c r="V26" s="381"/>
      <c r="W26" s="381"/>
      <c r="X26" s="381"/>
      <c r="Y26" s="381"/>
      <c r="Z26" s="381"/>
      <c r="AA26" s="381"/>
      <c r="AB26" s="381"/>
      <c r="AC26" s="381"/>
      <c r="AD26" s="381"/>
      <c r="AE26" s="381"/>
      <c r="AF26" s="381"/>
      <c r="AG26" s="381"/>
      <c r="AH26" s="381"/>
      <c r="AI26" s="381"/>
      <c r="AJ26" s="381"/>
      <c r="AK26" s="381"/>
      <c r="AL26" s="381"/>
      <c r="AM26" s="381"/>
      <c r="AN26" s="381"/>
      <c r="AO26" s="381"/>
      <c r="AP26" s="381"/>
      <c r="AQ26" s="381"/>
      <c r="AR26" s="381"/>
      <c r="AS26" s="381"/>
      <c r="AT26" s="381"/>
      <c r="AU26" s="381"/>
      <c r="AV26" s="381"/>
      <c r="AW26" s="381"/>
      <c r="AX26" s="381"/>
      <c r="AY26" s="381"/>
      <c r="AZ26" s="381"/>
    </row>
    <row r="27" spans="1:52" s="371" customFormat="1" x14ac:dyDescent="0.2">
      <c r="A27" s="395"/>
      <c r="B27" s="399" t="s">
        <v>206</v>
      </c>
      <c r="C27" s="391"/>
      <c r="D27" s="399"/>
      <c r="E27" s="399"/>
      <c r="F27" s="399"/>
      <c r="G27" s="399"/>
      <c r="H27" s="399"/>
      <c r="I27" s="399"/>
      <c r="J27" s="399"/>
      <c r="K27" s="399"/>
      <c r="L27" s="399"/>
      <c r="M27" s="399"/>
      <c r="N27" s="399"/>
      <c r="O27" s="399"/>
      <c r="P27" s="399"/>
      <c r="Q27" s="399"/>
      <c r="R27" s="399"/>
      <c r="S27" s="399"/>
      <c r="T27" s="399"/>
      <c r="U27" s="381"/>
      <c r="V27" s="381"/>
      <c r="W27" s="381"/>
      <c r="X27" s="381"/>
      <c r="Y27" s="381"/>
      <c r="Z27" s="381"/>
      <c r="AA27" s="381"/>
      <c r="AB27" s="381"/>
      <c r="AC27" s="381"/>
      <c r="AD27" s="381"/>
      <c r="AE27" s="381"/>
      <c r="AF27" s="381"/>
      <c r="AG27" s="381"/>
      <c r="AH27" s="381"/>
      <c r="AI27" s="381"/>
      <c r="AJ27" s="381"/>
      <c r="AK27" s="381"/>
      <c r="AL27" s="381"/>
      <c r="AM27" s="381"/>
      <c r="AN27" s="381"/>
      <c r="AO27" s="381"/>
      <c r="AP27" s="381"/>
      <c r="AQ27" s="381"/>
      <c r="AR27" s="381"/>
      <c r="AS27" s="381"/>
      <c r="AT27" s="381"/>
      <c r="AU27" s="381"/>
      <c r="AV27" s="381"/>
      <c r="AW27" s="381"/>
      <c r="AX27" s="381"/>
      <c r="AY27" s="381"/>
      <c r="AZ27" s="381"/>
    </row>
    <row r="28" spans="1:52" s="371" customFormat="1" x14ac:dyDescent="0.2">
      <c r="A28" s="395"/>
      <c r="B28" s="399" t="s">
        <v>207</v>
      </c>
      <c r="C28" s="18"/>
      <c r="D28" s="395"/>
      <c r="E28" s="395"/>
      <c r="F28" s="395"/>
      <c r="G28" s="395"/>
      <c r="H28" s="395"/>
      <c r="I28" s="395"/>
      <c r="J28" s="395"/>
      <c r="K28" s="395"/>
      <c r="L28" s="395"/>
      <c r="M28" s="395"/>
      <c r="N28" s="395"/>
      <c r="O28" s="395"/>
      <c r="P28" s="395"/>
      <c r="Q28" s="395"/>
      <c r="R28" s="395"/>
      <c r="S28" s="395"/>
      <c r="T28" s="395"/>
      <c r="U28" s="381"/>
      <c r="V28" s="381"/>
      <c r="W28" s="381"/>
      <c r="X28" s="381"/>
      <c r="Y28" s="381"/>
      <c r="Z28" s="381"/>
      <c r="AA28" s="381"/>
      <c r="AB28" s="381"/>
      <c r="AC28" s="381"/>
      <c r="AD28" s="381"/>
      <c r="AE28" s="381"/>
      <c r="AF28" s="381"/>
      <c r="AG28" s="381"/>
      <c r="AH28" s="381"/>
      <c r="AI28" s="381"/>
      <c r="AJ28" s="381"/>
      <c r="AK28" s="381"/>
      <c r="AL28" s="381"/>
      <c r="AM28" s="381"/>
      <c r="AN28" s="381"/>
      <c r="AO28" s="381"/>
      <c r="AP28" s="381"/>
      <c r="AQ28" s="381"/>
      <c r="AR28" s="381"/>
      <c r="AS28" s="381"/>
      <c r="AT28" s="381"/>
      <c r="AU28" s="381"/>
      <c r="AV28" s="381"/>
      <c r="AW28" s="381"/>
      <c r="AX28" s="381"/>
      <c r="AY28" s="381"/>
      <c r="AZ28" s="381"/>
    </row>
    <row r="29" spans="1:52" s="371" customFormat="1" x14ac:dyDescent="0.2">
      <c r="A29" s="395"/>
      <c r="B29" s="395"/>
      <c r="C29" s="18"/>
      <c r="D29" s="395"/>
      <c r="E29" s="395"/>
      <c r="F29" s="395"/>
      <c r="G29" s="395"/>
      <c r="H29" s="395"/>
      <c r="I29" s="395"/>
      <c r="J29" s="395"/>
      <c r="K29" s="395"/>
      <c r="L29" s="395"/>
      <c r="M29" s="395"/>
      <c r="N29" s="395"/>
      <c r="O29" s="395"/>
      <c r="P29" s="395"/>
      <c r="Q29" s="395"/>
      <c r="R29" s="395"/>
      <c r="S29" s="395"/>
      <c r="T29" s="395"/>
      <c r="U29" s="381"/>
      <c r="V29" s="381"/>
      <c r="W29" s="381"/>
      <c r="X29" s="381"/>
      <c r="Y29" s="381"/>
      <c r="Z29" s="381"/>
      <c r="AA29" s="381"/>
      <c r="AB29" s="381"/>
      <c r="AC29" s="381"/>
      <c r="AD29" s="381"/>
      <c r="AE29" s="381"/>
      <c r="AF29" s="381"/>
      <c r="AG29" s="381"/>
      <c r="AH29" s="381"/>
      <c r="AI29" s="381"/>
      <c r="AJ29" s="381"/>
      <c r="AK29" s="381"/>
      <c r="AL29" s="381"/>
      <c r="AM29" s="381"/>
      <c r="AN29" s="381"/>
      <c r="AO29" s="381"/>
      <c r="AP29" s="381"/>
      <c r="AQ29" s="381"/>
      <c r="AR29" s="381"/>
      <c r="AS29" s="381"/>
      <c r="AT29" s="381"/>
      <c r="AU29" s="381"/>
      <c r="AV29" s="381"/>
      <c r="AW29" s="381"/>
      <c r="AX29" s="381"/>
      <c r="AY29" s="381"/>
      <c r="AZ29" s="381"/>
    </row>
    <row r="30" spans="1:52" s="371" customFormat="1" x14ac:dyDescent="0.2">
      <c r="A30" s="395"/>
      <c r="B30" s="395"/>
      <c r="C30" s="18"/>
      <c r="D30" s="395"/>
      <c r="E30" s="395" t="s">
        <v>8</v>
      </c>
      <c r="F30" s="395" t="s">
        <v>9</v>
      </c>
      <c r="G30" s="395" t="s">
        <v>10</v>
      </c>
      <c r="H30" s="395" t="s">
        <v>11</v>
      </c>
      <c r="I30" s="395" t="s">
        <v>12</v>
      </c>
      <c r="J30" s="395" t="s">
        <v>13</v>
      </c>
      <c r="K30" s="395" t="s">
        <v>14</v>
      </c>
      <c r="L30" s="395" t="s">
        <v>15</v>
      </c>
      <c r="M30" s="395" t="s">
        <v>16</v>
      </c>
      <c r="N30" s="395" t="s">
        <v>17</v>
      </c>
      <c r="O30" s="395" t="s">
        <v>18</v>
      </c>
      <c r="P30" s="395" t="s">
        <v>19</v>
      </c>
      <c r="Q30" s="395" t="s">
        <v>20</v>
      </c>
      <c r="R30" s="395" t="s">
        <v>21</v>
      </c>
      <c r="S30" s="395" t="s">
        <v>22</v>
      </c>
      <c r="T30" s="395" t="s">
        <v>23</v>
      </c>
      <c r="U30" s="381"/>
      <c r="V30" s="381"/>
      <c r="W30" s="381"/>
      <c r="X30" s="381"/>
      <c r="Y30" s="381"/>
      <c r="Z30" s="381"/>
      <c r="AA30" s="381"/>
      <c r="AB30" s="381"/>
      <c r="AC30" s="381"/>
      <c r="AD30" s="381"/>
      <c r="AE30" s="381"/>
      <c r="AF30" s="381"/>
      <c r="AG30" s="381"/>
      <c r="AH30" s="381"/>
      <c r="AI30" s="381"/>
      <c r="AJ30" s="381"/>
      <c r="AK30" s="381"/>
      <c r="AL30" s="381"/>
      <c r="AM30" s="381"/>
      <c r="AN30" s="381"/>
      <c r="AO30" s="381"/>
      <c r="AP30" s="381"/>
      <c r="AQ30" s="381"/>
      <c r="AR30" s="381"/>
      <c r="AS30" s="381"/>
      <c r="AT30" s="381"/>
      <c r="AU30" s="381"/>
      <c r="AV30" s="381"/>
      <c r="AW30" s="381"/>
      <c r="AX30" s="381"/>
      <c r="AY30" s="381"/>
      <c r="AZ30" s="381"/>
    </row>
    <row r="31" spans="1:52" s="371" customFormat="1" x14ac:dyDescent="0.2">
      <c r="A31" s="395"/>
      <c r="B31" s="395"/>
      <c r="C31" s="18"/>
      <c r="D31" s="395"/>
      <c r="E31" s="406"/>
      <c r="F31" s="406"/>
      <c r="G31" s="406"/>
      <c r="H31" s="406"/>
      <c r="I31" s="406"/>
      <c r="J31" s="406"/>
      <c r="K31" s="406"/>
      <c r="L31" s="406"/>
      <c r="M31" s="406"/>
      <c r="N31" s="406"/>
      <c r="O31" s="406"/>
      <c r="P31" s="406"/>
      <c r="Q31" s="406"/>
      <c r="R31" s="395"/>
      <c r="S31" s="395"/>
      <c r="T31" s="395"/>
      <c r="U31" s="381"/>
      <c r="V31" s="381"/>
      <c r="W31" s="381"/>
      <c r="X31" s="381"/>
      <c r="Y31" s="381"/>
      <c r="Z31" s="381"/>
      <c r="AA31" s="381"/>
      <c r="AB31" s="381"/>
      <c r="AC31" s="381"/>
      <c r="AD31" s="381"/>
      <c r="AE31" s="381"/>
      <c r="AF31" s="381"/>
      <c r="AG31" s="381"/>
      <c r="AH31" s="381"/>
      <c r="AI31" s="381"/>
      <c r="AJ31" s="381"/>
      <c r="AK31" s="381"/>
      <c r="AL31" s="381"/>
      <c r="AM31" s="381"/>
      <c r="AN31" s="381"/>
      <c r="AO31" s="381"/>
      <c r="AP31" s="381"/>
      <c r="AQ31" s="381"/>
      <c r="AR31" s="381"/>
      <c r="AS31" s="381"/>
      <c r="AT31" s="381"/>
      <c r="AU31" s="381"/>
      <c r="AV31" s="381"/>
      <c r="AW31" s="381"/>
      <c r="AX31" s="381"/>
      <c r="AY31" s="381"/>
      <c r="AZ31" s="381"/>
    </row>
    <row r="32" spans="1:52" s="371" customFormat="1" x14ac:dyDescent="0.2">
      <c r="A32" s="395"/>
      <c r="B32" s="395"/>
      <c r="C32" s="18"/>
      <c r="D32" s="395"/>
      <c r="E32" s="395"/>
      <c r="F32" s="395"/>
      <c r="G32" s="395"/>
      <c r="H32" s="395"/>
      <c r="I32" s="395"/>
      <c r="J32" s="395"/>
      <c r="K32" s="395"/>
      <c r="L32" s="395"/>
      <c r="M32" s="395"/>
      <c r="N32" s="395"/>
      <c r="O32" s="395"/>
      <c r="P32" s="395"/>
      <c r="Q32" s="395"/>
      <c r="R32" s="395"/>
      <c r="S32" s="395"/>
      <c r="T32" s="395"/>
      <c r="U32" s="381"/>
      <c r="V32" s="381"/>
      <c r="W32" s="381"/>
      <c r="X32" s="381"/>
      <c r="Y32" s="381"/>
      <c r="Z32" s="381"/>
      <c r="AA32" s="381"/>
      <c r="AB32" s="381"/>
      <c r="AC32" s="381"/>
      <c r="AD32" s="381"/>
      <c r="AE32" s="381"/>
      <c r="AF32" s="381"/>
      <c r="AG32" s="381"/>
      <c r="AH32" s="381"/>
      <c r="AI32" s="381"/>
      <c r="AJ32" s="381"/>
      <c r="AK32" s="381"/>
      <c r="AL32" s="381"/>
      <c r="AM32" s="381"/>
      <c r="AN32" s="381"/>
      <c r="AO32" s="381"/>
      <c r="AP32" s="381"/>
      <c r="AQ32" s="381"/>
      <c r="AR32" s="381"/>
      <c r="AS32" s="381"/>
      <c r="AT32" s="381"/>
      <c r="AU32" s="381"/>
      <c r="AV32" s="381"/>
      <c r="AW32" s="381"/>
      <c r="AX32" s="381"/>
      <c r="AY32" s="381"/>
      <c r="AZ32" s="381"/>
    </row>
    <row r="33" spans="1:52" s="371" customFormat="1" x14ac:dyDescent="0.2">
      <c r="A33" s="395"/>
      <c r="B33" s="395"/>
      <c r="C33" s="18"/>
      <c r="D33" s="395"/>
      <c r="E33" s="395"/>
      <c r="F33" s="395"/>
      <c r="G33" s="395"/>
      <c r="H33" s="395"/>
      <c r="I33" s="395"/>
      <c r="J33" s="395"/>
      <c r="K33" s="395"/>
      <c r="L33" s="395"/>
      <c r="M33" s="395"/>
      <c r="N33" s="395"/>
      <c r="O33" s="395"/>
      <c r="P33" s="395"/>
      <c r="Q33" s="395"/>
      <c r="R33" s="395"/>
      <c r="S33" s="395"/>
      <c r="T33" s="395"/>
      <c r="U33" s="381"/>
      <c r="V33" s="381"/>
      <c r="W33" s="381"/>
      <c r="X33" s="381"/>
      <c r="Y33" s="381"/>
      <c r="Z33" s="381"/>
      <c r="AA33" s="381"/>
      <c r="AB33" s="381"/>
      <c r="AC33" s="381"/>
      <c r="AD33" s="381"/>
      <c r="AE33" s="381"/>
      <c r="AF33" s="381"/>
      <c r="AG33" s="381"/>
      <c r="AH33" s="381"/>
      <c r="AI33" s="381"/>
      <c r="AJ33" s="381"/>
      <c r="AK33" s="381"/>
      <c r="AL33" s="381"/>
      <c r="AM33" s="381"/>
      <c r="AN33" s="381"/>
      <c r="AO33" s="381"/>
      <c r="AP33" s="381"/>
      <c r="AQ33" s="381"/>
      <c r="AR33" s="381"/>
      <c r="AS33" s="381"/>
      <c r="AT33" s="381"/>
      <c r="AU33" s="381"/>
      <c r="AV33" s="381"/>
      <c r="AW33" s="381"/>
      <c r="AX33" s="381"/>
      <c r="AY33" s="381"/>
      <c r="AZ33" s="381"/>
    </row>
    <row r="34" spans="1:52" s="371" customFormat="1" x14ac:dyDescent="0.2">
      <c r="A34" s="395"/>
      <c r="B34" s="395"/>
      <c r="C34" s="18"/>
      <c r="D34" s="395"/>
      <c r="E34" s="395"/>
      <c r="F34" s="395"/>
      <c r="G34" s="395"/>
      <c r="H34" s="395"/>
      <c r="I34" s="395"/>
      <c r="J34" s="395"/>
      <c r="K34" s="395"/>
      <c r="L34" s="395"/>
      <c r="M34" s="395"/>
      <c r="N34" s="395"/>
      <c r="O34" s="395"/>
      <c r="P34" s="395"/>
      <c r="Q34" s="395"/>
      <c r="R34" s="395"/>
      <c r="S34" s="395"/>
      <c r="T34" s="395"/>
      <c r="U34" s="381"/>
      <c r="V34" s="381"/>
      <c r="W34" s="381"/>
      <c r="X34" s="381"/>
      <c r="Y34" s="381"/>
      <c r="Z34" s="381"/>
      <c r="AA34" s="381"/>
      <c r="AB34" s="381"/>
      <c r="AC34" s="381"/>
      <c r="AD34" s="381"/>
      <c r="AE34" s="381"/>
      <c r="AF34" s="381"/>
      <c r="AG34" s="381"/>
      <c r="AH34" s="381"/>
      <c r="AI34" s="381"/>
      <c r="AJ34" s="381"/>
      <c r="AK34" s="381"/>
      <c r="AL34" s="381"/>
      <c r="AM34" s="381"/>
      <c r="AN34" s="381"/>
      <c r="AO34" s="381"/>
      <c r="AP34" s="381"/>
      <c r="AQ34" s="381"/>
      <c r="AR34" s="381"/>
      <c r="AS34" s="381"/>
      <c r="AT34" s="381"/>
      <c r="AU34" s="381"/>
      <c r="AV34" s="381"/>
      <c r="AW34" s="381"/>
      <c r="AX34" s="381"/>
      <c r="AY34" s="381"/>
      <c r="AZ34" s="381"/>
    </row>
    <row r="35" spans="1:52" s="371" customFormat="1" x14ac:dyDescent="0.2">
      <c r="A35" s="395"/>
      <c r="B35" s="395"/>
      <c r="C35" s="18"/>
      <c r="D35" s="395"/>
      <c r="E35" s="395"/>
      <c r="F35" s="395"/>
      <c r="G35" s="395"/>
      <c r="H35" s="395"/>
      <c r="I35" s="395"/>
      <c r="J35" s="395"/>
      <c r="K35" s="395"/>
      <c r="L35" s="395"/>
      <c r="M35" s="395"/>
      <c r="N35" s="395"/>
      <c r="O35" s="395"/>
      <c r="P35" s="395"/>
      <c r="Q35" s="395"/>
      <c r="R35" s="395"/>
      <c r="S35" s="395"/>
      <c r="T35" s="395"/>
      <c r="U35" s="381"/>
      <c r="V35" s="381"/>
      <c r="W35" s="381"/>
      <c r="X35" s="381"/>
      <c r="Y35" s="381"/>
      <c r="Z35" s="381"/>
      <c r="AA35" s="381"/>
      <c r="AB35" s="381"/>
      <c r="AC35" s="381"/>
      <c r="AD35" s="381"/>
      <c r="AE35" s="381"/>
      <c r="AF35" s="381"/>
      <c r="AG35" s="381"/>
      <c r="AH35" s="381"/>
      <c r="AI35" s="381"/>
      <c r="AJ35" s="381"/>
      <c r="AK35" s="381"/>
      <c r="AL35" s="381"/>
      <c r="AM35" s="381"/>
      <c r="AN35" s="381"/>
      <c r="AO35" s="381"/>
      <c r="AP35" s="381"/>
      <c r="AQ35" s="381"/>
      <c r="AR35" s="381"/>
      <c r="AS35" s="381"/>
      <c r="AT35" s="381"/>
      <c r="AU35" s="381"/>
      <c r="AV35" s="381"/>
      <c r="AW35" s="381"/>
      <c r="AX35" s="381"/>
      <c r="AY35" s="381"/>
      <c r="AZ35" s="381"/>
    </row>
    <row r="36" spans="1:52" s="371" customFormat="1" x14ac:dyDescent="0.2">
      <c r="A36" s="395"/>
      <c r="B36" s="395"/>
      <c r="C36" s="18"/>
      <c r="D36" s="395"/>
      <c r="E36" s="395"/>
      <c r="F36" s="395"/>
      <c r="G36" s="395"/>
      <c r="H36" s="395"/>
      <c r="I36" s="395"/>
      <c r="J36" s="395"/>
      <c r="K36" s="395"/>
      <c r="L36" s="395"/>
      <c r="M36" s="395"/>
      <c r="N36" s="395"/>
      <c r="O36" s="395"/>
      <c r="P36" s="395"/>
      <c r="Q36" s="395"/>
      <c r="R36" s="395"/>
      <c r="S36" s="395"/>
      <c r="T36" s="395"/>
      <c r="U36" s="381"/>
      <c r="V36" s="381"/>
      <c r="W36" s="381"/>
      <c r="X36" s="381"/>
      <c r="Y36" s="381"/>
      <c r="Z36" s="381"/>
      <c r="AA36" s="381"/>
      <c r="AB36" s="381"/>
      <c r="AC36" s="381"/>
      <c r="AD36" s="381"/>
      <c r="AE36" s="381"/>
      <c r="AF36" s="381"/>
      <c r="AG36" s="381"/>
      <c r="AH36" s="381"/>
      <c r="AI36" s="381"/>
      <c r="AJ36" s="381"/>
      <c r="AK36" s="381"/>
      <c r="AL36" s="381"/>
      <c r="AM36" s="381"/>
      <c r="AN36" s="381"/>
      <c r="AO36" s="381"/>
      <c r="AP36" s="381"/>
      <c r="AQ36" s="381"/>
      <c r="AR36" s="381"/>
      <c r="AS36" s="381"/>
      <c r="AT36" s="381"/>
      <c r="AU36" s="381"/>
      <c r="AV36" s="381"/>
      <c r="AW36" s="381"/>
      <c r="AX36" s="381"/>
      <c r="AY36" s="381"/>
      <c r="AZ36" s="381"/>
    </row>
    <row r="37" spans="1:52" s="371" customFormat="1" x14ac:dyDescent="0.2">
      <c r="A37" s="395"/>
      <c r="B37" s="395"/>
      <c r="C37" s="18"/>
      <c r="D37" s="395"/>
      <c r="E37" s="395"/>
      <c r="F37" s="395"/>
      <c r="G37" s="395"/>
      <c r="H37" s="395"/>
      <c r="I37" s="395"/>
      <c r="J37" s="395"/>
      <c r="K37" s="395"/>
      <c r="L37" s="395"/>
      <c r="M37" s="395"/>
      <c r="N37" s="395"/>
      <c r="O37" s="395"/>
      <c r="P37" s="395"/>
      <c r="Q37" s="395"/>
      <c r="R37" s="395"/>
      <c r="S37" s="395"/>
      <c r="T37" s="395"/>
      <c r="U37" s="381"/>
      <c r="V37" s="381"/>
      <c r="W37" s="381"/>
      <c r="X37" s="381"/>
      <c r="Y37" s="381"/>
      <c r="Z37" s="381"/>
      <c r="AA37" s="381"/>
      <c r="AB37" s="381"/>
      <c r="AC37" s="381"/>
      <c r="AD37" s="381"/>
      <c r="AE37" s="381"/>
      <c r="AF37" s="381"/>
      <c r="AG37" s="381"/>
      <c r="AH37" s="381"/>
      <c r="AI37" s="381"/>
      <c r="AJ37" s="381"/>
      <c r="AK37" s="381"/>
      <c r="AL37" s="381"/>
      <c r="AM37" s="381"/>
      <c r="AN37" s="381"/>
      <c r="AO37" s="381"/>
      <c r="AP37" s="381"/>
      <c r="AQ37" s="381"/>
      <c r="AR37" s="381"/>
      <c r="AS37" s="381"/>
      <c r="AT37" s="381"/>
      <c r="AU37" s="381"/>
      <c r="AV37" s="381"/>
      <c r="AW37" s="381"/>
      <c r="AX37" s="381"/>
      <c r="AY37" s="381"/>
      <c r="AZ37" s="381"/>
    </row>
    <row r="38" spans="1:52" s="371" customFormat="1" x14ac:dyDescent="0.2">
      <c r="A38" s="395"/>
      <c r="B38" s="399"/>
      <c r="C38" s="18"/>
      <c r="D38" s="395"/>
      <c r="E38" s="395"/>
      <c r="F38" s="395"/>
      <c r="G38" s="395"/>
      <c r="H38" s="395"/>
      <c r="I38" s="395"/>
      <c r="J38" s="395"/>
      <c r="K38" s="395"/>
      <c r="L38" s="395"/>
      <c r="M38" s="395"/>
      <c r="N38" s="395"/>
      <c r="O38" s="395"/>
      <c r="P38" s="395"/>
      <c r="Q38" s="395"/>
      <c r="R38" s="395"/>
      <c r="S38" s="395"/>
      <c r="T38" s="395"/>
      <c r="U38" s="381"/>
      <c r="V38" s="381"/>
      <c r="W38" s="381"/>
      <c r="X38" s="381"/>
      <c r="Y38" s="381"/>
      <c r="Z38" s="381"/>
      <c r="AA38" s="381"/>
      <c r="AB38" s="381"/>
      <c r="AC38" s="381"/>
      <c r="AD38" s="381"/>
      <c r="AE38" s="381"/>
      <c r="AF38" s="381"/>
      <c r="AG38" s="381"/>
      <c r="AH38" s="381"/>
      <c r="AI38" s="381"/>
      <c r="AJ38" s="381"/>
      <c r="AK38" s="381"/>
      <c r="AL38" s="381"/>
      <c r="AM38" s="381"/>
      <c r="AN38" s="381"/>
      <c r="AO38" s="381"/>
      <c r="AP38" s="381"/>
      <c r="AQ38" s="381"/>
      <c r="AR38" s="381"/>
      <c r="AS38" s="381"/>
      <c r="AT38" s="381"/>
      <c r="AU38" s="381"/>
      <c r="AV38" s="381"/>
      <c r="AW38" s="381"/>
      <c r="AX38" s="381"/>
      <c r="AY38" s="381"/>
      <c r="AZ38" s="381"/>
    </row>
    <row r="39" spans="1:52" s="371" customFormat="1" x14ac:dyDescent="0.2">
      <c r="A39" s="395"/>
      <c r="B39" s="395"/>
      <c r="C39" s="18"/>
      <c r="D39" s="381"/>
      <c r="E39" s="381"/>
      <c r="F39" s="381"/>
      <c r="G39" s="381"/>
      <c r="H39" s="381"/>
      <c r="I39" s="381"/>
      <c r="J39" s="381"/>
      <c r="K39" s="381"/>
      <c r="L39" s="381"/>
      <c r="M39" s="381"/>
      <c r="N39" s="381"/>
      <c r="O39" s="381"/>
      <c r="P39" s="381"/>
      <c r="Q39" s="381"/>
      <c r="R39" s="381"/>
      <c r="S39" s="381"/>
      <c r="T39" s="381"/>
      <c r="U39" s="381"/>
      <c r="V39" s="381"/>
      <c r="W39" s="381"/>
      <c r="X39" s="381">
        <v>50.572896088502567</v>
      </c>
      <c r="Y39" s="381"/>
      <c r="Z39" s="381">
        <v>101.49253731343283</v>
      </c>
      <c r="AA39" s="381"/>
      <c r="AB39" s="381">
        <v>215.4944473823374</v>
      </c>
      <c r="AC39" s="381"/>
      <c r="AD39" s="381">
        <v>126.40684864220056</v>
      </c>
      <c r="AE39" s="381"/>
      <c r="AF39" s="381"/>
      <c r="AG39" s="381"/>
      <c r="AH39" s="381"/>
      <c r="AI39" s="381"/>
      <c r="AJ39" s="381"/>
      <c r="AK39" s="381"/>
      <c r="AL39" s="381"/>
      <c r="AM39" s="381"/>
      <c r="AN39" s="381"/>
      <c r="AO39" s="381"/>
      <c r="AP39" s="381"/>
      <c r="AQ39" s="381"/>
      <c r="AR39" s="381"/>
      <c r="AS39" s="381"/>
      <c r="AT39" s="381"/>
      <c r="AU39" s="381"/>
      <c r="AV39" s="381"/>
      <c r="AW39" s="381"/>
      <c r="AX39" s="381"/>
      <c r="AY39" s="381"/>
      <c r="AZ39" s="381"/>
    </row>
    <row r="40" spans="1:52" s="371" customFormat="1" x14ac:dyDescent="0.2">
      <c r="A40" s="395"/>
      <c r="B40" s="399" t="s">
        <v>208</v>
      </c>
      <c r="C40" s="18"/>
      <c r="D40" s="381"/>
      <c r="E40" s="381"/>
      <c r="F40" s="381"/>
      <c r="G40" s="381"/>
      <c r="H40" s="381"/>
      <c r="I40" s="381"/>
      <c r="J40" s="381"/>
      <c r="K40" s="381"/>
      <c r="L40" s="381"/>
      <c r="M40" s="381"/>
      <c r="N40" s="381"/>
      <c r="O40" s="381"/>
      <c r="P40" s="381"/>
      <c r="Q40" s="381"/>
      <c r="R40" s="381"/>
      <c r="S40" s="381"/>
      <c r="T40" s="381"/>
      <c r="U40" s="381"/>
      <c r="V40" s="381"/>
      <c r="W40" s="381"/>
      <c r="X40" s="381"/>
      <c r="Y40" s="381"/>
      <c r="Z40" s="381"/>
      <c r="AA40" s="381"/>
      <c r="AB40" s="381"/>
      <c r="AC40" s="381"/>
      <c r="AD40" s="381"/>
      <c r="AE40" s="381"/>
      <c r="AF40" s="381"/>
      <c r="AG40" s="381"/>
      <c r="AH40" s="381"/>
      <c r="AI40" s="381"/>
      <c r="AJ40" s="381"/>
      <c r="AK40" s="381"/>
      <c r="AL40" s="381"/>
      <c r="AM40" s="381"/>
      <c r="AN40" s="381"/>
      <c r="AO40" s="381"/>
      <c r="AP40" s="381"/>
      <c r="AQ40" s="381"/>
      <c r="AR40" s="381"/>
      <c r="AS40" s="381"/>
      <c r="AT40" s="381"/>
      <c r="AU40" s="381"/>
      <c r="AV40" s="381"/>
      <c r="AW40" s="381"/>
      <c r="AX40" s="381"/>
      <c r="AY40" s="381"/>
      <c r="AZ40" s="381"/>
    </row>
    <row r="41" spans="1:52" s="371" customFormat="1" x14ac:dyDescent="0.2">
      <c r="A41" s="395"/>
      <c r="B41" s="395"/>
      <c r="C41" s="18"/>
      <c r="D41" s="381"/>
      <c r="E41" s="381"/>
      <c r="F41" s="381"/>
      <c r="G41" s="381"/>
      <c r="H41" s="381"/>
      <c r="I41" s="381"/>
      <c r="J41" s="381"/>
      <c r="K41" s="381"/>
      <c r="L41" s="381"/>
      <c r="M41" s="381"/>
      <c r="N41" s="381"/>
      <c r="O41" s="381"/>
      <c r="P41" s="381"/>
      <c r="Q41" s="381"/>
      <c r="R41" s="381"/>
      <c r="S41" s="381"/>
      <c r="T41" s="381"/>
      <c r="U41" s="381"/>
      <c r="V41" s="381"/>
      <c r="W41" s="381"/>
      <c r="X41" s="381"/>
      <c r="Y41" s="381"/>
      <c r="Z41" s="381"/>
      <c r="AA41" s="381"/>
      <c r="AB41" s="381"/>
      <c r="AC41" s="381"/>
      <c r="AD41" s="381"/>
      <c r="AE41" s="381"/>
      <c r="AF41" s="381"/>
      <c r="AG41" s="381"/>
      <c r="AH41" s="381"/>
      <c r="AI41" s="381"/>
      <c r="AJ41" s="381"/>
      <c r="AK41" s="381"/>
      <c r="AL41" s="381"/>
      <c r="AM41" s="381"/>
      <c r="AN41" s="381"/>
      <c r="AO41" s="381"/>
      <c r="AP41" s="381"/>
      <c r="AQ41" s="381"/>
      <c r="AR41" s="381"/>
      <c r="AS41" s="381"/>
      <c r="AT41" s="381"/>
      <c r="AU41" s="381"/>
      <c r="AV41" s="381"/>
      <c r="AW41" s="381"/>
      <c r="AX41" s="381"/>
      <c r="AY41" s="381"/>
      <c r="AZ41" s="381"/>
    </row>
    <row r="42" spans="1:52" s="371" customFormat="1" x14ac:dyDescent="0.2">
      <c r="A42" s="395"/>
      <c r="B42" s="395"/>
      <c r="C42" s="18"/>
      <c r="D42" s="381"/>
      <c r="E42" s="381"/>
      <c r="F42" s="381"/>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81"/>
      <c r="AK42" s="381"/>
      <c r="AL42" s="381"/>
      <c r="AM42" s="381"/>
      <c r="AN42" s="381"/>
      <c r="AO42" s="381"/>
      <c r="AP42" s="381"/>
      <c r="AQ42" s="381"/>
      <c r="AR42" s="381"/>
      <c r="AS42" s="381"/>
      <c r="AT42" s="381"/>
      <c r="AU42" s="381"/>
      <c r="AV42" s="381"/>
      <c r="AW42" s="381"/>
      <c r="AX42" s="381"/>
      <c r="AY42" s="381"/>
      <c r="AZ42" s="381"/>
    </row>
    <row r="43" spans="1:52" s="371" customFormat="1" x14ac:dyDescent="0.2">
      <c r="A43" s="395"/>
      <c r="B43" s="399" t="s">
        <v>209</v>
      </c>
      <c r="C43" s="18"/>
      <c r="D43" s="381"/>
      <c r="E43" s="381"/>
      <c r="F43" s="381"/>
      <c r="G43" s="381"/>
      <c r="H43" s="381"/>
      <c r="I43" s="381"/>
      <c r="J43" s="381"/>
      <c r="K43" s="381"/>
      <c r="L43" s="381"/>
      <c r="M43" s="381"/>
      <c r="N43" s="381"/>
      <c r="O43" s="381"/>
      <c r="P43" s="381"/>
      <c r="Q43" s="381"/>
      <c r="R43" s="381"/>
      <c r="S43" s="381"/>
      <c r="T43" s="381"/>
      <c r="U43" s="381"/>
      <c r="V43" s="381"/>
      <c r="W43" s="381"/>
      <c r="X43" s="381"/>
      <c r="Y43" s="381"/>
      <c r="Z43" s="381"/>
      <c r="AA43" s="381"/>
      <c r="AB43" s="381"/>
      <c r="AC43" s="381"/>
      <c r="AD43" s="381"/>
      <c r="AE43" s="381"/>
      <c r="AF43" s="381"/>
      <c r="AG43" s="381"/>
      <c r="AH43" s="381"/>
      <c r="AI43" s="381"/>
      <c r="AJ43" s="381"/>
      <c r="AK43" s="381"/>
      <c r="AL43" s="381"/>
      <c r="AM43" s="381"/>
      <c r="AN43" s="381"/>
      <c r="AO43" s="381"/>
      <c r="AP43" s="381"/>
      <c r="AQ43" s="381"/>
      <c r="AR43" s="381"/>
      <c r="AS43" s="381"/>
      <c r="AT43" s="381"/>
      <c r="AU43" s="381"/>
      <c r="AV43" s="381"/>
      <c r="AW43" s="381"/>
      <c r="AX43" s="381"/>
      <c r="AY43" s="381"/>
      <c r="AZ43" s="381"/>
    </row>
    <row r="44" spans="1:52" s="371" customFormat="1" x14ac:dyDescent="0.2">
      <c r="A44" s="395"/>
      <c r="B44" s="395"/>
      <c r="C44" s="18"/>
      <c r="D44" s="381"/>
      <c r="E44" s="381"/>
      <c r="F44" s="381"/>
      <c r="G44" s="381"/>
      <c r="H44" s="381"/>
      <c r="I44" s="381"/>
      <c r="J44" s="381"/>
      <c r="K44" s="381"/>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381"/>
      <c r="AL44" s="381"/>
      <c r="AM44" s="381"/>
      <c r="AN44" s="381"/>
      <c r="AO44" s="381"/>
      <c r="AP44" s="381"/>
      <c r="AQ44" s="381"/>
      <c r="AR44" s="381"/>
      <c r="AS44" s="381"/>
      <c r="AT44" s="381"/>
      <c r="AU44" s="381"/>
      <c r="AV44" s="381"/>
      <c r="AW44" s="381"/>
      <c r="AX44" s="381"/>
      <c r="AY44" s="381"/>
      <c r="AZ44" s="381"/>
    </row>
    <row r="45" spans="1:52" s="371" customFormat="1" x14ac:dyDescent="0.2">
      <c r="A45" s="395"/>
      <c r="B45" s="395"/>
      <c r="C45" s="18"/>
      <c r="D45" s="381"/>
      <c r="E45" s="381"/>
      <c r="F45" s="381"/>
      <c r="G45" s="381"/>
      <c r="H45" s="381"/>
      <c r="I45" s="381"/>
      <c r="J45" s="381"/>
      <c r="K45" s="381"/>
      <c r="L45" s="381"/>
      <c r="M45" s="381"/>
      <c r="N45" s="381"/>
      <c r="O45" s="381"/>
      <c r="P45" s="381"/>
      <c r="Q45" s="381"/>
      <c r="R45" s="381"/>
      <c r="S45" s="381"/>
      <c r="T45" s="381"/>
      <c r="U45" s="381"/>
      <c r="V45" s="381"/>
      <c r="W45" s="381"/>
      <c r="X45" s="381"/>
      <c r="Y45" s="381"/>
      <c r="Z45" s="381"/>
      <c r="AA45" s="381"/>
      <c r="AB45" s="381"/>
      <c r="AC45" s="381"/>
      <c r="AD45" s="381"/>
      <c r="AE45" s="381"/>
      <c r="AF45" s="381"/>
      <c r="AG45" s="381"/>
      <c r="AH45" s="381"/>
      <c r="AI45" s="381"/>
      <c r="AJ45" s="381"/>
      <c r="AK45" s="381"/>
      <c r="AL45" s="381"/>
      <c r="AM45" s="381"/>
      <c r="AN45" s="381"/>
      <c r="AO45" s="381"/>
      <c r="AP45" s="381"/>
      <c r="AQ45" s="381"/>
      <c r="AR45" s="381"/>
      <c r="AS45" s="381"/>
      <c r="AT45" s="381"/>
      <c r="AU45" s="381"/>
      <c r="AV45" s="381"/>
      <c r="AW45" s="381"/>
      <c r="AX45" s="381"/>
      <c r="AY45" s="381"/>
      <c r="AZ45" s="381"/>
    </row>
    <row r="46" spans="1:52" s="371" customFormat="1" x14ac:dyDescent="0.2">
      <c r="A46" s="395"/>
      <c r="B46" s="395"/>
      <c r="C46" s="18"/>
      <c r="D46" s="381"/>
      <c r="E46" s="403" t="s">
        <v>102</v>
      </c>
      <c r="F46" s="403" t="s">
        <v>8</v>
      </c>
      <c r="G46" s="403" t="s">
        <v>11</v>
      </c>
      <c r="H46" s="403" t="s">
        <v>22</v>
      </c>
      <c r="I46" s="403" t="s">
        <v>15</v>
      </c>
      <c r="J46" s="403" t="s">
        <v>128</v>
      </c>
      <c r="K46" s="403" t="s">
        <v>16</v>
      </c>
      <c r="L46" s="403" t="s">
        <v>9</v>
      </c>
      <c r="M46" s="403" t="s">
        <v>21</v>
      </c>
      <c r="N46" s="403" t="s">
        <v>18</v>
      </c>
      <c r="O46" s="403" t="s">
        <v>13</v>
      </c>
      <c r="P46" s="403" t="s">
        <v>17</v>
      </c>
      <c r="Q46" s="403" t="s">
        <v>19</v>
      </c>
      <c r="R46" s="403" t="s">
        <v>133</v>
      </c>
      <c r="S46" s="403" t="s">
        <v>134</v>
      </c>
      <c r="T46" s="403" t="s">
        <v>135</v>
      </c>
      <c r="U46" s="381"/>
      <c r="V46" s="381"/>
      <c r="W46" s="381"/>
      <c r="X46" s="381"/>
      <c r="Y46" s="381"/>
      <c r="Z46" s="381"/>
      <c r="AA46" s="381"/>
      <c r="AB46" s="381"/>
      <c r="AC46" s="381"/>
      <c r="AD46" s="381"/>
      <c r="AE46" s="381"/>
      <c r="AF46" s="381"/>
      <c r="AG46" s="381"/>
      <c r="AH46" s="381"/>
      <c r="AI46" s="381"/>
      <c r="AJ46" s="381"/>
      <c r="AK46" s="381"/>
      <c r="AL46" s="381"/>
      <c r="AM46" s="381"/>
      <c r="AN46" s="381"/>
      <c r="AO46" s="381"/>
      <c r="AP46" s="381"/>
      <c r="AQ46" s="381"/>
      <c r="AR46" s="381"/>
      <c r="AS46" s="381"/>
      <c r="AT46" s="381"/>
      <c r="AU46" s="381"/>
      <c r="AV46" s="381"/>
      <c r="AW46" s="381"/>
      <c r="AX46" s="381"/>
      <c r="AY46" s="381"/>
      <c r="AZ46" s="381"/>
    </row>
    <row r="47" spans="1:52" s="371" customFormat="1" x14ac:dyDescent="0.2">
      <c r="A47" s="395"/>
      <c r="B47" s="395"/>
      <c r="C47" s="18"/>
      <c r="D47" s="381"/>
      <c r="E47" s="404">
        <v>2187.8787878787875</v>
      </c>
      <c r="F47" s="404">
        <v>3226.8907563025209</v>
      </c>
      <c r="G47" s="404">
        <v>3036.3321799307955</v>
      </c>
      <c r="H47" s="404">
        <v>2414.6919431279621</v>
      </c>
      <c r="I47" s="404">
        <v>3047.3372781065086</v>
      </c>
      <c r="J47" s="404">
        <v>3564.3564356435641</v>
      </c>
      <c r="K47" s="404">
        <v>3338.7755102040815</v>
      </c>
      <c r="L47" s="404">
        <v>2753.1250000000005</v>
      </c>
      <c r="M47" s="404">
        <v>2933.3333333333339</v>
      </c>
      <c r="N47" s="404">
        <v>3510.204081632653</v>
      </c>
      <c r="O47" s="404">
        <v>2561.1038107752952</v>
      </c>
      <c r="P47" s="404">
        <v>2925.3536909187469</v>
      </c>
      <c r="Q47" s="404">
        <v>2742.1832144816235</v>
      </c>
      <c r="R47" s="404">
        <v>3233.5045436586329</v>
      </c>
      <c r="S47" s="404">
        <v>3281.5154994259474</v>
      </c>
      <c r="T47" s="404">
        <v>3584.4350431870262</v>
      </c>
      <c r="U47" s="381"/>
      <c r="V47" s="381"/>
      <c r="W47" s="381"/>
      <c r="X47" s="381"/>
      <c r="Y47" s="381"/>
      <c r="Z47" s="381"/>
      <c r="AA47" s="381"/>
      <c r="AB47" s="381"/>
      <c r="AC47" s="381"/>
      <c r="AD47" s="381"/>
      <c r="AE47" s="381"/>
      <c r="AF47" s="381"/>
      <c r="AG47" s="381"/>
      <c r="AH47" s="381"/>
      <c r="AI47" s="381"/>
      <c r="AJ47" s="381"/>
      <c r="AK47" s="381"/>
      <c r="AL47" s="381"/>
      <c r="AM47" s="381"/>
      <c r="AN47" s="381"/>
      <c r="AO47" s="381"/>
      <c r="AP47" s="381"/>
      <c r="AQ47" s="381"/>
      <c r="AR47" s="381"/>
      <c r="AS47" s="381"/>
      <c r="AT47" s="381"/>
      <c r="AU47" s="381"/>
      <c r="AV47" s="381"/>
      <c r="AW47" s="381"/>
      <c r="AX47" s="381"/>
      <c r="AY47" s="381"/>
      <c r="AZ47" s="381"/>
    </row>
    <row r="48" spans="1:52" s="371" customFormat="1" x14ac:dyDescent="0.2">
      <c r="A48" s="395"/>
      <c r="B48" s="395"/>
      <c r="C48" s="18"/>
      <c r="D48" s="381"/>
      <c r="E48" s="405">
        <f t="shared" ref="E48:T48" si="5">E47+E24</f>
        <v>3274.1363857392716</v>
      </c>
      <c r="F48" s="405">
        <f t="shared" si="5"/>
        <v>3640.2562728102134</v>
      </c>
      <c r="G48" s="405">
        <f t="shared" si="5"/>
        <v>3297.4070554682307</v>
      </c>
      <c r="H48" s="405">
        <f t="shared" si="5"/>
        <v>3411.6443896144365</v>
      </c>
      <c r="I48" s="405">
        <f t="shared" si="5"/>
        <v>3471.6885746367443</v>
      </c>
      <c r="J48" s="405">
        <f t="shared" si="5"/>
        <v>3738.0479875067022</v>
      </c>
      <c r="K48" s="405">
        <f t="shared" si="5"/>
        <v>4008.1753291578398</v>
      </c>
      <c r="L48" s="405">
        <f t="shared" si="5"/>
        <v>3150.8203659020096</v>
      </c>
      <c r="M48" s="405">
        <f t="shared" si="5"/>
        <v>3405.2553426395079</v>
      </c>
      <c r="N48" s="405">
        <f t="shared" si="5"/>
        <v>3552.2090639441126</v>
      </c>
      <c r="O48" s="405">
        <f t="shared" si="5"/>
        <v>3280.1220781489442</v>
      </c>
      <c r="P48" s="405">
        <f t="shared" si="5"/>
        <v>3285.6947604061302</v>
      </c>
      <c r="Q48" s="405">
        <f t="shared" si="5"/>
        <v>3130.5455240041488</v>
      </c>
      <c r="R48" s="405">
        <f t="shared" si="5"/>
        <v>3443.7289230412675</v>
      </c>
      <c r="S48" s="405">
        <f t="shared" si="5"/>
        <v>3454.1974845972122</v>
      </c>
      <c r="T48" s="405">
        <f t="shared" si="5"/>
        <v>3584.4350431870262</v>
      </c>
      <c r="U48" s="381"/>
      <c r="V48" s="381"/>
      <c r="W48" s="381"/>
      <c r="X48" s="381"/>
      <c r="Y48" s="381"/>
      <c r="Z48" s="381"/>
      <c r="AA48" s="381"/>
      <c r="AB48" s="381"/>
      <c r="AC48" s="381"/>
      <c r="AD48" s="381"/>
      <c r="AE48" s="381"/>
      <c r="AF48" s="381"/>
      <c r="AG48" s="381"/>
      <c r="AH48" s="381"/>
      <c r="AI48" s="381"/>
      <c r="AJ48" s="381"/>
      <c r="AK48" s="381"/>
      <c r="AL48" s="381"/>
      <c r="AM48" s="381"/>
      <c r="AN48" s="381"/>
      <c r="AO48" s="381"/>
      <c r="AP48" s="381"/>
      <c r="AQ48" s="381"/>
      <c r="AR48" s="381"/>
      <c r="AS48" s="381"/>
      <c r="AT48" s="381"/>
      <c r="AU48" s="381"/>
      <c r="AV48" s="381"/>
      <c r="AW48" s="381"/>
      <c r="AX48" s="381"/>
      <c r="AY48" s="381"/>
      <c r="AZ48" s="381"/>
    </row>
    <row r="49" spans="1:52" s="371" customFormat="1" x14ac:dyDescent="0.2">
      <c r="A49" s="395"/>
      <c r="B49" s="395"/>
      <c r="C49" s="18"/>
      <c r="D49" s="381"/>
      <c r="E49" s="381"/>
      <c r="F49" s="381"/>
      <c r="G49" s="381"/>
      <c r="H49" s="381"/>
      <c r="I49" s="381"/>
      <c r="J49" s="381"/>
      <c r="K49" s="381"/>
      <c r="L49" s="381"/>
      <c r="M49" s="381"/>
      <c r="N49" s="381"/>
      <c r="O49" s="381"/>
      <c r="P49" s="381"/>
      <c r="Q49" s="381"/>
      <c r="R49" s="381"/>
      <c r="S49" s="381"/>
      <c r="T49" s="381"/>
      <c r="U49" s="381"/>
      <c r="V49" s="381"/>
      <c r="W49" s="381"/>
      <c r="X49" s="381"/>
      <c r="Y49" s="381"/>
      <c r="Z49" s="381"/>
      <c r="AA49" s="381"/>
      <c r="AB49" s="381"/>
      <c r="AC49" s="381"/>
      <c r="AD49" s="381"/>
      <c r="AE49" s="381"/>
      <c r="AF49" s="381"/>
      <c r="AG49" s="381"/>
      <c r="AH49" s="381"/>
      <c r="AI49" s="381"/>
      <c r="AJ49" s="381"/>
      <c r="AK49" s="381"/>
      <c r="AL49" s="381"/>
      <c r="AM49" s="381"/>
      <c r="AN49" s="381"/>
      <c r="AO49" s="381"/>
      <c r="AP49" s="381"/>
      <c r="AQ49" s="381"/>
      <c r="AR49" s="381"/>
      <c r="AS49" s="381"/>
      <c r="AT49" s="381"/>
      <c r="AU49" s="381"/>
      <c r="AV49" s="381"/>
      <c r="AW49" s="381"/>
      <c r="AX49" s="381"/>
      <c r="AY49" s="381"/>
      <c r="AZ49" s="381"/>
    </row>
    <row r="50" spans="1:52" s="371" customFormat="1" x14ac:dyDescent="0.2">
      <c r="A50" s="395"/>
      <c r="B50" s="395"/>
      <c r="C50" s="18"/>
      <c r="D50" s="381"/>
      <c r="E50" s="381"/>
      <c r="F50" s="381"/>
      <c r="G50" s="381"/>
      <c r="H50" s="381"/>
      <c r="I50" s="381"/>
      <c r="J50" s="381"/>
      <c r="K50" s="381"/>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381"/>
      <c r="AL50" s="381"/>
      <c r="AM50" s="381"/>
      <c r="AN50" s="381"/>
      <c r="AO50" s="381"/>
      <c r="AP50" s="381"/>
      <c r="AQ50" s="381"/>
      <c r="AR50" s="381"/>
      <c r="AS50" s="381"/>
      <c r="AT50" s="381"/>
      <c r="AU50" s="381"/>
      <c r="AV50" s="381"/>
      <c r="AW50" s="381"/>
      <c r="AX50" s="381"/>
      <c r="AY50" s="381"/>
      <c r="AZ50" s="381"/>
    </row>
    <row r="51" spans="1:52" s="371" customFormat="1" x14ac:dyDescent="0.2">
      <c r="A51" s="395"/>
      <c r="B51" s="395"/>
      <c r="C51" s="18"/>
      <c r="D51" s="381"/>
      <c r="E51" s="381"/>
      <c r="F51" s="381"/>
      <c r="G51" s="381"/>
      <c r="H51" s="381"/>
      <c r="I51" s="381"/>
      <c r="J51" s="381"/>
      <c r="K51" s="381"/>
      <c r="L51" s="381"/>
      <c r="M51" s="381"/>
      <c r="N51" s="381"/>
      <c r="O51" s="381"/>
      <c r="P51" s="381"/>
      <c r="Q51" s="381"/>
      <c r="R51" s="381"/>
      <c r="S51" s="381"/>
      <c r="T51" s="381"/>
      <c r="U51" s="381"/>
      <c r="V51" s="381"/>
      <c r="W51" s="381"/>
      <c r="X51" s="381"/>
      <c r="Y51" s="381"/>
      <c r="Z51" s="381"/>
      <c r="AA51" s="381"/>
      <c r="AB51" s="381"/>
      <c r="AC51" s="381"/>
      <c r="AD51" s="381"/>
      <c r="AE51" s="381"/>
      <c r="AF51" s="381"/>
      <c r="AG51" s="381"/>
      <c r="AH51" s="381"/>
      <c r="AI51" s="381"/>
      <c r="AJ51" s="381"/>
      <c r="AK51" s="381"/>
      <c r="AL51" s="381"/>
      <c r="AM51" s="381"/>
      <c r="AN51" s="381"/>
      <c r="AO51" s="381"/>
      <c r="AP51" s="381"/>
      <c r="AQ51" s="381"/>
      <c r="AR51" s="381"/>
      <c r="AS51" s="381"/>
      <c r="AT51" s="381"/>
      <c r="AU51" s="381"/>
      <c r="AV51" s="381"/>
      <c r="AW51" s="381"/>
      <c r="AX51" s="381"/>
      <c r="AY51" s="381"/>
      <c r="AZ51" s="381"/>
    </row>
    <row r="52" spans="1:52" s="371" customFormat="1" x14ac:dyDescent="0.2">
      <c r="A52" s="395"/>
      <c r="B52" s="395"/>
      <c r="C52" s="18"/>
      <c r="D52" s="381"/>
      <c r="E52" s="381"/>
      <c r="F52" s="381"/>
      <c r="G52" s="381"/>
      <c r="H52" s="381"/>
      <c r="I52" s="381"/>
      <c r="J52" s="381"/>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381"/>
      <c r="AL52" s="381"/>
      <c r="AM52" s="381"/>
      <c r="AN52" s="381"/>
      <c r="AO52" s="381"/>
      <c r="AP52" s="381"/>
      <c r="AQ52" s="381"/>
      <c r="AR52" s="381"/>
      <c r="AS52" s="381"/>
      <c r="AT52" s="381"/>
      <c r="AU52" s="381"/>
      <c r="AV52" s="381"/>
      <c r="AW52" s="381"/>
      <c r="AX52" s="381"/>
      <c r="AY52" s="381"/>
      <c r="AZ52" s="381"/>
    </row>
    <row r="53" spans="1:52" s="371" customFormat="1" x14ac:dyDescent="0.2">
      <c r="A53" s="395"/>
      <c r="B53" s="395"/>
      <c r="C53" s="18"/>
      <c r="D53" s="381"/>
      <c r="E53" s="381"/>
      <c r="F53" s="381"/>
      <c r="G53" s="381"/>
      <c r="H53" s="381"/>
      <c r="I53" s="381"/>
      <c r="J53" s="381"/>
      <c r="K53" s="381"/>
      <c r="L53" s="381"/>
      <c r="M53" s="381"/>
      <c r="N53" s="381"/>
      <c r="O53" s="381"/>
      <c r="P53" s="381"/>
      <c r="Q53" s="381"/>
      <c r="R53" s="381"/>
      <c r="S53" s="381"/>
      <c r="T53" s="381"/>
      <c r="U53" s="381"/>
      <c r="V53" s="381"/>
      <c r="W53" s="381"/>
      <c r="X53" s="381"/>
      <c r="Y53" s="381"/>
      <c r="Z53" s="381"/>
      <c r="AA53" s="381"/>
      <c r="AB53" s="381"/>
      <c r="AC53" s="381"/>
      <c r="AD53" s="381"/>
      <c r="AE53" s="381"/>
      <c r="AF53" s="381"/>
      <c r="AG53" s="381"/>
      <c r="AH53" s="381"/>
      <c r="AI53" s="381"/>
      <c r="AJ53" s="381"/>
      <c r="AK53" s="381"/>
      <c r="AL53" s="381"/>
      <c r="AM53" s="381"/>
      <c r="AN53" s="381"/>
      <c r="AO53" s="381"/>
      <c r="AP53" s="381"/>
      <c r="AQ53" s="381"/>
      <c r="AR53" s="381"/>
      <c r="AS53" s="381"/>
      <c r="AT53" s="381"/>
      <c r="AU53" s="381"/>
      <c r="AV53" s="381"/>
      <c r="AW53" s="381"/>
      <c r="AX53" s="381"/>
      <c r="AY53" s="381"/>
      <c r="AZ53" s="381"/>
    </row>
    <row r="54" spans="1:52" s="371" customFormat="1" x14ac:dyDescent="0.2">
      <c r="A54" s="395"/>
      <c r="B54" s="395"/>
      <c r="C54" s="18"/>
      <c r="D54" s="381"/>
      <c r="E54" s="381"/>
      <c r="F54" s="381"/>
      <c r="G54" s="381"/>
      <c r="H54" s="381"/>
      <c r="I54" s="381"/>
      <c r="J54" s="381"/>
      <c r="K54" s="381"/>
      <c r="L54" s="381"/>
      <c r="M54" s="381"/>
      <c r="N54" s="381"/>
      <c r="O54" s="381"/>
      <c r="P54" s="381"/>
      <c r="Q54" s="381"/>
      <c r="R54" s="381"/>
      <c r="S54" s="381"/>
      <c r="T54" s="381"/>
      <c r="U54" s="381"/>
      <c r="V54" s="381"/>
      <c r="W54" s="381"/>
      <c r="X54" s="381"/>
      <c r="Y54" s="381"/>
      <c r="Z54" s="381"/>
      <c r="AA54" s="381"/>
      <c r="AB54" s="381"/>
      <c r="AC54" s="381"/>
      <c r="AD54" s="381"/>
      <c r="AE54" s="381"/>
      <c r="AF54" s="381"/>
      <c r="AG54" s="381"/>
      <c r="AH54" s="381"/>
      <c r="AI54" s="381"/>
      <c r="AJ54" s="381"/>
      <c r="AK54" s="381"/>
      <c r="AL54" s="381"/>
      <c r="AM54" s="381"/>
      <c r="AN54" s="381"/>
      <c r="AO54" s="381"/>
      <c r="AP54" s="381"/>
      <c r="AQ54" s="381"/>
      <c r="AR54" s="381"/>
      <c r="AS54" s="381"/>
      <c r="AT54" s="381"/>
      <c r="AU54" s="381"/>
      <c r="AV54" s="381"/>
      <c r="AW54" s="381"/>
      <c r="AX54" s="381"/>
      <c r="AY54" s="381"/>
      <c r="AZ54" s="381"/>
    </row>
    <row r="55" spans="1:52" s="371" customFormat="1" x14ac:dyDescent="0.2">
      <c r="A55" s="395"/>
      <c r="B55" s="395"/>
      <c r="C55" s="18"/>
      <c r="D55" s="381"/>
      <c r="E55" s="381"/>
      <c r="F55" s="381"/>
      <c r="G55" s="381"/>
      <c r="H55" s="381"/>
      <c r="I55" s="381"/>
      <c r="J55" s="381"/>
      <c r="K55" s="381"/>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381"/>
      <c r="AL55" s="381"/>
      <c r="AM55" s="381"/>
      <c r="AN55" s="381"/>
      <c r="AO55" s="381"/>
      <c r="AP55" s="381"/>
      <c r="AQ55" s="381"/>
      <c r="AR55" s="381"/>
      <c r="AS55" s="381"/>
      <c r="AT55" s="381"/>
      <c r="AU55" s="381"/>
      <c r="AV55" s="381"/>
      <c r="AW55" s="381"/>
      <c r="AX55" s="381"/>
      <c r="AY55" s="381"/>
      <c r="AZ55" s="381"/>
    </row>
    <row r="56" spans="1:52" s="371" customFormat="1" x14ac:dyDescent="0.2">
      <c r="A56" s="395"/>
      <c r="B56" s="395"/>
      <c r="C56" s="18"/>
      <c r="D56" s="381"/>
      <c r="E56" s="381"/>
      <c r="F56" s="381"/>
      <c r="G56" s="381"/>
      <c r="H56" s="381"/>
      <c r="I56" s="381"/>
      <c r="J56" s="381"/>
      <c r="K56" s="381"/>
      <c r="L56" s="381"/>
      <c r="M56" s="381"/>
      <c r="N56" s="381"/>
      <c r="O56" s="381"/>
      <c r="P56" s="381"/>
      <c r="Q56" s="381"/>
      <c r="R56" s="381"/>
      <c r="S56" s="381"/>
      <c r="T56" s="381"/>
      <c r="U56" s="381"/>
      <c r="V56" s="381"/>
      <c r="W56" s="381"/>
      <c r="X56" s="381"/>
      <c r="Y56" s="381"/>
      <c r="Z56" s="381"/>
      <c r="AA56" s="381"/>
      <c r="AB56" s="381"/>
      <c r="AC56" s="381"/>
      <c r="AD56" s="381"/>
      <c r="AE56" s="381"/>
      <c r="AF56" s="381"/>
      <c r="AG56" s="381"/>
      <c r="AH56" s="381"/>
      <c r="AI56" s="381"/>
      <c r="AJ56" s="381"/>
      <c r="AK56" s="381"/>
      <c r="AL56" s="381"/>
      <c r="AM56" s="381"/>
      <c r="AN56" s="381"/>
      <c r="AO56" s="381"/>
      <c r="AP56" s="381"/>
      <c r="AQ56" s="381"/>
      <c r="AR56" s="381"/>
      <c r="AS56" s="381"/>
      <c r="AT56" s="381"/>
      <c r="AU56" s="381"/>
      <c r="AV56" s="381"/>
      <c r="AW56" s="381"/>
      <c r="AX56" s="381"/>
      <c r="AY56" s="381"/>
      <c r="AZ56" s="381"/>
    </row>
    <row r="57" spans="1:52" s="371" customFormat="1" x14ac:dyDescent="0.2">
      <c r="A57" s="395"/>
      <c r="B57" s="395"/>
      <c r="C57" s="18"/>
      <c r="D57" s="381"/>
      <c r="E57" s="381"/>
      <c r="F57" s="381"/>
      <c r="G57" s="381"/>
      <c r="H57" s="381"/>
      <c r="I57" s="381"/>
      <c r="J57" s="381"/>
      <c r="K57" s="381"/>
      <c r="L57" s="381"/>
      <c r="M57" s="381"/>
      <c r="N57" s="381"/>
      <c r="O57" s="381"/>
      <c r="P57" s="381"/>
      <c r="Q57" s="381"/>
      <c r="R57" s="381"/>
      <c r="S57" s="381"/>
      <c r="T57" s="381"/>
      <c r="U57" s="381"/>
      <c r="V57" s="381"/>
      <c r="W57" s="381"/>
      <c r="X57" s="381"/>
      <c r="Y57" s="381"/>
      <c r="Z57" s="381"/>
      <c r="AA57" s="381"/>
      <c r="AB57" s="381"/>
      <c r="AC57" s="381"/>
      <c r="AD57" s="381"/>
      <c r="AE57" s="381"/>
      <c r="AF57" s="381"/>
      <c r="AG57" s="381"/>
      <c r="AH57" s="381"/>
      <c r="AI57" s="381"/>
      <c r="AJ57" s="381"/>
      <c r="AK57" s="381"/>
      <c r="AL57" s="381"/>
      <c r="AM57" s="381"/>
      <c r="AN57" s="381"/>
      <c r="AO57" s="381"/>
      <c r="AP57" s="381"/>
      <c r="AQ57" s="381"/>
      <c r="AR57" s="381"/>
      <c r="AS57" s="381"/>
      <c r="AT57" s="381"/>
      <c r="AU57" s="381"/>
      <c r="AV57" s="381"/>
      <c r="AW57" s="381"/>
      <c r="AX57" s="381"/>
      <c r="AY57" s="381"/>
      <c r="AZ57" s="381"/>
    </row>
    <row r="58" spans="1:52" s="371" customFormat="1" x14ac:dyDescent="0.2">
      <c r="A58" s="395"/>
      <c r="B58" s="395"/>
      <c r="C58" s="18"/>
      <c r="D58" s="381"/>
      <c r="E58" s="381"/>
      <c r="F58" s="381"/>
      <c r="G58" s="381"/>
      <c r="H58" s="381"/>
      <c r="I58" s="381"/>
      <c r="J58" s="381"/>
      <c r="K58" s="381"/>
      <c r="L58" s="381"/>
      <c r="M58" s="381"/>
      <c r="N58" s="381"/>
      <c r="O58" s="381"/>
      <c r="P58" s="381"/>
      <c r="Q58" s="381"/>
      <c r="R58" s="381"/>
      <c r="S58" s="381"/>
      <c r="T58" s="381"/>
      <c r="U58" s="381"/>
      <c r="V58" s="381"/>
      <c r="W58" s="381"/>
      <c r="X58" s="381"/>
      <c r="Y58" s="381"/>
      <c r="Z58" s="381"/>
      <c r="AA58" s="381"/>
      <c r="AB58" s="381"/>
      <c r="AC58" s="381"/>
      <c r="AD58" s="381"/>
      <c r="AE58" s="381"/>
      <c r="AF58" s="381"/>
      <c r="AG58" s="381"/>
      <c r="AH58" s="381"/>
      <c r="AI58" s="381"/>
      <c r="AJ58" s="381"/>
      <c r="AK58" s="381"/>
      <c r="AL58" s="381"/>
      <c r="AM58" s="381"/>
      <c r="AN58" s="381"/>
      <c r="AO58" s="381"/>
      <c r="AP58" s="381"/>
      <c r="AQ58" s="381"/>
      <c r="AR58" s="381"/>
      <c r="AS58" s="381"/>
      <c r="AT58" s="381"/>
      <c r="AU58" s="381"/>
      <c r="AV58" s="381"/>
      <c r="AW58" s="381"/>
      <c r="AX58" s="381"/>
      <c r="AY58" s="381"/>
      <c r="AZ58" s="381"/>
    </row>
    <row r="59" spans="1:52" s="371" customFormat="1" x14ac:dyDescent="0.2">
      <c r="A59" s="395"/>
      <c r="B59" s="395"/>
      <c r="C59" s="18"/>
      <c r="D59" s="381"/>
      <c r="E59" s="381"/>
      <c r="F59" s="381"/>
      <c r="G59" s="381"/>
      <c r="H59" s="381"/>
      <c r="I59" s="381"/>
      <c r="J59" s="381"/>
      <c r="K59" s="381"/>
      <c r="L59" s="381"/>
      <c r="M59" s="381"/>
      <c r="N59" s="381"/>
      <c r="O59" s="381"/>
      <c r="P59" s="381"/>
      <c r="Q59" s="381"/>
      <c r="R59" s="381"/>
      <c r="S59" s="381"/>
      <c r="T59" s="381"/>
      <c r="U59" s="381"/>
      <c r="V59" s="381"/>
      <c r="W59" s="381"/>
      <c r="X59" s="381"/>
      <c r="Y59" s="381"/>
      <c r="Z59" s="381"/>
      <c r="AA59" s="381"/>
      <c r="AB59" s="381"/>
      <c r="AC59" s="381"/>
      <c r="AD59" s="381"/>
      <c r="AE59" s="381"/>
      <c r="AF59" s="381"/>
      <c r="AG59" s="381"/>
      <c r="AH59" s="381"/>
      <c r="AI59" s="381"/>
      <c r="AJ59" s="381"/>
      <c r="AK59" s="381"/>
      <c r="AL59" s="381"/>
      <c r="AM59" s="381"/>
      <c r="AN59" s="381"/>
      <c r="AO59" s="381"/>
      <c r="AP59" s="381"/>
      <c r="AQ59" s="381"/>
      <c r="AR59" s="381"/>
      <c r="AS59" s="381"/>
      <c r="AT59" s="381"/>
      <c r="AU59" s="381"/>
      <c r="AV59" s="381"/>
      <c r="AW59" s="381"/>
      <c r="AX59" s="381"/>
      <c r="AY59" s="381"/>
      <c r="AZ59" s="381"/>
    </row>
    <row r="60" spans="1:52" s="371" customFormat="1" x14ac:dyDescent="0.2">
      <c r="A60" s="395"/>
      <c r="B60" s="395"/>
      <c r="C60" s="18"/>
      <c r="D60" s="381"/>
      <c r="E60" s="381"/>
      <c r="F60" s="381"/>
      <c r="G60" s="381"/>
      <c r="H60" s="381"/>
      <c r="I60" s="381"/>
      <c r="J60" s="381"/>
      <c r="K60" s="381"/>
      <c r="L60" s="381"/>
      <c r="M60" s="381"/>
      <c r="N60" s="381"/>
      <c r="O60" s="381"/>
      <c r="P60" s="381"/>
      <c r="Q60" s="381"/>
      <c r="R60" s="381"/>
      <c r="S60" s="381"/>
      <c r="T60" s="381"/>
      <c r="U60" s="381"/>
      <c r="V60" s="381"/>
      <c r="W60" s="381"/>
      <c r="X60" s="381"/>
      <c r="Y60" s="381"/>
      <c r="Z60" s="381"/>
      <c r="AA60" s="381"/>
      <c r="AB60" s="381"/>
      <c r="AC60" s="381"/>
      <c r="AD60" s="381"/>
      <c r="AE60" s="381"/>
      <c r="AF60" s="381"/>
      <c r="AG60" s="381"/>
      <c r="AH60" s="381"/>
      <c r="AI60" s="381"/>
      <c r="AJ60" s="381"/>
      <c r="AK60" s="381"/>
      <c r="AL60" s="381"/>
      <c r="AM60" s="381"/>
      <c r="AN60" s="381"/>
      <c r="AO60" s="381"/>
      <c r="AP60" s="381"/>
      <c r="AQ60" s="381"/>
      <c r="AR60" s="381"/>
      <c r="AS60" s="381"/>
      <c r="AT60" s="381"/>
      <c r="AU60" s="381"/>
      <c r="AV60" s="381"/>
      <c r="AW60" s="381"/>
      <c r="AX60" s="381"/>
      <c r="AY60" s="381"/>
      <c r="AZ60" s="381"/>
    </row>
    <row r="61" spans="1:52" s="371" customFormat="1" x14ac:dyDescent="0.2">
      <c r="A61" s="395"/>
      <c r="B61" s="395"/>
      <c r="C61" s="18"/>
      <c r="D61" s="381"/>
      <c r="E61" s="381"/>
      <c r="F61" s="381"/>
      <c r="G61" s="381"/>
      <c r="H61" s="381"/>
      <c r="I61" s="381"/>
      <c r="J61" s="381"/>
      <c r="K61" s="381"/>
      <c r="L61" s="381"/>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1"/>
      <c r="AJ61" s="381"/>
      <c r="AK61" s="381"/>
      <c r="AL61" s="381"/>
      <c r="AM61" s="381"/>
      <c r="AN61" s="381"/>
      <c r="AO61" s="381"/>
      <c r="AP61" s="381"/>
      <c r="AQ61" s="381"/>
      <c r="AR61" s="381"/>
      <c r="AS61" s="381"/>
      <c r="AT61" s="381"/>
      <c r="AU61" s="381"/>
      <c r="AV61" s="381"/>
      <c r="AW61" s="381"/>
      <c r="AX61" s="381"/>
      <c r="AY61" s="381"/>
      <c r="AZ61" s="381"/>
    </row>
    <row r="62" spans="1:52" s="371" customFormat="1" x14ac:dyDescent="0.2">
      <c r="A62" s="395"/>
      <c r="B62" s="395"/>
      <c r="C62" s="18"/>
      <c r="D62" s="381"/>
      <c r="E62" s="381"/>
      <c r="F62" s="381"/>
      <c r="G62" s="381"/>
      <c r="H62" s="381"/>
      <c r="I62" s="381"/>
      <c r="J62" s="381"/>
      <c r="K62" s="381"/>
      <c r="L62" s="381"/>
      <c r="M62" s="381"/>
      <c r="N62" s="381"/>
      <c r="O62" s="381"/>
      <c r="P62" s="381"/>
      <c r="Q62" s="381"/>
      <c r="R62" s="381"/>
      <c r="S62" s="381"/>
      <c r="T62" s="381"/>
      <c r="U62" s="381"/>
      <c r="V62" s="381"/>
      <c r="W62" s="381"/>
      <c r="X62" s="381"/>
      <c r="Y62" s="381"/>
      <c r="Z62" s="381"/>
      <c r="AA62" s="381"/>
      <c r="AB62" s="381"/>
      <c r="AC62" s="381"/>
      <c r="AD62" s="381"/>
      <c r="AE62" s="381"/>
      <c r="AF62" s="381"/>
      <c r="AG62" s="381"/>
      <c r="AH62" s="381"/>
      <c r="AI62" s="381"/>
      <c r="AJ62" s="381"/>
      <c r="AK62" s="381"/>
      <c r="AL62" s="381"/>
      <c r="AM62" s="381"/>
      <c r="AN62" s="381"/>
      <c r="AO62" s="381"/>
      <c r="AP62" s="381"/>
      <c r="AQ62" s="381"/>
      <c r="AR62" s="381"/>
      <c r="AS62" s="381"/>
      <c r="AT62" s="381"/>
      <c r="AU62" s="381"/>
      <c r="AV62" s="381"/>
      <c r="AW62" s="381"/>
      <c r="AX62" s="381"/>
      <c r="AY62" s="381"/>
      <c r="AZ62" s="381"/>
    </row>
    <row r="63" spans="1:52" s="371" customFormat="1" x14ac:dyDescent="0.2">
      <c r="A63" s="395"/>
      <c r="B63" s="395"/>
      <c r="C63" s="18"/>
      <c r="D63" s="381"/>
      <c r="E63" s="381"/>
      <c r="F63" s="381"/>
      <c r="G63" s="381"/>
      <c r="H63" s="381"/>
      <c r="I63" s="381"/>
      <c r="J63" s="381"/>
      <c r="K63" s="381"/>
      <c r="L63" s="381"/>
      <c r="M63" s="381"/>
      <c r="N63" s="381"/>
      <c r="O63" s="381"/>
      <c r="P63" s="381"/>
      <c r="Q63" s="381"/>
      <c r="R63" s="381"/>
      <c r="S63" s="381"/>
      <c r="T63" s="381"/>
      <c r="U63" s="381"/>
      <c r="V63" s="381"/>
      <c r="W63" s="381"/>
      <c r="X63" s="381"/>
      <c r="Y63" s="381"/>
      <c r="Z63" s="381"/>
      <c r="AA63" s="381"/>
      <c r="AB63" s="381"/>
      <c r="AC63" s="381"/>
      <c r="AD63" s="381"/>
      <c r="AE63" s="381"/>
      <c r="AF63" s="381"/>
      <c r="AG63" s="381"/>
      <c r="AH63" s="381"/>
      <c r="AI63" s="381"/>
      <c r="AJ63" s="381"/>
      <c r="AK63" s="381"/>
      <c r="AL63" s="381"/>
      <c r="AM63" s="381"/>
      <c r="AN63" s="381"/>
      <c r="AO63" s="381"/>
      <c r="AP63" s="381"/>
      <c r="AQ63" s="381"/>
      <c r="AR63" s="381"/>
      <c r="AS63" s="381"/>
      <c r="AT63" s="381"/>
      <c r="AU63" s="381"/>
      <c r="AV63" s="381"/>
      <c r="AW63" s="381"/>
      <c r="AX63" s="381"/>
      <c r="AY63" s="381"/>
      <c r="AZ63" s="381"/>
    </row>
    <row r="64" spans="1:52" s="371" customFormat="1" x14ac:dyDescent="0.2">
      <c r="A64" s="395"/>
      <c r="B64" s="395"/>
      <c r="C64" s="18"/>
      <c r="D64" s="381"/>
      <c r="E64" s="381"/>
      <c r="F64" s="381"/>
      <c r="G64" s="381"/>
      <c r="H64" s="381"/>
      <c r="I64" s="381"/>
      <c r="J64" s="381"/>
      <c r="K64" s="381"/>
      <c r="L64" s="381"/>
      <c r="M64" s="381"/>
      <c r="N64" s="381"/>
      <c r="O64" s="381"/>
      <c r="P64" s="381"/>
      <c r="Q64" s="381"/>
      <c r="R64" s="381"/>
      <c r="S64" s="381"/>
      <c r="T64" s="381"/>
      <c r="U64" s="381"/>
      <c r="V64" s="381"/>
      <c r="W64" s="381"/>
      <c r="X64" s="381"/>
      <c r="Y64" s="381"/>
      <c r="Z64" s="381"/>
      <c r="AA64" s="381"/>
      <c r="AB64" s="381"/>
      <c r="AC64" s="381"/>
      <c r="AD64" s="381"/>
      <c r="AE64" s="381"/>
      <c r="AF64" s="381"/>
      <c r="AG64" s="381"/>
      <c r="AH64" s="381"/>
      <c r="AI64" s="381"/>
      <c r="AJ64" s="381"/>
      <c r="AK64" s="381"/>
      <c r="AL64" s="381"/>
      <c r="AM64" s="381"/>
      <c r="AN64" s="381"/>
      <c r="AO64" s="381"/>
      <c r="AP64" s="381"/>
      <c r="AQ64" s="381"/>
      <c r="AR64" s="381"/>
      <c r="AS64" s="381"/>
      <c r="AT64" s="381"/>
      <c r="AU64" s="381"/>
      <c r="AV64" s="381"/>
      <c r="AW64" s="381"/>
      <c r="AX64" s="381"/>
      <c r="AY64" s="381"/>
      <c r="AZ64" s="381"/>
    </row>
    <row r="65" spans="1:52" s="371" customFormat="1" x14ac:dyDescent="0.2">
      <c r="A65" s="395"/>
      <c r="B65" s="395"/>
      <c r="C65" s="18"/>
      <c r="D65" s="381"/>
      <c r="E65" s="381"/>
      <c r="F65" s="381"/>
      <c r="G65" s="381"/>
      <c r="H65" s="381"/>
      <c r="I65" s="381"/>
      <c r="J65" s="381"/>
      <c r="K65" s="381"/>
      <c r="L65" s="381"/>
      <c r="M65" s="381"/>
      <c r="N65" s="381"/>
      <c r="O65" s="381"/>
      <c r="P65" s="381"/>
      <c r="Q65" s="381"/>
      <c r="R65" s="381"/>
      <c r="S65" s="381"/>
      <c r="T65" s="381"/>
      <c r="U65" s="381"/>
      <c r="V65" s="381"/>
      <c r="W65" s="381"/>
      <c r="X65" s="381"/>
      <c r="Y65" s="381"/>
      <c r="Z65" s="381"/>
      <c r="AA65" s="381"/>
      <c r="AB65" s="381"/>
      <c r="AC65" s="381"/>
      <c r="AD65" s="381"/>
      <c r="AE65" s="381"/>
      <c r="AF65" s="381"/>
      <c r="AG65" s="381"/>
      <c r="AH65" s="381"/>
      <c r="AI65" s="381"/>
      <c r="AJ65" s="381"/>
      <c r="AK65" s="381"/>
      <c r="AL65" s="381"/>
      <c r="AM65" s="381"/>
      <c r="AN65" s="381"/>
      <c r="AO65" s="381"/>
      <c r="AP65" s="381"/>
      <c r="AQ65" s="381"/>
      <c r="AR65" s="381"/>
      <c r="AS65" s="381"/>
      <c r="AT65" s="381"/>
      <c r="AU65" s="381"/>
      <c r="AV65" s="381"/>
      <c r="AW65" s="381"/>
      <c r="AX65" s="381"/>
      <c r="AY65" s="381"/>
      <c r="AZ65" s="381"/>
    </row>
    <row r="66" spans="1:52" s="371" customFormat="1" x14ac:dyDescent="0.2">
      <c r="A66" s="395"/>
      <c r="B66" s="395"/>
      <c r="C66" s="18"/>
      <c r="D66" s="381"/>
      <c r="E66" s="381"/>
      <c r="F66" s="381"/>
      <c r="G66" s="381"/>
      <c r="H66" s="381"/>
      <c r="I66" s="381"/>
      <c r="J66" s="381"/>
      <c r="K66" s="381"/>
      <c r="L66" s="381"/>
      <c r="M66" s="381"/>
      <c r="N66" s="381"/>
      <c r="O66" s="381"/>
      <c r="P66" s="381"/>
      <c r="Q66" s="381"/>
      <c r="R66" s="381"/>
      <c r="S66" s="381"/>
      <c r="T66" s="381"/>
      <c r="U66" s="381"/>
      <c r="V66" s="381"/>
      <c r="W66" s="381"/>
      <c r="X66" s="381"/>
      <c r="Y66" s="381"/>
      <c r="Z66" s="381"/>
      <c r="AA66" s="381"/>
      <c r="AB66" s="381"/>
      <c r="AC66" s="381"/>
      <c r="AD66" s="381"/>
      <c r="AE66" s="381"/>
      <c r="AF66" s="381"/>
      <c r="AG66" s="381"/>
      <c r="AH66" s="381"/>
      <c r="AI66" s="381"/>
      <c r="AJ66" s="381"/>
      <c r="AK66" s="381"/>
      <c r="AL66" s="381"/>
      <c r="AM66" s="381"/>
      <c r="AN66" s="381"/>
      <c r="AO66" s="381"/>
      <c r="AP66" s="381"/>
      <c r="AQ66" s="381"/>
      <c r="AR66" s="381"/>
      <c r="AS66" s="381"/>
      <c r="AT66" s="381"/>
      <c r="AU66" s="381"/>
      <c r="AV66" s="381"/>
      <c r="AW66" s="381"/>
      <c r="AX66" s="381"/>
      <c r="AY66" s="381"/>
      <c r="AZ66" s="381"/>
    </row>
    <row r="67" spans="1:52" s="371" customFormat="1" x14ac:dyDescent="0.2">
      <c r="A67" s="395"/>
      <c r="B67" s="395"/>
      <c r="C67" s="18"/>
      <c r="D67" s="381"/>
      <c r="E67" s="381"/>
      <c r="F67" s="381"/>
      <c r="G67" s="381"/>
      <c r="H67" s="381"/>
      <c r="I67" s="381"/>
      <c r="J67" s="381"/>
      <c r="K67" s="381"/>
      <c r="L67" s="381"/>
      <c r="M67" s="381"/>
      <c r="N67" s="381"/>
      <c r="O67" s="381"/>
      <c r="P67" s="381"/>
      <c r="Q67" s="381"/>
      <c r="R67" s="381"/>
      <c r="S67" s="381"/>
      <c r="T67" s="381"/>
      <c r="U67" s="381"/>
      <c r="V67" s="381"/>
      <c r="W67" s="381"/>
      <c r="X67" s="381"/>
      <c r="Y67" s="381"/>
      <c r="Z67" s="381"/>
      <c r="AA67" s="381"/>
      <c r="AB67" s="381"/>
      <c r="AC67" s="381"/>
      <c r="AD67" s="381"/>
      <c r="AE67" s="381"/>
      <c r="AF67" s="381"/>
      <c r="AG67" s="381"/>
      <c r="AH67" s="381"/>
      <c r="AI67" s="381"/>
      <c r="AJ67" s="381"/>
      <c r="AK67" s="381"/>
      <c r="AL67" s="381"/>
      <c r="AM67" s="381"/>
      <c r="AN67" s="381"/>
      <c r="AO67" s="381"/>
      <c r="AP67" s="381"/>
      <c r="AQ67" s="381"/>
      <c r="AR67" s="381"/>
      <c r="AS67" s="381"/>
      <c r="AT67" s="381"/>
      <c r="AU67" s="381"/>
      <c r="AV67" s="381"/>
      <c r="AW67" s="381"/>
      <c r="AX67" s="381"/>
      <c r="AY67" s="381"/>
      <c r="AZ67" s="381"/>
    </row>
    <row r="68" spans="1:52" s="371" customFormat="1" x14ac:dyDescent="0.2">
      <c r="A68" s="395"/>
      <c r="B68" s="395"/>
      <c r="C68" s="18"/>
      <c r="D68" s="381"/>
      <c r="E68" s="381"/>
      <c r="F68" s="381"/>
      <c r="G68" s="381"/>
      <c r="H68" s="381"/>
      <c r="I68" s="381"/>
      <c r="J68" s="381"/>
      <c r="K68" s="381"/>
      <c r="L68" s="381"/>
      <c r="M68" s="381"/>
      <c r="N68" s="381"/>
      <c r="O68" s="381"/>
      <c r="P68" s="381"/>
      <c r="Q68" s="381"/>
      <c r="R68" s="381"/>
      <c r="S68" s="381"/>
      <c r="T68" s="381"/>
      <c r="U68" s="381"/>
      <c r="V68" s="381"/>
      <c r="W68" s="381"/>
      <c r="X68" s="381"/>
      <c r="Y68" s="381"/>
      <c r="Z68" s="381"/>
      <c r="AA68" s="381"/>
      <c r="AB68" s="381"/>
      <c r="AC68" s="381"/>
      <c r="AD68" s="381"/>
      <c r="AE68" s="381"/>
      <c r="AF68" s="381"/>
      <c r="AG68" s="381"/>
      <c r="AH68" s="381"/>
      <c r="AI68" s="381"/>
      <c r="AJ68" s="381"/>
      <c r="AK68" s="381"/>
      <c r="AL68" s="381"/>
      <c r="AM68" s="381"/>
      <c r="AN68" s="381"/>
      <c r="AO68" s="381"/>
      <c r="AP68" s="381"/>
      <c r="AQ68" s="381"/>
      <c r="AR68" s="381"/>
      <c r="AS68" s="381"/>
      <c r="AT68" s="381"/>
      <c r="AU68" s="381"/>
      <c r="AV68" s="381"/>
      <c r="AW68" s="381"/>
      <c r="AX68" s="381"/>
      <c r="AY68" s="381"/>
      <c r="AZ68" s="381"/>
    </row>
    <row r="69" spans="1:52" s="371" customFormat="1" x14ac:dyDescent="0.2">
      <c r="A69" s="395"/>
      <c r="B69" s="395"/>
      <c r="C69" s="18"/>
      <c r="D69" s="381"/>
      <c r="E69" s="381" t="s">
        <v>210</v>
      </c>
      <c r="F69" s="381"/>
      <c r="G69" s="381"/>
      <c r="H69" s="381"/>
      <c r="I69" s="381"/>
      <c r="J69" s="381"/>
      <c r="K69" s="381"/>
      <c r="L69" s="381"/>
      <c r="M69" s="381"/>
      <c r="N69" s="381"/>
      <c r="O69" s="381"/>
      <c r="P69" s="381"/>
      <c r="Q69" s="381"/>
      <c r="R69" s="381"/>
      <c r="S69" s="381"/>
      <c r="T69" s="381"/>
      <c r="U69" s="381"/>
      <c r="V69" s="381"/>
      <c r="W69" s="381"/>
      <c r="X69" s="381"/>
      <c r="Y69" s="381"/>
      <c r="Z69" s="381"/>
      <c r="AA69" s="381"/>
      <c r="AB69" s="381"/>
      <c r="AC69" s="381"/>
      <c r="AD69" s="381"/>
      <c r="AE69" s="381"/>
      <c r="AF69" s="381"/>
      <c r="AG69" s="381"/>
      <c r="AH69" s="381"/>
      <c r="AI69" s="381"/>
      <c r="AJ69" s="381"/>
      <c r="AK69" s="381"/>
      <c r="AL69" s="381"/>
      <c r="AM69" s="381"/>
      <c r="AN69" s="381"/>
      <c r="AO69" s="381"/>
      <c r="AP69" s="381"/>
      <c r="AQ69" s="381"/>
      <c r="AR69" s="381"/>
      <c r="AS69" s="381"/>
      <c r="AT69" s="381"/>
      <c r="AU69" s="381"/>
      <c r="AV69" s="381"/>
      <c r="AW69" s="381"/>
      <c r="AX69" s="381"/>
      <c r="AY69" s="381"/>
      <c r="AZ69" s="381"/>
    </row>
    <row r="70" spans="1:52" s="371" customFormat="1" x14ac:dyDescent="0.2">
      <c r="A70" s="395"/>
      <c r="B70" s="395"/>
      <c r="C70" s="18"/>
      <c r="D70" s="381"/>
      <c r="E70" s="381"/>
      <c r="F70" s="381" t="s">
        <v>102</v>
      </c>
      <c r="G70" s="381" t="s">
        <v>8</v>
      </c>
      <c r="H70" s="381" t="s">
        <v>11</v>
      </c>
      <c r="I70" s="381" t="s">
        <v>22</v>
      </c>
      <c r="J70" s="381" t="s">
        <v>15</v>
      </c>
      <c r="K70" s="381" t="s">
        <v>128</v>
      </c>
      <c r="L70" s="381" t="s">
        <v>16</v>
      </c>
      <c r="M70" s="381" t="s">
        <v>9</v>
      </c>
      <c r="N70" s="381" t="s">
        <v>21</v>
      </c>
      <c r="O70" s="381" t="s">
        <v>18</v>
      </c>
      <c r="P70" s="381" t="s">
        <v>13</v>
      </c>
      <c r="Q70" s="381" t="s">
        <v>17</v>
      </c>
      <c r="R70" s="381" t="s">
        <v>19</v>
      </c>
      <c r="S70" s="381" t="s">
        <v>10</v>
      </c>
      <c r="T70" s="381" t="s">
        <v>14</v>
      </c>
      <c r="U70" s="381" t="s">
        <v>23</v>
      </c>
      <c r="V70" s="381" t="s">
        <v>81</v>
      </c>
      <c r="W70" s="381"/>
      <c r="X70" s="381"/>
      <c r="Y70" s="381"/>
      <c r="Z70" s="381"/>
      <c r="AA70" s="381"/>
      <c r="AB70" s="381"/>
      <c r="AC70" s="381"/>
      <c r="AD70" s="381"/>
      <c r="AE70" s="381"/>
      <c r="AF70" s="381"/>
      <c r="AG70" s="381"/>
      <c r="AH70" s="381"/>
      <c r="AI70" s="381"/>
      <c r="AJ70" s="381"/>
      <c r="AK70" s="381"/>
      <c r="AL70" s="381"/>
      <c r="AM70" s="381"/>
      <c r="AN70" s="381"/>
      <c r="AO70" s="381"/>
      <c r="AP70" s="381"/>
      <c r="AQ70" s="381"/>
      <c r="AR70" s="381"/>
      <c r="AS70" s="381"/>
      <c r="AT70" s="381"/>
      <c r="AU70" s="381"/>
      <c r="AV70" s="381"/>
      <c r="AW70" s="381"/>
      <c r="AX70" s="381"/>
      <c r="AY70" s="381"/>
      <c r="AZ70" s="381"/>
    </row>
    <row r="71" spans="1:52" s="371" customFormat="1" x14ac:dyDescent="0.2">
      <c r="A71" s="395"/>
      <c r="B71" s="395"/>
      <c r="C71" s="18"/>
      <c r="D71" s="381" t="s">
        <v>211</v>
      </c>
      <c r="E71" s="381" t="s">
        <v>212</v>
      </c>
      <c r="F71" s="405">
        <f>E24</f>
        <v>1086.2575978604841</v>
      </c>
      <c r="G71" s="405">
        <f t="shared" ref="G71:U71" si="6">F24</f>
        <v>413.36551650769263</v>
      </c>
      <c r="H71" s="405">
        <f t="shared" si="6"/>
        <v>261.0748755374351</v>
      </c>
      <c r="I71" s="405">
        <f t="shared" si="6"/>
        <v>996.95244648647417</v>
      </c>
      <c r="J71" s="405">
        <f t="shared" si="6"/>
        <v>424.35129653023563</v>
      </c>
      <c r="K71" s="405">
        <f t="shared" si="6"/>
        <v>173.69155186313807</v>
      </c>
      <c r="L71" s="405">
        <f t="shared" si="6"/>
        <v>669.39981895375809</v>
      </c>
      <c r="M71" s="405">
        <f t="shared" si="6"/>
        <v>397.69536590200931</v>
      </c>
      <c r="N71" s="405">
        <f t="shared" si="6"/>
        <v>471.92200930617417</v>
      </c>
      <c r="O71" s="405">
        <f t="shared" si="6"/>
        <v>42.004982311459571</v>
      </c>
      <c r="P71" s="405">
        <f t="shared" si="6"/>
        <v>719.01826737364888</v>
      </c>
      <c r="Q71" s="405">
        <f t="shared" si="6"/>
        <v>360.34106948738321</v>
      </c>
      <c r="R71" s="405">
        <f t="shared" si="6"/>
        <v>388.36230952252515</v>
      </c>
      <c r="S71" s="405">
        <f t="shared" si="6"/>
        <v>210.22437938263457</v>
      </c>
      <c r="T71" s="405">
        <f t="shared" si="6"/>
        <v>172.6819851712647</v>
      </c>
      <c r="U71" s="405">
        <f t="shared" si="6"/>
        <v>0</v>
      </c>
      <c r="V71" s="381"/>
      <c r="W71" s="381"/>
      <c r="X71" s="381"/>
      <c r="Y71" s="381"/>
      <c r="Z71" s="381"/>
      <c r="AA71" s="381"/>
      <c r="AB71" s="381"/>
      <c r="AC71" s="381"/>
      <c r="AD71" s="381"/>
      <c r="AE71" s="381"/>
      <c r="AF71" s="381"/>
      <c r="AG71" s="381"/>
      <c r="AH71" s="381"/>
      <c r="AI71" s="381"/>
      <c r="AJ71" s="381"/>
      <c r="AK71" s="381"/>
      <c r="AL71" s="381"/>
      <c r="AM71" s="381"/>
      <c r="AN71" s="381"/>
      <c r="AO71" s="381"/>
      <c r="AP71" s="381"/>
      <c r="AQ71" s="381"/>
      <c r="AR71" s="381"/>
      <c r="AS71" s="381"/>
      <c r="AT71" s="381"/>
      <c r="AU71" s="381"/>
      <c r="AV71" s="381"/>
      <c r="AW71" s="381"/>
      <c r="AX71" s="381"/>
      <c r="AY71" s="381"/>
      <c r="AZ71" s="381"/>
    </row>
    <row r="72" spans="1:52" s="371" customFormat="1" x14ac:dyDescent="0.2">
      <c r="A72" s="395"/>
      <c r="B72" s="395"/>
      <c r="C72" s="18"/>
      <c r="D72" s="381"/>
      <c r="E72" s="381" t="s">
        <v>213</v>
      </c>
      <c r="F72" s="381">
        <v>3590.9304337297203</v>
      </c>
      <c r="G72" s="381">
        <v>2602.4293349451286</v>
      </c>
      <c r="H72" s="381">
        <v>2781.9156996841543</v>
      </c>
      <c r="I72" s="381">
        <v>3285.8132204045546</v>
      </c>
      <c r="J72" s="381">
        <v>2582.5440785514588</v>
      </c>
      <c r="K72" s="381">
        <v>2884.1744699679402</v>
      </c>
      <c r="L72" s="381">
        <v>2987.1693489810505</v>
      </c>
      <c r="M72" s="381">
        <v>2353.3857978481656</v>
      </c>
      <c r="N72" s="381">
        <v>2086.3063476216626</v>
      </c>
      <c r="O72" s="381">
        <v>1850.9679722907031</v>
      </c>
      <c r="P72" s="381">
        <v>1659.5869349812472</v>
      </c>
      <c r="Q72" s="381">
        <v>1471.245136600872</v>
      </c>
      <c r="R72" s="381">
        <v>1583.6420369019954</v>
      </c>
      <c r="S72" s="381">
        <v>1362.2206985279602</v>
      </c>
      <c r="T72" s="381">
        <v>1039.1274591848041</v>
      </c>
      <c r="U72" s="381">
        <v>548.29677750419035</v>
      </c>
      <c r="V72" s="381"/>
      <c r="W72" s="381"/>
      <c r="X72" s="381"/>
      <c r="Y72" s="381"/>
      <c r="Z72" s="381"/>
      <c r="AA72" s="381"/>
      <c r="AB72" s="381"/>
      <c r="AC72" s="381"/>
      <c r="AD72" s="381"/>
      <c r="AE72" s="381"/>
      <c r="AF72" s="381"/>
      <c r="AG72" s="381"/>
      <c r="AH72" s="381"/>
      <c r="AI72" s="381"/>
      <c r="AJ72" s="381"/>
      <c r="AK72" s="381"/>
      <c r="AL72" s="381"/>
      <c r="AM72" s="381"/>
      <c r="AN72" s="381"/>
      <c r="AO72" s="381"/>
      <c r="AP72" s="381"/>
      <c r="AQ72" s="381"/>
      <c r="AR72" s="381"/>
      <c r="AS72" s="381"/>
      <c r="AT72" s="381"/>
      <c r="AU72" s="381"/>
      <c r="AV72" s="381"/>
      <c r="AW72" s="381"/>
      <c r="AX72" s="381"/>
      <c r="AY72" s="381"/>
      <c r="AZ72" s="381"/>
    </row>
    <row r="73" spans="1:52" s="371" customFormat="1" x14ac:dyDescent="0.2">
      <c r="A73" s="395"/>
      <c r="B73" s="395"/>
      <c r="C73" s="18"/>
      <c r="D73" s="381"/>
      <c r="E73" s="381"/>
      <c r="F73" s="381"/>
      <c r="G73" s="381"/>
      <c r="H73" s="381"/>
      <c r="I73" s="381"/>
      <c r="J73" s="381"/>
      <c r="K73" s="381"/>
      <c r="L73" s="381"/>
      <c r="M73" s="381"/>
      <c r="N73" s="381"/>
      <c r="O73" s="381"/>
      <c r="P73" s="381"/>
      <c r="Q73" s="381"/>
      <c r="R73" s="381"/>
      <c r="S73" s="381"/>
      <c r="T73" s="381"/>
      <c r="U73" s="381"/>
      <c r="V73" s="381"/>
      <c r="W73" s="381"/>
      <c r="X73" s="381"/>
      <c r="Y73" s="381"/>
      <c r="Z73" s="381"/>
      <c r="AA73" s="381"/>
      <c r="AB73" s="381"/>
      <c r="AC73" s="381"/>
      <c r="AD73" s="381"/>
      <c r="AE73" s="381"/>
      <c r="AF73" s="381"/>
      <c r="AG73" s="381"/>
      <c r="AH73" s="381"/>
      <c r="AI73" s="381"/>
      <c r="AJ73" s="381"/>
      <c r="AK73" s="381"/>
      <c r="AL73" s="381"/>
      <c r="AM73" s="381"/>
      <c r="AN73" s="381"/>
      <c r="AO73" s="381"/>
      <c r="AP73" s="381"/>
      <c r="AQ73" s="381"/>
      <c r="AR73" s="381"/>
      <c r="AS73" s="381"/>
      <c r="AT73" s="381"/>
      <c r="AU73" s="381"/>
      <c r="AV73" s="381"/>
      <c r="AW73" s="381"/>
      <c r="AX73" s="381"/>
      <c r="AY73" s="381"/>
      <c r="AZ73" s="381"/>
    </row>
    <row r="74" spans="1:52" s="371" customFormat="1" x14ac:dyDescent="0.2">
      <c r="A74" s="395"/>
      <c r="B74" s="395"/>
      <c r="C74" s="18"/>
      <c r="D74" s="381"/>
      <c r="E74" s="381" t="s">
        <v>214</v>
      </c>
      <c r="F74" s="381">
        <f>[2]Input!I8</f>
        <v>495</v>
      </c>
      <c r="G74" s="381">
        <f>[2]Input!J8</f>
        <v>476</v>
      </c>
      <c r="H74" s="381">
        <f>[2]Input!K8</f>
        <v>578</v>
      </c>
      <c r="I74" s="381">
        <f>[2]Input!L8</f>
        <v>422</v>
      </c>
      <c r="J74" s="381">
        <f>[2]Input!M8</f>
        <v>338</v>
      </c>
      <c r="K74" s="381">
        <f>[2]Input!N8</f>
        <v>101</v>
      </c>
      <c r="L74" s="381">
        <f>[2]Input!O8</f>
        <v>245</v>
      </c>
      <c r="M74" s="381">
        <f>[2]Input!P8</f>
        <v>960</v>
      </c>
      <c r="N74" s="381">
        <f>[2]Input!Q8</f>
        <v>1035</v>
      </c>
      <c r="O74" s="381">
        <f>[2]Input!R8</f>
        <v>392</v>
      </c>
      <c r="P74" s="381">
        <f>[2]Input!S8</f>
        <v>1522</v>
      </c>
      <c r="Q74" s="381">
        <f>[2]Input!T8</f>
        <v>1883</v>
      </c>
      <c r="R74" s="381">
        <f>[2]Input!U8</f>
        <v>1823</v>
      </c>
      <c r="S74" s="381">
        <f>[2]Input!V8</f>
        <v>2531</v>
      </c>
      <c r="T74" s="381">
        <f>[2]Input!W8</f>
        <v>4355</v>
      </c>
      <c r="U74" s="381">
        <f>[2]Input!X8</f>
        <v>11346</v>
      </c>
      <c r="V74" s="381">
        <f>SUM(E74:U74)</f>
        <v>28502</v>
      </c>
      <c r="W74" s="381"/>
      <c r="X74" s="381"/>
      <c r="Y74" s="381"/>
      <c r="Z74" s="381"/>
      <c r="AA74" s="381"/>
      <c r="AB74" s="381"/>
      <c r="AC74" s="381"/>
      <c r="AD74" s="381"/>
      <c r="AE74" s="381"/>
      <c r="AF74" s="381"/>
      <c r="AG74" s="381"/>
      <c r="AH74" s="381"/>
      <c r="AI74" s="381"/>
      <c r="AJ74" s="381"/>
      <c r="AK74" s="381"/>
      <c r="AL74" s="381"/>
      <c r="AM74" s="381"/>
      <c r="AN74" s="381"/>
      <c r="AO74" s="381"/>
      <c r="AP74" s="381"/>
      <c r="AQ74" s="381"/>
      <c r="AR74" s="381"/>
      <c r="AS74" s="381"/>
      <c r="AT74" s="381"/>
      <c r="AU74" s="381"/>
      <c r="AV74" s="381"/>
      <c r="AW74" s="381"/>
      <c r="AX74" s="381"/>
      <c r="AY74" s="381"/>
      <c r="AZ74" s="381"/>
    </row>
    <row r="75" spans="1:52" s="371" customFormat="1" x14ac:dyDescent="0.2">
      <c r="A75" s="395"/>
      <c r="B75" s="395"/>
      <c r="C75" s="18"/>
      <c r="D75" s="381"/>
      <c r="E75" s="381"/>
      <c r="F75" s="381"/>
      <c r="G75" s="381"/>
      <c r="H75" s="381"/>
      <c r="I75" s="381"/>
      <c r="J75" s="381"/>
      <c r="K75" s="381"/>
      <c r="L75" s="381"/>
      <c r="M75" s="381"/>
      <c r="N75" s="381"/>
      <c r="O75" s="381"/>
      <c r="P75" s="381"/>
      <c r="Q75" s="381"/>
      <c r="R75" s="381"/>
      <c r="S75" s="381"/>
      <c r="T75" s="381"/>
      <c r="U75" s="381"/>
      <c r="V75" s="381"/>
      <c r="W75" s="381"/>
      <c r="X75" s="381"/>
      <c r="Y75" s="381"/>
      <c r="Z75" s="381"/>
      <c r="AA75" s="381"/>
      <c r="AB75" s="381"/>
      <c r="AC75" s="381"/>
      <c r="AD75" s="381"/>
      <c r="AE75" s="381"/>
      <c r="AF75" s="381"/>
      <c r="AG75" s="381"/>
      <c r="AH75" s="381"/>
      <c r="AI75" s="381"/>
      <c r="AJ75" s="381"/>
      <c r="AK75" s="381"/>
      <c r="AL75" s="381"/>
      <c r="AM75" s="381"/>
      <c r="AN75" s="381"/>
      <c r="AO75" s="381"/>
      <c r="AP75" s="381"/>
      <c r="AQ75" s="381"/>
      <c r="AR75" s="381"/>
      <c r="AS75" s="381"/>
      <c r="AT75" s="381"/>
      <c r="AU75" s="381"/>
      <c r="AV75" s="381"/>
      <c r="AW75" s="381"/>
      <c r="AX75" s="381"/>
      <c r="AY75" s="381"/>
      <c r="AZ75" s="381"/>
    </row>
    <row r="76" spans="1:52" s="371" customFormat="1" x14ac:dyDescent="0.2">
      <c r="A76" s="395"/>
      <c r="B76" s="395"/>
      <c r="C76" s="18"/>
      <c r="D76" s="381" t="s">
        <v>32</v>
      </c>
      <c r="E76" s="381" t="s">
        <v>212</v>
      </c>
      <c r="F76" s="381">
        <f>F74*F71</f>
        <v>537697.51094093965</v>
      </c>
      <c r="G76" s="381">
        <f t="shared" ref="G76:U76" si="7">G74*G71</f>
        <v>196761.9858576617</v>
      </c>
      <c r="H76" s="381">
        <f t="shared" si="7"/>
        <v>150901.2780606375</v>
      </c>
      <c r="I76" s="381">
        <f t="shared" si="7"/>
        <v>420713.93241729209</v>
      </c>
      <c r="J76" s="381">
        <f t="shared" si="7"/>
        <v>143430.73822721964</v>
      </c>
      <c r="K76" s="381">
        <f t="shared" si="7"/>
        <v>17542.846738176944</v>
      </c>
      <c r="L76" s="381">
        <f t="shared" si="7"/>
        <v>164002.95564367072</v>
      </c>
      <c r="M76" s="381">
        <f t="shared" si="7"/>
        <v>381787.55126592895</v>
      </c>
      <c r="N76" s="381">
        <f t="shared" si="7"/>
        <v>488439.2796318903</v>
      </c>
      <c r="O76" s="381">
        <f t="shared" si="7"/>
        <v>16465.953066092152</v>
      </c>
      <c r="P76" s="381">
        <f t="shared" si="7"/>
        <v>1094345.8029426937</v>
      </c>
      <c r="Q76" s="381">
        <f t="shared" si="7"/>
        <v>678522.23384474253</v>
      </c>
      <c r="R76" s="381">
        <f t="shared" si="7"/>
        <v>707984.49025956332</v>
      </c>
      <c r="S76" s="381">
        <f t="shared" si="7"/>
        <v>532077.90421744809</v>
      </c>
      <c r="T76" s="381">
        <f t="shared" si="7"/>
        <v>752030.04542085773</v>
      </c>
      <c r="U76" s="381">
        <f t="shared" si="7"/>
        <v>0</v>
      </c>
      <c r="V76" s="407">
        <f>SUM(D76:U76)</f>
        <v>6282704.5085348152</v>
      </c>
      <c r="W76" s="381"/>
      <c r="X76" s="381"/>
      <c r="Y76" s="381"/>
      <c r="Z76" s="381"/>
      <c r="AA76" s="381"/>
      <c r="AB76" s="381"/>
      <c r="AC76" s="381"/>
      <c r="AD76" s="381"/>
      <c r="AE76" s="381"/>
      <c r="AF76" s="381"/>
      <c r="AG76" s="381"/>
      <c r="AH76" s="381"/>
      <c r="AI76" s="381"/>
      <c r="AJ76" s="381"/>
      <c r="AK76" s="381"/>
      <c r="AL76" s="381"/>
      <c r="AM76" s="381"/>
      <c r="AN76" s="381"/>
      <c r="AO76" s="381"/>
      <c r="AP76" s="381"/>
      <c r="AQ76" s="381"/>
      <c r="AR76" s="381"/>
      <c r="AS76" s="381"/>
      <c r="AT76" s="381"/>
      <c r="AU76" s="381"/>
      <c r="AV76" s="381"/>
      <c r="AW76" s="381"/>
      <c r="AX76" s="381"/>
      <c r="AY76" s="381"/>
      <c r="AZ76" s="381"/>
    </row>
    <row r="77" spans="1:52" s="371" customFormat="1" x14ac:dyDescent="0.2">
      <c r="A77" s="395"/>
      <c r="B77" s="395"/>
      <c r="C77" s="18"/>
      <c r="D77" s="381" t="s">
        <v>215</v>
      </c>
      <c r="E77" s="381" t="s">
        <v>213</v>
      </c>
      <c r="F77" s="381">
        <f>F74*F72</f>
        <v>1777510.5646962116</v>
      </c>
      <c r="G77" s="381">
        <f t="shared" ref="G77:U77" si="8">G74*G72</f>
        <v>1238756.3634338812</v>
      </c>
      <c r="H77" s="381">
        <f t="shared" si="8"/>
        <v>1607947.2744174411</v>
      </c>
      <c r="I77" s="381">
        <f t="shared" si="8"/>
        <v>1386613.1790107221</v>
      </c>
      <c r="J77" s="381">
        <f t="shared" si="8"/>
        <v>872899.89855039306</v>
      </c>
      <c r="K77" s="381">
        <f t="shared" si="8"/>
        <v>291301.62146676198</v>
      </c>
      <c r="L77" s="381">
        <f t="shared" si="8"/>
        <v>731856.49050035735</v>
      </c>
      <c r="M77" s="381">
        <f t="shared" si="8"/>
        <v>2259250.3659342388</v>
      </c>
      <c r="N77" s="381">
        <f t="shared" si="8"/>
        <v>2159327.0697884206</v>
      </c>
      <c r="O77" s="381">
        <f t="shared" si="8"/>
        <v>725579.4451379556</v>
      </c>
      <c r="P77" s="381">
        <f t="shared" si="8"/>
        <v>2525891.3150414582</v>
      </c>
      <c r="Q77" s="381">
        <f t="shared" si="8"/>
        <v>2770354.5922194421</v>
      </c>
      <c r="R77" s="381">
        <f t="shared" si="8"/>
        <v>2886979.4332723375</v>
      </c>
      <c r="S77" s="381">
        <f t="shared" si="8"/>
        <v>3447780.5879742671</v>
      </c>
      <c r="T77" s="381">
        <f t="shared" si="8"/>
        <v>4525400.0847498216</v>
      </c>
      <c r="U77" s="381">
        <f t="shared" si="8"/>
        <v>6220975.2375625437</v>
      </c>
      <c r="V77" s="381">
        <f>SUM(E77:U77)</f>
        <v>35428423.523756251</v>
      </c>
      <c r="W77" s="381"/>
      <c r="X77" s="381"/>
      <c r="Y77" s="381"/>
      <c r="Z77" s="381"/>
      <c r="AA77" s="381"/>
      <c r="AB77" s="381"/>
      <c r="AC77" s="381"/>
      <c r="AD77" s="381"/>
      <c r="AE77" s="381"/>
      <c r="AF77" s="381"/>
      <c r="AG77" s="381"/>
      <c r="AH77" s="381"/>
      <c r="AI77" s="381"/>
      <c r="AJ77" s="381"/>
      <c r="AK77" s="381"/>
      <c r="AL77" s="381"/>
      <c r="AM77" s="381"/>
      <c r="AN77" s="381"/>
      <c r="AO77" s="381"/>
      <c r="AP77" s="381"/>
      <c r="AQ77" s="381"/>
      <c r="AR77" s="381"/>
      <c r="AS77" s="381"/>
      <c r="AT77" s="381"/>
      <c r="AU77" s="381"/>
      <c r="AV77" s="381"/>
      <c r="AW77" s="381"/>
      <c r="AX77" s="381"/>
      <c r="AY77" s="381"/>
      <c r="AZ77" s="381"/>
    </row>
    <row r="78" spans="1:52" s="371" customFormat="1" x14ac:dyDescent="0.2">
      <c r="A78" s="395"/>
      <c r="B78" s="395"/>
      <c r="C78" s="18"/>
      <c r="D78" s="381"/>
      <c r="E78" s="381"/>
      <c r="F78" s="381"/>
      <c r="G78" s="381"/>
      <c r="H78" s="381"/>
      <c r="I78" s="381"/>
      <c r="J78" s="381"/>
      <c r="K78" s="381"/>
      <c r="L78" s="381"/>
      <c r="M78" s="381"/>
      <c r="N78" s="381"/>
      <c r="O78" s="381"/>
      <c r="P78" s="381"/>
      <c r="Q78" s="381"/>
      <c r="R78" s="381"/>
      <c r="S78" s="381"/>
      <c r="T78" s="381"/>
      <c r="U78" s="381"/>
      <c r="V78" s="381"/>
      <c r="W78" s="381"/>
      <c r="X78" s="381"/>
      <c r="Y78" s="381"/>
      <c r="Z78" s="381"/>
      <c r="AA78" s="381"/>
      <c r="AB78" s="381"/>
      <c r="AC78" s="381"/>
      <c r="AD78" s="381"/>
      <c r="AE78" s="381"/>
      <c r="AF78" s="381"/>
      <c r="AG78" s="381"/>
      <c r="AH78" s="381"/>
      <c r="AI78" s="381"/>
      <c r="AJ78" s="381"/>
      <c r="AK78" s="381"/>
      <c r="AL78" s="381"/>
      <c r="AM78" s="381"/>
      <c r="AN78" s="381"/>
      <c r="AO78" s="381"/>
      <c r="AP78" s="381"/>
      <c r="AQ78" s="381"/>
      <c r="AR78" s="381"/>
      <c r="AS78" s="381"/>
      <c r="AT78" s="381"/>
      <c r="AU78" s="381"/>
      <c r="AV78" s="381"/>
      <c r="AW78" s="381"/>
      <c r="AX78" s="381"/>
      <c r="AY78" s="381"/>
      <c r="AZ78" s="381"/>
    </row>
    <row r="79" spans="1:52" s="371" customFormat="1" x14ac:dyDescent="0.2">
      <c r="A79" s="395"/>
      <c r="B79" s="395"/>
      <c r="C79" s="18"/>
      <c r="D79" s="381" t="s">
        <v>216</v>
      </c>
      <c r="E79" s="381"/>
      <c r="F79" s="381">
        <f>F77-F76</f>
        <v>1239813.0537552719</v>
      </c>
      <c r="G79" s="381">
        <f t="shared" ref="G79:U79" si="9">G77-G76</f>
        <v>1041994.3775762195</v>
      </c>
      <c r="H79" s="381">
        <f t="shared" si="9"/>
        <v>1457045.9963568037</v>
      </c>
      <c r="I79" s="381">
        <f t="shared" si="9"/>
        <v>965899.24659342994</v>
      </c>
      <c r="J79" s="381">
        <f t="shared" si="9"/>
        <v>729469.16032317339</v>
      </c>
      <c r="K79" s="381">
        <f t="shared" si="9"/>
        <v>273758.77472858503</v>
      </c>
      <c r="L79" s="381">
        <f t="shared" si="9"/>
        <v>567853.5348566866</v>
      </c>
      <c r="M79" s="381">
        <f t="shared" si="9"/>
        <v>1877462.8146683099</v>
      </c>
      <c r="N79" s="381">
        <f t="shared" si="9"/>
        <v>1670887.7901565302</v>
      </c>
      <c r="O79" s="381">
        <f t="shared" si="9"/>
        <v>709113.4920718635</v>
      </c>
      <c r="P79" s="381">
        <f t="shared" si="9"/>
        <v>1431545.5120987645</v>
      </c>
      <c r="Q79" s="381">
        <f t="shared" si="9"/>
        <v>2091832.3583746995</v>
      </c>
      <c r="R79" s="381">
        <f t="shared" si="9"/>
        <v>2178994.943012774</v>
      </c>
      <c r="S79" s="381">
        <f t="shared" si="9"/>
        <v>2915702.683756819</v>
      </c>
      <c r="T79" s="381">
        <f t="shared" si="9"/>
        <v>3773370.039328964</v>
      </c>
      <c r="U79" s="381">
        <f t="shared" si="9"/>
        <v>6220975.2375625437</v>
      </c>
      <c r="V79" s="381"/>
      <c r="W79" s="381"/>
      <c r="X79" s="381"/>
      <c r="Y79" s="381"/>
      <c r="Z79" s="381"/>
      <c r="AA79" s="381"/>
      <c r="AB79" s="381"/>
      <c r="AC79" s="381"/>
      <c r="AD79" s="381"/>
      <c r="AE79" s="381"/>
      <c r="AF79" s="381"/>
      <c r="AG79" s="381"/>
      <c r="AH79" s="381"/>
      <c r="AI79" s="381"/>
      <c r="AJ79" s="381"/>
      <c r="AK79" s="381"/>
      <c r="AL79" s="381"/>
      <c r="AM79" s="381"/>
      <c r="AN79" s="381"/>
      <c r="AO79" s="381"/>
      <c r="AP79" s="381"/>
      <c r="AQ79" s="381"/>
      <c r="AR79" s="381"/>
      <c r="AS79" s="381"/>
      <c r="AT79" s="381"/>
      <c r="AU79" s="381"/>
      <c r="AV79" s="381"/>
      <c r="AW79" s="381"/>
      <c r="AX79" s="381"/>
      <c r="AY79" s="381"/>
      <c r="AZ79" s="381"/>
    </row>
    <row r="80" spans="1:52" s="371" customFormat="1" x14ac:dyDescent="0.2">
      <c r="A80" s="395"/>
      <c r="B80" s="395"/>
      <c r="C80" s="18"/>
      <c r="D80" s="381"/>
      <c r="E80" s="381"/>
      <c r="F80" s="381"/>
      <c r="G80" s="381"/>
      <c r="H80" s="381"/>
      <c r="I80" s="381"/>
      <c r="J80" s="381"/>
      <c r="K80" s="381"/>
      <c r="L80" s="381"/>
      <c r="M80" s="381"/>
      <c r="N80" s="381"/>
      <c r="O80" s="381"/>
      <c r="P80" s="381"/>
      <c r="Q80" s="381"/>
      <c r="R80" s="381"/>
      <c r="S80" s="381"/>
      <c r="T80" s="381"/>
      <c r="U80" s="381"/>
      <c r="V80" s="381"/>
      <c r="W80" s="381"/>
      <c r="X80" s="381"/>
      <c r="Y80" s="381"/>
      <c r="Z80" s="381"/>
      <c r="AA80" s="381"/>
      <c r="AB80" s="381"/>
      <c r="AC80" s="381"/>
      <c r="AD80" s="381"/>
      <c r="AE80" s="381"/>
      <c r="AF80" s="381"/>
      <c r="AG80" s="381"/>
      <c r="AH80" s="381"/>
      <c r="AI80" s="381"/>
      <c r="AJ80" s="381"/>
      <c r="AK80" s="381"/>
      <c r="AL80" s="381"/>
      <c r="AM80" s="381"/>
      <c r="AN80" s="381"/>
      <c r="AO80" s="381"/>
      <c r="AP80" s="381"/>
      <c r="AQ80" s="381"/>
      <c r="AR80" s="381"/>
      <c r="AS80" s="381"/>
      <c r="AT80" s="381"/>
      <c r="AU80" s="381"/>
      <c r="AV80" s="381"/>
      <c r="AW80" s="381"/>
      <c r="AX80" s="381"/>
      <c r="AY80" s="381"/>
      <c r="AZ80" s="381"/>
    </row>
    <row r="81" spans="1:52" s="371" customFormat="1" x14ac:dyDescent="0.2">
      <c r="A81" s="395"/>
      <c r="B81" s="395"/>
      <c r="C81" s="18"/>
      <c r="D81" s="381"/>
      <c r="E81" s="381"/>
      <c r="F81" s="381"/>
      <c r="G81" s="381"/>
      <c r="H81" s="381"/>
      <c r="I81" s="381"/>
      <c r="J81" s="381"/>
      <c r="K81" s="381"/>
      <c r="L81" s="381"/>
      <c r="M81" s="381"/>
      <c r="N81" s="381"/>
      <c r="O81" s="381"/>
      <c r="P81" s="381"/>
      <c r="Q81" s="381"/>
      <c r="R81" s="381"/>
      <c r="S81" s="381"/>
      <c r="T81" s="381"/>
      <c r="U81" s="381"/>
      <c r="V81" s="381"/>
      <c r="W81" s="381"/>
      <c r="X81" s="381"/>
      <c r="Y81" s="381"/>
      <c r="Z81" s="381"/>
      <c r="AA81" s="381"/>
      <c r="AB81" s="381"/>
      <c r="AC81" s="381"/>
      <c r="AD81" s="381"/>
      <c r="AE81" s="381"/>
      <c r="AF81" s="381"/>
      <c r="AG81" s="381"/>
      <c r="AH81" s="381"/>
      <c r="AI81" s="381"/>
      <c r="AJ81" s="381"/>
      <c r="AK81" s="381"/>
      <c r="AL81" s="381"/>
      <c r="AM81" s="381"/>
      <c r="AN81" s="381"/>
      <c r="AO81" s="381"/>
      <c r="AP81" s="381"/>
      <c r="AQ81" s="381"/>
      <c r="AR81" s="381"/>
      <c r="AS81" s="381"/>
      <c r="AT81" s="381"/>
      <c r="AU81" s="381"/>
      <c r="AV81" s="381"/>
      <c r="AW81" s="381"/>
      <c r="AX81" s="381"/>
      <c r="AY81" s="381"/>
      <c r="AZ81" s="381"/>
    </row>
    <row r="82" spans="1:52" s="371" customFormat="1" x14ac:dyDescent="0.2">
      <c r="A82" s="395"/>
      <c r="B82" s="395"/>
      <c r="C82" s="18"/>
      <c r="D82" s="381"/>
      <c r="E82" s="381"/>
      <c r="F82" s="381"/>
      <c r="G82" s="381"/>
      <c r="H82" s="381"/>
      <c r="I82" s="381"/>
      <c r="J82" s="381"/>
      <c r="K82" s="381"/>
      <c r="L82" s="381"/>
      <c r="M82" s="381"/>
      <c r="N82" s="381"/>
      <c r="O82" s="381"/>
      <c r="P82" s="381"/>
      <c r="Q82" s="381"/>
      <c r="R82" s="381"/>
      <c r="S82" s="381"/>
      <c r="T82" s="381"/>
      <c r="U82" s="381"/>
      <c r="V82" s="381"/>
      <c r="W82" s="381"/>
      <c r="X82" s="381"/>
      <c r="Y82" s="381"/>
      <c r="Z82" s="381"/>
      <c r="AA82" s="381"/>
      <c r="AB82" s="381"/>
      <c r="AC82" s="381"/>
      <c r="AD82" s="381"/>
      <c r="AE82" s="381"/>
      <c r="AF82" s="381"/>
      <c r="AG82" s="381"/>
      <c r="AH82" s="381"/>
      <c r="AI82" s="381"/>
      <c r="AJ82" s="381"/>
      <c r="AK82" s="381"/>
      <c r="AL82" s="381"/>
      <c r="AM82" s="381"/>
      <c r="AN82" s="381"/>
      <c r="AO82" s="381"/>
      <c r="AP82" s="381"/>
      <c r="AQ82" s="381"/>
      <c r="AR82" s="381"/>
      <c r="AS82" s="381"/>
      <c r="AT82" s="381"/>
      <c r="AU82" s="381"/>
      <c r="AV82" s="381"/>
      <c r="AW82" s="381"/>
      <c r="AX82" s="381"/>
      <c r="AY82" s="381"/>
      <c r="AZ82" s="381"/>
    </row>
    <row r="83" spans="1:52" s="371" customFormat="1" x14ac:dyDescent="0.2">
      <c r="A83" s="395"/>
      <c r="B83" s="395"/>
      <c r="C83" s="18"/>
      <c r="D83" s="381"/>
      <c r="E83" s="395"/>
      <c r="F83" s="395"/>
      <c r="G83" s="395"/>
      <c r="H83" s="395"/>
      <c r="I83" s="395"/>
      <c r="J83" s="395"/>
      <c r="K83" s="395"/>
      <c r="L83" s="395"/>
      <c r="M83" s="395"/>
      <c r="N83" s="395"/>
      <c r="O83" s="395"/>
      <c r="P83" s="395"/>
      <c r="Q83" s="395"/>
      <c r="R83" s="395"/>
      <c r="S83" s="395"/>
      <c r="T83" s="395"/>
      <c r="U83" s="381"/>
      <c r="V83" s="381"/>
      <c r="W83" s="381"/>
      <c r="X83" s="381"/>
      <c r="Y83" s="381"/>
      <c r="Z83" s="381"/>
      <c r="AA83" s="381"/>
      <c r="AB83" s="381"/>
      <c r="AC83" s="381"/>
      <c r="AD83" s="381"/>
      <c r="AE83" s="381"/>
      <c r="AF83" s="381"/>
      <c r="AG83" s="381"/>
      <c r="AH83" s="381"/>
      <c r="AI83" s="381"/>
      <c r="AJ83" s="381"/>
      <c r="AK83" s="381"/>
      <c r="AL83" s="381"/>
      <c r="AM83" s="381"/>
      <c r="AN83" s="381"/>
      <c r="AO83" s="381"/>
      <c r="AP83" s="381"/>
      <c r="AQ83" s="381"/>
      <c r="AR83" s="381"/>
      <c r="AS83" s="381"/>
      <c r="AT83" s="381"/>
      <c r="AU83" s="381"/>
      <c r="AV83" s="381"/>
      <c r="AW83" s="381"/>
      <c r="AX83" s="381"/>
      <c r="AY83" s="381"/>
      <c r="AZ83" s="381"/>
    </row>
    <row r="84" spans="1:52" s="371" customFormat="1" x14ac:dyDescent="0.2">
      <c r="A84" s="395"/>
      <c r="B84" s="395"/>
      <c r="C84" s="18"/>
      <c r="D84" s="381"/>
      <c r="E84" s="395" t="s">
        <v>8</v>
      </c>
      <c r="F84" s="395" t="s">
        <v>9</v>
      </c>
      <c r="G84" s="395" t="s">
        <v>10</v>
      </c>
      <c r="H84" s="395" t="s">
        <v>11</v>
      </c>
      <c r="I84" s="395" t="s">
        <v>12</v>
      </c>
      <c r="J84" s="395" t="s">
        <v>13</v>
      </c>
      <c r="K84" s="395" t="s">
        <v>14</v>
      </c>
      <c r="L84" s="395" t="s">
        <v>15</v>
      </c>
      <c r="M84" s="395" t="s">
        <v>16</v>
      </c>
      <c r="N84" s="395" t="s">
        <v>17</v>
      </c>
      <c r="O84" s="395" t="s">
        <v>18</v>
      </c>
      <c r="P84" s="395" t="s">
        <v>19</v>
      </c>
      <c r="Q84" s="395" t="s">
        <v>20</v>
      </c>
      <c r="R84" s="395" t="s">
        <v>21</v>
      </c>
      <c r="S84" s="395" t="s">
        <v>22</v>
      </c>
      <c r="T84" s="395" t="s">
        <v>23</v>
      </c>
      <c r="U84" s="381"/>
      <c r="V84" s="381"/>
      <c r="W84" s="381"/>
      <c r="X84" s="381"/>
      <c r="Y84" s="381"/>
      <c r="Z84" s="381"/>
      <c r="AA84" s="381"/>
      <c r="AB84" s="381"/>
      <c r="AC84" s="381"/>
      <c r="AD84" s="381"/>
      <c r="AE84" s="381"/>
      <c r="AF84" s="381"/>
      <c r="AG84" s="381"/>
      <c r="AH84" s="381"/>
      <c r="AI84" s="381"/>
      <c r="AJ84" s="381"/>
      <c r="AK84" s="381"/>
      <c r="AL84" s="381"/>
      <c r="AM84" s="381"/>
      <c r="AN84" s="381"/>
      <c r="AO84" s="381"/>
      <c r="AP84" s="381"/>
      <c r="AQ84" s="381"/>
      <c r="AR84" s="381"/>
      <c r="AS84" s="381"/>
      <c r="AT84" s="381"/>
      <c r="AU84" s="381"/>
      <c r="AV84" s="381"/>
      <c r="AW84" s="381"/>
      <c r="AX84" s="381"/>
      <c r="AY84" s="381"/>
      <c r="AZ84" s="381"/>
    </row>
    <row r="85" spans="1:52" s="371" customFormat="1" x14ac:dyDescent="0.2">
      <c r="A85" s="395"/>
      <c r="B85" s="395"/>
      <c r="C85" s="18"/>
      <c r="D85" s="381"/>
      <c r="E85" s="381">
        <f>G76</f>
        <v>196761.9858576617</v>
      </c>
      <c r="F85" s="381">
        <f>M76</f>
        <v>381787.55126592895</v>
      </c>
      <c r="G85" s="381">
        <f>S76</f>
        <v>532077.90421744809</v>
      </c>
      <c r="H85" s="381">
        <f>H76</f>
        <v>150901.2780606375</v>
      </c>
      <c r="I85" s="381">
        <f>F76</f>
        <v>537697.51094093965</v>
      </c>
      <c r="J85" s="381">
        <f>P76</f>
        <v>1094345.8029426937</v>
      </c>
      <c r="K85" s="381">
        <f>T76</f>
        <v>752030.04542085773</v>
      </c>
      <c r="L85" s="381">
        <f>J76</f>
        <v>143430.73822721964</v>
      </c>
      <c r="M85" s="381">
        <f>L76</f>
        <v>164002.95564367072</v>
      </c>
      <c r="N85" s="381">
        <f>Q76</f>
        <v>678522.23384474253</v>
      </c>
      <c r="O85" s="381">
        <f>O76</f>
        <v>16465.953066092152</v>
      </c>
      <c r="P85" s="381">
        <f>R76</f>
        <v>707984.49025956332</v>
      </c>
      <c r="Q85" s="381">
        <f>K76</f>
        <v>17542.846738176944</v>
      </c>
      <c r="R85" s="381">
        <f>N76</f>
        <v>488439.2796318903</v>
      </c>
      <c r="S85" s="381">
        <f>I76</f>
        <v>420713.93241729209</v>
      </c>
      <c r="T85" s="381">
        <f>U76</f>
        <v>0</v>
      </c>
      <c r="U85" s="381"/>
      <c r="V85" s="381"/>
      <c r="W85" s="381"/>
      <c r="X85" s="381"/>
      <c r="Y85" s="381"/>
      <c r="Z85" s="381"/>
      <c r="AA85" s="381"/>
      <c r="AB85" s="381"/>
      <c r="AC85" s="381"/>
      <c r="AD85" s="381"/>
      <c r="AE85" s="381"/>
      <c r="AF85" s="381"/>
      <c r="AG85" s="381"/>
      <c r="AH85" s="381"/>
      <c r="AI85" s="381"/>
      <c r="AJ85" s="381"/>
      <c r="AK85" s="381"/>
      <c r="AL85" s="381"/>
      <c r="AM85" s="381"/>
      <c r="AN85" s="381"/>
      <c r="AO85" s="381"/>
      <c r="AP85" s="381"/>
      <c r="AQ85" s="381"/>
      <c r="AR85" s="381"/>
      <c r="AS85" s="381"/>
      <c r="AT85" s="381"/>
      <c r="AU85" s="381"/>
      <c r="AV85" s="381"/>
      <c r="AW85" s="381"/>
      <c r="AX85" s="381"/>
      <c r="AY85" s="381"/>
      <c r="AZ85" s="381"/>
    </row>
    <row r="86" spans="1:52" s="371" customFormat="1" x14ac:dyDescent="0.2">
      <c r="A86" s="395"/>
      <c r="B86" s="395"/>
      <c r="C86" s="18"/>
      <c r="D86" s="381"/>
      <c r="E86" s="381"/>
      <c r="F86" s="381"/>
      <c r="G86" s="381"/>
      <c r="H86" s="381"/>
      <c r="I86" s="381"/>
      <c r="J86" s="381"/>
      <c r="K86" s="381"/>
      <c r="L86" s="381"/>
      <c r="M86" s="381"/>
      <c r="N86" s="381"/>
      <c r="O86" s="381"/>
      <c r="P86" s="381"/>
      <c r="Q86" s="381"/>
      <c r="R86" s="381"/>
      <c r="S86" s="381"/>
      <c r="T86" s="381"/>
      <c r="U86" s="381"/>
      <c r="V86" s="381"/>
      <c r="W86" s="381"/>
      <c r="X86" s="381"/>
      <c r="Y86" s="381"/>
      <c r="Z86" s="381"/>
      <c r="AA86" s="381"/>
      <c r="AB86" s="381"/>
      <c r="AC86" s="381"/>
      <c r="AD86" s="381"/>
      <c r="AE86" s="381"/>
      <c r="AF86" s="381"/>
      <c r="AG86" s="381"/>
      <c r="AH86" s="381"/>
      <c r="AI86" s="381"/>
      <c r="AJ86" s="381"/>
      <c r="AK86" s="381"/>
      <c r="AL86" s="381"/>
      <c r="AM86" s="381"/>
      <c r="AN86" s="381"/>
      <c r="AO86" s="381"/>
      <c r="AP86" s="381"/>
      <c r="AQ86" s="381"/>
      <c r="AR86" s="381"/>
      <c r="AS86" s="381"/>
      <c r="AT86" s="381"/>
      <c r="AU86" s="381"/>
      <c r="AV86" s="381"/>
      <c r="AW86" s="381"/>
      <c r="AX86" s="381"/>
      <c r="AY86" s="381"/>
      <c r="AZ86" s="381"/>
    </row>
    <row r="87" spans="1:52" s="371" customFormat="1" x14ac:dyDescent="0.2">
      <c r="A87" s="395"/>
      <c r="B87" s="395"/>
      <c r="C87" s="18"/>
      <c r="D87" s="381"/>
      <c r="E87" s="381"/>
      <c r="F87" s="381"/>
      <c r="G87" s="381"/>
      <c r="H87" s="381"/>
      <c r="I87" s="381"/>
      <c r="J87" s="381"/>
      <c r="K87" s="381"/>
      <c r="L87" s="381"/>
      <c r="M87" s="381"/>
      <c r="N87" s="381"/>
      <c r="O87" s="381"/>
      <c r="P87" s="381"/>
      <c r="Q87" s="381"/>
      <c r="R87" s="381"/>
      <c r="S87" s="381"/>
      <c r="T87" s="381"/>
      <c r="U87" s="381"/>
      <c r="V87" s="381"/>
      <c r="W87" s="381"/>
      <c r="X87" s="381"/>
      <c r="Y87" s="381"/>
      <c r="Z87" s="381"/>
      <c r="AA87" s="381"/>
      <c r="AB87" s="381"/>
      <c r="AC87" s="381"/>
      <c r="AD87" s="381"/>
      <c r="AE87" s="381"/>
      <c r="AF87" s="381"/>
      <c r="AG87" s="381"/>
      <c r="AH87" s="381"/>
      <c r="AI87" s="381"/>
      <c r="AJ87" s="381"/>
      <c r="AK87" s="381"/>
      <c r="AL87" s="381"/>
      <c r="AM87" s="381"/>
      <c r="AN87" s="381"/>
      <c r="AO87" s="381"/>
      <c r="AP87" s="381"/>
      <c r="AQ87" s="381"/>
      <c r="AR87" s="381"/>
      <c r="AS87" s="381"/>
      <c r="AT87" s="381"/>
      <c r="AU87" s="381"/>
      <c r="AV87" s="381"/>
      <c r="AW87" s="381"/>
      <c r="AX87" s="381"/>
      <c r="AY87" s="381"/>
      <c r="AZ87" s="381"/>
    </row>
    <row r="88" spans="1:52" s="371" customFormat="1" x14ac:dyDescent="0.2">
      <c r="A88" s="395"/>
      <c r="B88" s="395"/>
      <c r="C88" s="18"/>
      <c r="D88" s="381"/>
      <c r="E88" s="381"/>
      <c r="F88" s="381"/>
      <c r="G88" s="381"/>
      <c r="H88" s="381"/>
      <c r="I88" s="381"/>
      <c r="J88" s="381"/>
      <c r="K88" s="381"/>
      <c r="L88" s="381"/>
      <c r="M88" s="381"/>
      <c r="N88" s="381"/>
      <c r="O88" s="381"/>
      <c r="P88" s="381"/>
      <c r="Q88" s="381"/>
      <c r="R88" s="381"/>
      <c r="S88" s="381"/>
      <c r="T88" s="381"/>
      <c r="U88" s="381"/>
      <c r="V88" s="381"/>
      <c r="W88" s="381"/>
      <c r="X88" s="381"/>
      <c r="Y88" s="381"/>
      <c r="Z88" s="381"/>
      <c r="AA88" s="381"/>
      <c r="AB88" s="381"/>
      <c r="AC88" s="381"/>
      <c r="AD88" s="381"/>
      <c r="AE88" s="381"/>
      <c r="AF88" s="381"/>
      <c r="AG88" s="381"/>
      <c r="AH88" s="381"/>
      <c r="AI88" s="381"/>
      <c r="AJ88" s="381"/>
      <c r="AK88" s="381"/>
      <c r="AL88" s="381"/>
      <c r="AM88" s="381"/>
      <c r="AN88" s="381"/>
      <c r="AO88" s="381"/>
      <c r="AP88" s="381"/>
      <c r="AQ88" s="381"/>
      <c r="AR88" s="381"/>
      <c r="AS88" s="381"/>
      <c r="AT88" s="381"/>
      <c r="AU88" s="381"/>
      <c r="AV88" s="381"/>
      <c r="AW88" s="381"/>
      <c r="AX88" s="381"/>
      <c r="AY88" s="381"/>
      <c r="AZ88" s="381"/>
    </row>
    <row r="89" spans="1:52" s="371" customFormat="1" x14ac:dyDescent="0.2">
      <c r="A89" s="395"/>
      <c r="B89" s="395"/>
      <c r="C89" s="18"/>
      <c r="D89" s="381"/>
      <c r="E89" s="381"/>
      <c r="F89" s="381"/>
      <c r="G89" s="381"/>
      <c r="H89" s="381"/>
      <c r="I89" s="381"/>
      <c r="J89" s="381"/>
      <c r="K89" s="381"/>
      <c r="L89" s="381"/>
      <c r="M89" s="381"/>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row>
    <row r="90" spans="1:52" s="371" customFormat="1" x14ac:dyDescent="0.2">
      <c r="A90" s="395"/>
      <c r="B90" s="395"/>
      <c r="C90" s="18"/>
      <c r="D90" s="381"/>
      <c r="E90" s="381"/>
      <c r="F90" s="381"/>
      <c r="G90" s="381"/>
      <c r="H90" s="381"/>
      <c r="I90" s="381"/>
      <c r="J90" s="381"/>
      <c r="K90" s="381"/>
      <c r="L90" s="381"/>
      <c r="M90" s="381"/>
      <c r="N90" s="381"/>
      <c r="O90" s="381"/>
      <c r="P90" s="381"/>
      <c r="Q90" s="381"/>
      <c r="R90" s="381"/>
      <c r="S90" s="381"/>
      <c r="T90" s="381"/>
      <c r="U90" s="381"/>
      <c r="V90" s="381"/>
      <c r="W90" s="381"/>
      <c r="X90" s="381"/>
      <c r="Y90" s="381"/>
      <c r="Z90" s="381"/>
      <c r="AA90" s="381"/>
      <c r="AB90" s="381"/>
      <c r="AC90" s="381"/>
      <c r="AD90" s="381"/>
      <c r="AE90" s="381"/>
      <c r="AF90" s="381"/>
      <c r="AG90" s="381"/>
      <c r="AH90" s="381"/>
      <c r="AI90" s="381"/>
      <c r="AJ90" s="381"/>
      <c r="AK90" s="381"/>
      <c r="AL90" s="381"/>
      <c r="AM90" s="381"/>
      <c r="AN90" s="381"/>
      <c r="AO90" s="381"/>
      <c r="AP90" s="381"/>
      <c r="AQ90" s="381"/>
      <c r="AR90" s="381"/>
      <c r="AS90" s="381"/>
      <c r="AT90" s="381"/>
      <c r="AU90" s="381"/>
      <c r="AV90" s="381"/>
      <c r="AW90" s="381"/>
      <c r="AX90" s="381"/>
      <c r="AY90" s="381"/>
      <c r="AZ90" s="381"/>
    </row>
    <row r="91" spans="1:52" s="371" customFormat="1" x14ac:dyDescent="0.2">
      <c r="A91" s="395"/>
      <c r="B91" s="395"/>
      <c r="C91" s="18"/>
      <c r="D91" s="381"/>
      <c r="E91" s="381"/>
      <c r="F91" s="381"/>
      <c r="G91" s="381"/>
      <c r="H91" s="381"/>
      <c r="I91" s="381"/>
      <c r="J91" s="381"/>
      <c r="K91" s="381"/>
      <c r="L91" s="381"/>
      <c r="M91" s="381"/>
      <c r="N91" s="381"/>
      <c r="O91" s="381"/>
      <c r="P91" s="381"/>
      <c r="Q91" s="381"/>
      <c r="R91" s="381"/>
      <c r="S91" s="381"/>
      <c r="T91" s="381"/>
      <c r="U91" s="381"/>
      <c r="V91" s="381"/>
      <c r="W91" s="381"/>
      <c r="X91" s="381"/>
      <c r="Y91" s="381"/>
      <c r="Z91" s="381"/>
      <c r="AA91" s="381"/>
      <c r="AB91" s="381"/>
      <c r="AC91" s="381"/>
      <c r="AD91" s="381"/>
      <c r="AE91" s="381"/>
      <c r="AF91" s="381"/>
      <c r="AG91" s="381"/>
      <c r="AH91" s="381"/>
      <c r="AI91" s="381"/>
      <c r="AJ91" s="381"/>
      <c r="AK91" s="381"/>
      <c r="AL91" s="381"/>
      <c r="AM91" s="381"/>
      <c r="AN91" s="381"/>
      <c r="AO91" s="381"/>
      <c r="AP91" s="381"/>
      <c r="AQ91" s="381"/>
      <c r="AR91" s="381"/>
      <c r="AS91" s="381"/>
      <c r="AT91" s="381"/>
      <c r="AU91" s="381"/>
      <c r="AV91" s="381"/>
      <c r="AW91" s="381"/>
      <c r="AX91" s="381"/>
      <c r="AY91" s="381"/>
      <c r="AZ91" s="381"/>
    </row>
    <row r="92" spans="1:52" s="371" customFormat="1" x14ac:dyDescent="0.2">
      <c r="A92" s="395"/>
      <c r="B92" s="395"/>
      <c r="C92" s="18"/>
      <c r="D92" s="381"/>
      <c r="E92" s="381"/>
      <c r="F92" s="381"/>
      <c r="G92" s="381"/>
      <c r="H92" s="381"/>
      <c r="I92" s="381"/>
      <c r="J92" s="381"/>
      <c r="K92" s="381"/>
      <c r="L92" s="381"/>
      <c r="M92" s="381"/>
      <c r="N92" s="381"/>
      <c r="O92" s="381"/>
      <c r="P92" s="381"/>
      <c r="Q92" s="381"/>
      <c r="R92" s="381"/>
      <c r="S92" s="381"/>
      <c r="T92" s="381"/>
      <c r="U92" s="381"/>
      <c r="V92" s="381"/>
      <c r="W92" s="381"/>
      <c r="X92" s="381"/>
      <c r="Y92" s="381"/>
      <c r="Z92" s="381"/>
      <c r="AA92" s="381"/>
      <c r="AB92" s="381"/>
      <c r="AC92" s="381"/>
      <c r="AD92" s="381"/>
      <c r="AE92" s="381"/>
      <c r="AF92" s="381"/>
      <c r="AG92" s="381"/>
      <c r="AH92" s="381"/>
      <c r="AI92" s="381"/>
      <c r="AJ92" s="381"/>
      <c r="AK92" s="381"/>
      <c r="AL92" s="381"/>
      <c r="AM92" s="381"/>
      <c r="AN92" s="381"/>
      <c r="AO92" s="381"/>
      <c r="AP92" s="381"/>
      <c r="AQ92" s="381"/>
      <c r="AR92" s="381"/>
      <c r="AS92" s="381"/>
      <c r="AT92" s="381"/>
      <c r="AU92" s="381"/>
      <c r="AV92" s="381"/>
      <c r="AW92" s="381"/>
      <c r="AX92" s="381"/>
      <c r="AY92" s="381"/>
      <c r="AZ92" s="381"/>
    </row>
    <row r="93" spans="1:52" s="371" customFormat="1" x14ac:dyDescent="0.2">
      <c r="A93" s="395"/>
      <c r="B93" s="395"/>
      <c r="C93" s="18"/>
      <c r="D93" s="381"/>
      <c r="E93" s="381"/>
      <c r="F93" s="381"/>
      <c r="G93" s="381"/>
      <c r="H93" s="381"/>
      <c r="I93" s="381"/>
      <c r="J93" s="381"/>
      <c r="K93" s="381"/>
      <c r="L93" s="381"/>
      <c r="M93" s="381"/>
      <c r="N93" s="381"/>
      <c r="O93" s="381"/>
      <c r="P93" s="381"/>
      <c r="Q93" s="381"/>
      <c r="R93" s="381"/>
      <c r="S93" s="381"/>
      <c r="T93" s="381"/>
      <c r="U93" s="381"/>
      <c r="V93" s="381"/>
      <c r="W93" s="381"/>
      <c r="X93" s="381"/>
      <c r="Y93" s="381"/>
      <c r="Z93" s="381"/>
      <c r="AA93" s="381"/>
      <c r="AB93" s="381"/>
      <c r="AC93" s="381"/>
      <c r="AD93" s="381"/>
      <c r="AE93" s="381"/>
      <c r="AF93" s="381"/>
      <c r="AG93" s="381"/>
      <c r="AH93" s="381"/>
      <c r="AI93" s="381"/>
      <c r="AJ93" s="381"/>
      <c r="AK93" s="381"/>
      <c r="AL93" s="381"/>
      <c r="AM93" s="381"/>
      <c r="AN93" s="381"/>
      <c r="AO93" s="381"/>
      <c r="AP93" s="381"/>
      <c r="AQ93" s="381"/>
      <c r="AR93" s="381"/>
      <c r="AS93" s="381"/>
      <c r="AT93" s="381"/>
      <c r="AU93" s="381"/>
      <c r="AV93" s="381"/>
      <c r="AW93" s="381"/>
      <c r="AX93" s="381"/>
      <c r="AY93" s="381"/>
      <c r="AZ93" s="381"/>
    </row>
    <row r="94" spans="1:52" s="371" customFormat="1" x14ac:dyDescent="0.2">
      <c r="A94" s="395"/>
      <c r="B94" s="395"/>
      <c r="C94" s="18"/>
      <c r="D94" s="381"/>
      <c r="E94" s="381"/>
      <c r="F94" s="381"/>
      <c r="G94" s="381"/>
      <c r="H94" s="381"/>
      <c r="I94" s="381"/>
      <c r="J94" s="381"/>
      <c r="K94" s="381"/>
      <c r="L94" s="381"/>
      <c r="M94" s="381"/>
      <c r="N94" s="381"/>
      <c r="O94" s="381"/>
      <c r="P94" s="381"/>
      <c r="Q94" s="381"/>
      <c r="R94" s="381"/>
      <c r="S94" s="381"/>
      <c r="T94" s="381"/>
      <c r="U94" s="381"/>
      <c r="V94" s="381"/>
      <c r="W94" s="381"/>
      <c r="X94" s="381"/>
      <c r="Y94" s="381"/>
      <c r="Z94" s="381"/>
      <c r="AA94" s="381"/>
      <c r="AB94" s="381"/>
      <c r="AC94" s="381"/>
      <c r="AD94" s="381"/>
      <c r="AE94" s="381"/>
      <c r="AF94" s="381"/>
      <c r="AG94" s="381"/>
      <c r="AH94" s="381"/>
      <c r="AI94" s="381"/>
      <c r="AJ94" s="381"/>
      <c r="AK94" s="381"/>
      <c r="AL94" s="381"/>
      <c r="AM94" s="381"/>
      <c r="AN94" s="381"/>
      <c r="AO94" s="381"/>
      <c r="AP94" s="381"/>
      <c r="AQ94" s="381"/>
      <c r="AR94" s="381"/>
      <c r="AS94" s="381"/>
      <c r="AT94" s="381"/>
      <c r="AU94" s="381"/>
      <c r="AV94" s="381"/>
      <c r="AW94" s="381"/>
      <c r="AX94" s="381"/>
      <c r="AY94" s="381"/>
      <c r="AZ94" s="381"/>
    </row>
    <row r="95" spans="1:52" s="371" customFormat="1" x14ac:dyDescent="0.2">
      <c r="A95" s="395"/>
      <c r="B95" s="395"/>
      <c r="C95" s="18"/>
      <c r="D95" s="381"/>
      <c r="E95" s="381"/>
      <c r="F95" s="381"/>
      <c r="G95" s="381"/>
      <c r="H95" s="381"/>
      <c r="I95" s="381"/>
      <c r="J95" s="381"/>
      <c r="K95" s="381"/>
      <c r="L95" s="381"/>
      <c r="M95" s="381"/>
      <c r="N95" s="381"/>
      <c r="O95" s="381"/>
      <c r="P95" s="381"/>
      <c r="Q95" s="381"/>
      <c r="R95" s="381"/>
      <c r="S95" s="381"/>
      <c r="T95" s="381"/>
      <c r="U95" s="381"/>
      <c r="V95" s="381"/>
      <c r="W95" s="381"/>
      <c r="X95" s="381"/>
      <c r="Y95" s="381"/>
      <c r="Z95" s="381"/>
      <c r="AA95" s="381"/>
      <c r="AB95" s="381"/>
      <c r="AC95" s="381"/>
      <c r="AD95" s="381"/>
      <c r="AE95" s="381"/>
      <c r="AF95" s="381"/>
      <c r="AG95" s="381"/>
      <c r="AH95" s="381"/>
      <c r="AI95" s="381"/>
      <c r="AJ95" s="381"/>
      <c r="AK95" s="381"/>
      <c r="AL95" s="381"/>
      <c r="AM95" s="381"/>
      <c r="AN95" s="381"/>
      <c r="AO95" s="381"/>
      <c r="AP95" s="381"/>
      <c r="AQ95" s="381"/>
      <c r="AR95" s="381"/>
      <c r="AS95" s="381"/>
      <c r="AT95" s="381"/>
      <c r="AU95" s="381"/>
      <c r="AV95" s="381"/>
      <c r="AW95" s="381"/>
      <c r="AX95" s="381"/>
      <c r="AY95" s="381"/>
      <c r="AZ95" s="381"/>
    </row>
    <row r="96" spans="1:52" s="371" customFormat="1" x14ac:dyDescent="0.2">
      <c r="A96" s="395"/>
      <c r="B96" s="395"/>
      <c r="C96" s="18"/>
      <c r="D96" s="381"/>
      <c r="E96" s="381"/>
      <c r="F96" s="381"/>
      <c r="G96" s="381"/>
      <c r="H96" s="381"/>
      <c r="I96" s="381"/>
      <c r="J96" s="381"/>
      <c r="K96" s="381"/>
      <c r="L96" s="381"/>
      <c r="M96" s="381"/>
      <c r="N96" s="381"/>
      <c r="O96" s="381"/>
      <c r="P96" s="381"/>
      <c r="Q96" s="381"/>
      <c r="R96" s="381"/>
      <c r="S96" s="381"/>
      <c r="T96" s="381"/>
      <c r="U96" s="381"/>
      <c r="V96" s="381"/>
      <c r="W96" s="381"/>
      <c r="X96" s="381"/>
      <c r="Y96" s="381"/>
      <c r="Z96" s="381"/>
      <c r="AA96" s="381"/>
      <c r="AB96" s="381"/>
      <c r="AC96" s="381"/>
      <c r="AD96" s="381"/>
      <c r="AE96" s="381"/>
      <c r="AF96" s="381"/>
      <c r="AG96" s="381"/>
      <c r="AH96" s="381"/>
      <c r="AI96" s="381"/>
      <c r="AJ96" s="381"/>
      <c r="AK96" s="381"/>
      <c r="AL96" s="381"/>
      <c r="AM96" s="381"/>
      <c r="AN96" s="381"/>
      <c r="AO96" s="381"/>
      <c r="AP96" s="381"/>
      <c r="AQ96" s="381"/>
      <c r="AR96" s="381"/>
      <c r="AS96" s="381"/>
      <c r="AT96" s="381"/>
      <c r="AU96" s="381"/>
      <c r="AV96" s="381"/>
      <c r="AW96" s="381"/>
      <c r="AX96" s="381"/>
      <c r="AY96" s="381"/>
      <c r="AZ96" s="381"/>
    </row>
    <row r="97" spans="1:52" s="371" customFormat="1" x14ac:dyDescent="0.2">
      <c r="A97" s="395"/>
      <c r="B97" s="395"/>
      <c r="C97" s="18"/>
      <c r="D97" s="381"/>
      <c r="E97" s="381"/>
      <c r="F97" s="381"/>
      <c r="G97" s="381"/>
      <c r="H97" s="381"/>
      <c r="I97" s="381"/>
      <c r="J97" s="381"/>
      <c r="K97" s="381"/>
      <c r="L97" s="381"/>
      <c r="M97" s="381"/>
      <c r="N97" s="381"/>
      <c r="O97" s="381"/>
      <c r="P97" s="381"/>
      <c r="Q97" s="381"/>
      <c r="R97" s="381"/>
      <c r="S97" s="381"/>
      <c r="T97" s="381"/>
      <c r="U97" s="381"/>
      <c r="V97" s="381"/>
      <c r="W97" s="381"/>
      <c r="X97" s="381"/>
      <c r="Y97" s="381"/>
      <c r="Z97" s="381"/>
      <c r="AA97" s="381"/>
      <c r="AB97" s="381"/>
      <c r="AC97" s="381"/>
      <c r="AD97" s="381"/>
      <c r="AE97" s="381"/>
      <c r="AF97" s="381"/>
      <c r="AG97" s="381"/>
      <c r="AH97" s="381"/>
      <c r="AI97" s="381"/>
      <c r="AJ97" s="381"/>
      <c r="AK97" s="381"/>
      <c r="AL97" s="381"/>
      <c r="AM97" s="381"/>
      <c r="AN97" s="381"/>
      <c r="AO97" s="381"/>
      <c r="AP97" s="381"/>
      <c r="AQ97" s="381"/>
      <c r="AR97" s="381"/>
      <c r="AS97" s="381"/>
      <c r="AT97" s="381"/>
      <c r="AU97" s="381"/>
      <c r="AV97" s="381"/>
      <c r="AW97" s="381"/>
      <c r="AX97" s="381"/>
      <c r="AY97" s="381"/>
      <c r="AZ97" s="381"/>
    </row>
    <row r="98" spans="1:52" s="371" customFormat="1" x14ac:dyDescent="0.2">
      <c r="A98" s="395"/>
      <c r="B98" s="395"/>
      <c r="C98" s="18"/>
      <c r="D98" s="381"/>
      <c r="E98" s="381"/>
      <c r="F98" s="381"/>
      <c r="G98" s="381"/>
      <c r="H98" s="381"/>
      <c r="I98" s="381"/>
      <c r="J98" s="381"/>
      <c r="K98" s="381"/>
      <c r="L98" s="381"/>
      <c r="M98" s="381"/>
      <c r="N98" s="381"/>
      <c r="O98" s="381"/>
      <c r="P98" s="381"/>
      <c r="Q98" s="381"/>
      <c r="R98" s="381"/>
      <c r="S98" s="381"/>
      <c r="T98" s="381"/>
      <c r="U98" s="381"/>
      <c r="V98" s="381"/>
      <c r="W98" s="381"/>
      <c r="X98" s="381"/>
      <c r="Y98" s="381"/>
      <c r="Z98" s="381"/>
      <c r="AA98" s="381"/>
      <c r="AB98" s="381"/>
      <c r="AC98" s="381"/>
      <c r="AD98" s="381"/>
      <c r="AE98" s="381"/>
      <c r="AF98" s="381"/>
      <c r="AG98" s="381"/>
      <c r="AH98" s="381"/>
      <c r="AI98" s="381"/>
      <c r="AJ98" s="381"/>
      <c r="AK98" s="381"/>
      <c r="AL98" s="381"/>
      <c r="AM98" s="381"/>
      <c r="AN98" s="381"/>
      <c r="AO98" s="381"/>
      <c r="AP98" s="381"/>
      <c r="AQ98" s="381"/>
      <c r="AR98" s="381"/>
      <c r="AS98" s="381"/>
      <c r="AT98" s="381"/>
      <c r="AU98" s="381"/>
      <c r="AV98" s="381"/>
      <c r="AW98" s="381"/>
      <c r="AX98" s="381"/>
      <c r="AY98" s="381"/>
      <c r="AZ98" s="381"/>
    </row>
    <row r="99" spans="1:52" s="371" customFormat="1" x14ac:dyDescent="0.2">
      <c r="A99" s="395"/>
      <c r="B99" s="395"/>
      <c r="C99" s="18"/>
      <c r="D99" s="381"/>
      <c r="E99" s="381"/>
      <c r="F99" s="381"/>
      <c r="G99" s="381"/>
      <c r="H99" s="381"/>
      <c r="I99" s="381"/>
      <c r="J99" s="381"/>
      <c r="K99" s="381"/>
      <c r="L99" s="381"/>
      <c r="M99" s="381"/>
      <c r="N99" s="381"/>
      <c r="O99" s="381"/>
      <c r="P99" s="381"/>
      <c r="Q99" s="381"/>
      <c r="R99" s="381"/>
      <c r="S99" s="381"/>
      <c r="T99" s="381"/>
      <c r="U99" s="381"/>
      <c r="V99" s="381"/>
      <c r="W99" s="381"/>
      <c r="X99" s="381"/>
      <c r="Y99" s="381"/>
      <c r="Z99" s="381"/>
      <c r="AA99" s="381"/>
      <c r="AB99" s="381"/>
      <c r="AC99" s="381"/>
      <c r="AD99" s="381"/>
      <c r="AE99" s="381"/>
      <c r="AF99" s="381"/>
      <c r="AG99" s="381"/>
      <c r="AH99" s="381"/>
      <c r="AI99" s="381"/>
      <c r="AJ99" s="381"/>
      <c r="AK99" s="381"/>
      <c r="AL99" s="381"/>
      <c r="AM99" s="381"/>
      <c r="AN99" s="381"/>
      <c r="AO99" s="381"/>
      <c r="AP99" s="381"/>
      <c r="AQ99" s="381"/>
      <c r="AR99" s="381"/>
      <c r="AS99" s="381"/>
      <c r="AT99" s="381"/>
      <c r="AU99" s="381"/>
      <c r="AV99" s="381"/>
      <c r="AW99" s="381"/>
      <c r="AX99" s="381"/>
      <c r="AY99" s="381"/>
      <c r="AZ99" s="381"/>
    </row>
    <row r="100" spans="1:52" s="371" customFormat="1" x14ac:dyDescent="0.2">
      <c r="A100" s="395"/>
      <c r="B100" s="395"/>
      <c r="C100" s="18"/>
      <c r="D100" s="381"/>
      <c r="E100" s="381"/>
      <c r="F100" s="381"/>
      <c r="G100" s="381"/>
      <c r="H100" s="381"/>
      <c r="I100" s="381"/>
      <c r="J100" s="381"/>
      <c r="K100" s="381"/>
      <c r="L100" s="381"/>
      <c r="M100" s="381"/>
      <c r="N100" s="381"/>
      <c r="O100" s="381"/>
      <c r="P100" s="381"/>
      <c r="Q100" s="381"/>
      <c r="R100" s="381"/>
      <c r="S100" s="381"/>
      <c r="T100" s="381"/>
      <c r="U100" s="381"/>
      <c r="V100" s="381"/>
      <c r="W100" s="381"/>
      <c r="X100" s="381"/>
      <c r="Y100" s="381"/>
      <c r="Z100" s="381"/>
      <c r="AA100" s="381"/>
      <c r="AB100" s="381"/>
      <c r="AC100" s="381"/>
      <c r="AD100" s="381"/>
      <c r="AE100" s="381"/>
      <c r="AF100" s="381"/>
      <c r="AG100" s="381"/>
      <c r="AH100" s="381"/>
      <c r="AI100" s="381"/>
      <c r="AJ100" s="381"/>
      <c r="AK100" s="381"/>
      <c r="AL100" s="381"/>
      <c r="AM100" s="381"/>
      <c r="AN100" s="381"/>
      <c r="AO100" s="381"/>
      <c r="AP100" s="381"/>
      <c r="AQ100" s="381"/>
      <c r="AR100" s="381"/>
      <c r="AS100" s="381"/>
      <c r="AT100" s="381"/>
      <c r="AU100" s="381"/>
      <c r="AV100" s="381"/>
      <c r="AW100" s="381"/>
      <c r="AX100" s="381"/>
      <c r="AY100" s="381"/>
      <c r="AZ100" s="381"/>
    </row>
    <row r="101" spans="1:52" s="371" customFormat="1" x14ac:dyDescent="0.2">
      <c r="A101" s="395"/>
      <c r="B101" s="395"/>
      <c r="C101" s="18"/>
      <c r="D101" s="381"/>
      <c r="E101" s="381"/>
      <c r="F101" s="381"/>
      <c r="G101" s="381"/>
      <c r="H101" s="381"/>
      <c r="I101" s="381"/>
      <c r="J101" s="381"/>
      <c r="K101" s="381"/>
      <c r="L101" s="381"/>
      <c r="M101" s="381"/>
      <c r="N101" s="381"/>
      <c r="O101" s="381"/>
      <c r="P101" s="381"/>
      <c r="Q101" s="381"/>
      <c r="R101" s="381"/>
      <c r="S101" s="381"/>
      <c r="T101" s="381"/>
      <c r="U101" s="381"/>
      <c r="V101" s="381"/>
      <c r="W101" s="381"/>
      <c r="X101" s="381"/>
      <c r="Y101" s="381"/>
      <c r="Z101" s="381"/>
      <c r="AA101" s="381"/>
      <c r="AB101" s="381"/>
      <c r="AC101" s="381"/>
      <c r="AD101" s="381"/>
      <c r="AE101" s="381"/>
      <c r="AF101" s="381"/>
      <c r="AG101" s="381"/>
      <c r="AH101" s="381"/>
      <c r="AI101" s="381"/>
      <c r="AJ101" s="381"/>
      <c r="AK101" s="381"/>
      <c r="AL101" s="381"/>
      <c r="AM101" s="381"/>
      <c r="AN101" s="381"/>
      <c r="AO101" s="381"/>
      <c r="AP101" s="381"/>
      <c r="AQ101" s="381"/>
      <c r="AR101" s="381"/>
      <c r="AS101" s="381"/>
      <c r="AT101" s="381"/>
      <c r="AU101" s="381"/>
      <c r="AV101" s="381"/>
      <c r="AW101" s="381"/>
      <c r="AX101" s="381"/>
      <c r="AY101" s="381"/>
      <c r="AZ101" s="381"/>
    </row>
    <row r="102" spans="1:52" s="371" customFormat="1" x14ac:dyDescent="0.2">
      <c r="A102" s="395"/>
      <c r="B102" s="395"/>
      <c r="C102" s="18"/>
      <c r="D102" s="381"/>
      <c r="E102" s="381"/>
      <c r="F102" s="381"/>
      <c r="G102" s="381"/>
      <c r="H102" s="381"/>
      <c r="I102" s="381"/>
      <c r="J102" s="381"/>
      <c r="K102" s="381"/>
      <c r="L102" s="381"/>
      <c r="M102" s="381"/>
      <c r="N102" s="381"/>
      <c r="O102" s="381"/>
      <c r="P102" s="381"/>
      <c r="Q102" s="381"/>
      <c r="R102" s="381"/>
      <c r="S102" s="381"/>
      <c r="T102" s="381"/>
      <c r="U102" s="381"/>
      <c r="V102" s="381"/>
      <c r="W102" s="381"/>
      <c r="X102" s="381"/>
      <c r="Y102" s="381"/>
      <c r="Z102" s="381"/>
      <c r="AA102" s="381"/>
      <c r="AB102" s="381"/>
      <c r="AC102" s="381"/>
      <c r="AD102" s="381"/>
      <c r="AE102" s="381"/>
      <c r="AF102" s="381"/>
      <c r="AG102" s="381"/>
      <c r="AH102" s="381"/>
      <c r="AI102" s="381"/>
      <c r="AJ102" s="381"/>
      <c r="AK102" s="381"/>
      <c r="AL102" s="381"/>
      <c r="AM102" s="381"/>
      <c r="AN102" s="381"/>
      <c r="AO102" s="381"/>
      <c r="AP102" s="381"/>
      <c r="AQ102" s="381"/>
      <c r="AR102" s="381"/>
      <c r="AS102" s="381"/>
      <c r="AT102" s="381"/>
      <c r="AU102" s="381"/>
      <c r="AV102" s="381"/>
      <c r="AW102" s="381"/>
      <c r="AX102" s="381"/>
      <c r="AY102" s="381"/>
      <c r="AZ102" s="381"/>
    </row>
    <row r="103" spans="1:52" s="371" customFormat="1" x14ac:dyDescent="0.2">
      <c r="A103" s="395"/>
      <c r="B103" s="395"/>
      <c r="C103" s="18"/>
      <c r="D103" s="381"/>
      <c r="E103" s="381"/>
      <c r="F103" s="381"/>
      <c r="G103" s="381"/>
      <c r="H103" s="381"/>
      <c r="I103" s="381"/>
      <c r="J103" s="381"/>
      <c r="K103" s="381"/>
      <c r="L103" s="381"/>
      <c r="M103" s="381"/>
      <c r="N103" s="381"/>
      <c r="O103" s="381"/>
      <c r="P103" s="381"/>
      <c r="Q103" s="381"/>
      <c r="R103" s="381"/>
      <c r="S103" s="381"/>
      <c r="T103" s="381"/>
      <c r="U103" s="381"/>
      <c r="V103" s="381"/>
      <c r="W103" s="381"/>
      <c r="X103" s="381"/>
      <c r="Y103" s="381"/>
      <c r="Z103" s="381"/>
      <c r="AA103" s="381"/>
      <c r="AB103" s="381"/>
      <c r="AC103" s="381"/>
      <c r="AD103" s="381"/>
      <c r="AE103" s="381"/>
      <c r="AF103" s="381"/>
      <c r="AG103" s="381"/>
      <c r="AH103" s="381"/>
      <c r="AI103" s="381"/>
      <c r="AJ103" s="381"/>
      <c r="AK103" s="381"/>
      <c r="AL103" s="381"/>
      <c r="AM103" s="381"/>
      <c r="AN103" s="381"/>
      <c r="AO103" s="381"/>
      <c r="AP103" s="381"/>
      <c r="AQ103" s="381"/>
      <c r="AR103" s="381"/>
      <c r="AS103" s="381"/>
      <c r="AT103" s="381"/>
      <c r="AU103" s="381"/>
      <c r="AV103" s="381"/>
      <c r="AW103" s="381"/>
      <c r="AX103" s="381"/>
      <c r="AY103" s="381"/>
      <c r="AZ103" s="381"/>
    </row>
    <row r="104" spans="1:52" s="371" customFormat="1" x14ac:dyDescent="0.2">
      <c r="A104" s="395"/>
      <c r="B104" s="395"/>
      <c r="C104" s="18"/>
      <c r="D104" s="381"/>
      <c r="E104" s="381"/>
      <c r="F104" s="381"/>
      <c r="G104" s="381"/>
      <c r="H104" s="381"/>
      <c r="I104" s="381"/>
      <c r="J104" s="381"/>
      <c r="K104" s="381"/>
      <c r="L104" s="381"/>
      <c r="M104" s="381"/>
      <c r="N104" s="381"/>
      <c r="O104" s="381"/>
      <c r="P104" s="381"/>
      <c r="Q104" s="381"/>
      <c r="R104" s="381"/>
      <c r="S104" s="381"/>
      <c r="T104" s="381"/>
      <c r="U104" s="381"/>
      <c r="V104" s="381"/>
      <c r="W104" s="381"/>
      <c r="X104" s="381"/>
      <c r="Y104" s="381"/>
      <c r="Z104" s="381"/>
      <c r="AA104" s="381"/>
      <c r="AB104" s="381"/>
      <c r="AC104" s="381"/>
      <c r="AD104" s="381"/>
      <c r="AE104" s="381"/>
      <c r="AF104" s="381"/>
      <c r="AG104" s="381"/>
      <c r="AH104" s="381"/>
      <c r="AI104" s="381"/>
      <c r="AJ104" s="381"/>
      <c r="AK104" s="381"/>
      <c r="AL104" s="381"/>
      <c r="AM104" s="381"/>
      <c r="AN104" s="381"/>
      <c r="AO104" s="381"/>
      <c r="AP104" s="381"/>
      <c r="AQ104" s="381"/>
      <c r="AR104" s="381"/>
      <c r="AS104" s="381"/>
      <c r="AT104" s="381"/>
      <c r="AU104" s="381"/>
      <c r="AV104" s="381"/>
      <c r="AW104" s="381"/>
      <c r="AX104" s="381"/>
      <c r="AY104" s="381"/>
      <c r="AZ104" s="381"/>
    </row>
    <row r="105" spans="1:52" s="371" customFormat="1" x14ac:dyDescent="0.2">
      <c r="A105" s="395"/>
      <c r="B105" s="395"/>
      <c r="C105" s="18"/>
      <c r="D105" s="381"/>
      <c r="E105" s="381"/>
      <c r="F105" s="381"/>
      <c r="G105" s="381"/>
      <c r="H105" s="381"/>
      <c r="I105" s="381"/>
      <c r="J105" s="381"/>
      <c r="K105" s="381"/>
      <c r="L105" s="381"/>
      <c r="M105" s="381"/>
      <c r="N105" s="381"/>
      <c r="O105" s="381"/>
      <c r="P105" s="381"/>
      <c r="Q105" s="381"/>
      <c r="R105" s="381"/>
      <c r="S105" s="381"/>
      <c r="T105" s="381"/>
      <c r="U105" s="381"/>
      <c r="V105" s="381"/>
      <c r="W105" s="381"/>
      <c r="X105" s="381"/>
      <c r="Y105" s="381"/>
      <c r="Z105" s="381"/>
      <c r="AA105" s="381"/>
      <c r="AB105" s="381"/>
      <c r="AC105" s="381"/>
      <c r="AD105" s="381"/>
      <c r="AE105" s="381"/>
      <c r="AF105" s="381"/>
      <c r="AG105" s="381"/>
      <c r="AH105" s="381"/>
      <c r="AI105" s="381"/>
      <c r="AJ105" s="381"/>
      <c r="AK105" s="381"/>
      <c r="AL105" s="381"/>
      <c r="AM105" s="381"/>
      <c r="AN105" s="381"/>
      <c r="AO105" s="381"/>
      <c r="AP105" s="381"/>
      <c r="AQ105" s="381"/>
      <c r="AR105" s="381"/>
      <c r="AS105" s="381"/>
      <c r="AT105" s="381"/>
      <c r="AU105" s="381"/>
      <c r="AV105" s="381"/>
      <c r="AW105" s="381"/>
      <c r="AX105" s="381"/>
      <c r="AY105" s="381"/>
      <c r="AZ105" s="381"/>
    </row>
    <row r="106" spans="1:52" s="371" customFormat="1" x14ac:dyDescent="0.2">
      <c r="A106" s="395"/>
      <c r="B106" s="395"/>
      <c r="C106" s="18"/>
      <c r="D106" s="381"/>
      <c r="E106" s="381"/>
      <c r="F106" s="381"/>
      <c r="G106" s="381"/>
      <c r="H106" s="381"/>
      <c r="I106" s="381"/>
      <c r="J106" s="381"/>
      <c r="K106" s="381"/>
      <c r="L106" s="381"/>
      <c r="M106" s="381"/>
      <c r="N106" s="381"/>
      <c r="O106" s="381"/>
      <c r="P106" s="381"/>
      <c r="Q106" s="381"/>
      <c r="R106" s="381"/>
      <c r="S106" s="381"/>
      <c r="T106" s="381"/>
      <c r="U106" s="381"/>
      <c r="V106" s="381"/>
      <c r="W106" s="381"/>
      <c r="X106" s="381"/>
      <c r="Y106" s="381"/>
      <c r="Z106" s="381"/>
      <c r="AA106" s="381"/>
      <c r="AB106" s="381"/>
      <c r="AC106" s="381"/>
      <c r="AD106" s="381"/>
      <c r="AE106" s="381"/>
      <c r="AF106" s="381"/>
      <c r="AG106" s="381"/>
      <c r="AH106" s="381"/>
      <c r="AI106" s="381"/>
      <c r="AJ106" s="381"/>
      <c r="AK106" s="381"/>
      <c r="AL106" s="381"/>
      <c r="AM106" s="381"/>
      <c r="AN106" s="381"/>
      <c r="AO106" s="381"/>
      <c r="AP106" s="381"/>
      <c r="AQ106" s="381"/>
      <c r="AR106" s="381"/>
      <c r="AS106" s="381"/>
      <c r="AT106" s="381"/>
      <c r="AU106" s="381"/>
      <c r="AV106" s="381"/>
      <c r="AW106" s="381"/>
      <c r="AX106" s="381"/>
      <c r="AY106" s="381"/>
      <c r="AZ106" s="381"/>
    </row>
    <row r="107" spans="1:52" s="371" customFormat="1" x14ac:dyDescent="0.2">
      <c r="A107" s="395"/>
      <c r="B107" s="395"/>
      <c r="C107" s="18"/>
      <c r="D107" s="381"/>
      <c r="E107" s="381"/>
      <c r="F107" s="381"/>
      <c r="G107" s="381"/>
      <c r="H107" s="381"/>
      <c r="I107" s="381"/>
      <c r="J107" s="381"/>
      <c r="K107" s="381"/>
      <c r="L107" s="381"/>
      <c r="M107" s="381"/>
      <c r="N107" s="381"/>
      <c r="O107" s="381"/>
      <c r="P107" s="381"/>
      <c r="Q107" s="381"/>
      <c r="R107" s="381"/>
      <c r="S107" s="381"/>
      <c r="T107" s="381"/>
      <c r="U107" s="381"/>
      <c r="V107" s="381"/>
      <c r="W107" s="381"/>
      <c r="X107" s="381"/>
      <c r="Y107" s="381"/>
      <c r="Z107" s="381"/>
      <c r="AA107" s="381"/>
      <c r="AB107" s="381"/>
      <c r="AC107" s="381"/>
      <c r="AD107" s="381"/>
      <c r="AE107" s="381"/>
      <c r="AF107" s="381"/>
      <c r="AG107" s="381"/>
      <c r="AH107" s="381"/>
      <c r="AI107" s="381"/>
      <c r="AJ107" s="381"/>
      <c r="AK107" s="381"/>
      <c r="AL107" s="381"/>
      <c r="AM107" s="381"/>
      <c r="AN107" s="381"/>
      <c r="AO107" s="381"/>
      <c r="AP107" s="381"/>
      <c r="AQ107" s="381"/>
      <c r="AR107" s="381"/>
      <c r="AS107" s="381"/>
      <c r="AT107" s="381"/>
      <c r="AU107" s="381"/>
      <c r="AV107" s="381"/>
      <c r="AW107" s="381"/>
      <c r="AX107" s="381"/>
      <c r="AY107" s="381"/>
      <c r="AZ107" s="381"/>
    </row>
    <row r="108" spans="1:52" s="371" customFormat="1" x14ac:dyDescent="0.2">
      <c r="A108" s="395"/>
      <c r="B108" s="395"/>
      <c r="C108" s="18"/>
      <c r="D108" s="381"/>
      <c r="E108" s="381"/>
      <c r="F108" s="381"/>
      <c r="G108" s="381"/>
      <c r="H108" s="381"/>
      <c r="I108" s="381"/>
      <c r="J108" s="381"/>
      <c r="K108" s="381"/>
      <c r="L108" s="381"/>
      <c r="M108" s="381"/>
      <c r="N108" s="381"/>
      <c r="O108" s="381"/>
      <c r="P108" s="381"/>
      <c r="Q108" s="381"/>
      <c r="R108" s="381"/>
      <c r="S108" s="381"/>
      <c r="T108" s="381"/>
      <c r="U108" s="381"/>
      <c r="V108" s="381"/>
      <c r="W108" s="381"/>
      <c r="X108" s="381"/>
      <c r="Y108" s="381"/>
      <c r="Z108" s="381"/>
      <c r="AA108" s="381"/>
      <c r="AB108" s="381"/>
      <c r="AC108" s="381"/>
      <c r="AD108" s="381"/>
      <c r="AE108" s="381"/>
      <c r="AF108" s="381"/>
      <c r="AG108" s="381"/>
      <c r="AH108" s="381"/>
      <c r="AI108" s="381"/>
      <c r="AJ108" s="381"/>
      <c r="AK108" s="381"/>
      <c r="AL108" s="381"/>
      <c r="AM108" s="381"/>
      <c r="AN108" s="381"/>
      <c r="AO108" s="381"/>
      <c r="AP108" s="381"/>
      <c r="AQ108" s="381"/>
      <c r="AR108" s="381"/>
      <c r="AS108" s="381"/>
      <c r="AT108" s="381"/>
      <c r="AU108" s="381"/>
      <c r="AV108" s="381"/>
      <c r="AW108" s="381"/>
      <c r="AX108" s="381"/>
      <c r="AY108" s="381"/>
      <c r="AZ108" s="381"/>
    </row>
    <row r="109" spans="1:52" s="371" customFormat="1" x14ac:dyDescent="0.2">
      <c r="A109" s="395"/>
      <c r="B109" s="395"/>
      <c r="C109" s="18"/>
      <c r="D109" s="381"/>
      <c r="E109" s="381"/>
      <c r="F109" s="381"/>
      <c r="G109" s="381"/>
      <c r="H109" s="381"/>
      <c r="I109" s="381"/>
      <c r="J109" s="381"/>
      <c r="K109" s="381"/>
      <c r="L109" s="381"/>
      <c r="M109" s="381"/>
      <c r="N109" s="381"/>
      <c r="O109" s="381"/>
      <c r="P109" s="381"/>
      <c r="Q109" s="381"/>
      <c r="R109" s="381"/>
      <c r="S109" s="381"/>
      <c r="T109" s="381"/>
      <c r="U109" s="381"/>
      <c r="V109" s="381"/>
      <c r="W109" s="381"/>
      <c r="X109" s="381"/>
      <c r="Y109" s="381"/>
      <c r="Z109" s="381"/>
      <c r="AA109" s="381"/>
      <c r="AB109" s="381"/>
      <c r="AC109" s="381"/>
      <c r="AD109" s="381"/>
      <c r="AE109" s="381"/>
      <c r="AF109" s="381"/>
      <c r="AG109" s="381"/>
      <c r="AH109" s="381"/>
      <c r="AI109" s="381"/>
      <c r="AJ109" s="381"/>
      <c r="AK109" s="381"/>
      <c r="AL109" s="381"/>
      <c r="AM109" s="381"/>
      <c r="AN109" s="381"/>
      <c r="AO109" s="381"/>
      <c r="AP109" s="381"/>
      <c r="AQ109" s="381"/>
      <c r="AR109" s="381"/>
      <c r="AS109" s="381"/>
      <c r="AT109" s="381"/>
      <c r="AU109" s="381"/>
      <c r="AV109" s="381"/>
      <c r="AW109" s="381"/>
      <c r="AX109" s="381"/>
      <c r="AY109" s="381"/>
      <c r="AZ109" s="381"/>
    </row>
    <row r="110" spans="1:52" s="371" customFormat="1" x14ac:dyDescent="0.2">
      <c r="A110" s="395"/>
      <c r="B110" s="395"/>
      <c r="C110" s="18"/>
      <c r="D110" s="381"/>
      <c r="E110" s="381"/>
      <c r="F110" s="381"/>
      <c r="G110" s="381"/>
      <c r="H110" s="381"/>
      <c r="I110" s="381"/>
      <c r="J110" s="381"/>
      <c r="K110" s="381"/>
      <c r="L110" s="381"/>
      <c r="M110" s="381"/>
      <c r="N110" s="381"/>
      <c r="O110" s="381"/>
      <c r="P110" s="381"/>
      <c r="Q110" s="381"/>
      <c r="R110" s="381"/>
      <c r="S110" s="381"/>
      <c r="T110" s="381"/>
      <c r="U110" s="381"/>
      <c r="V110" s="381"/>
      <c r="W110" s="381"/>
      <c r="X110" s="381"/>
      <c r="Y110" s="381"/>
      <c r="Z110" s="381"/>
      <c r="AA110" s="381"/>
      <c r="AB110" s="381"/>
      <c r="AC110" s="381"/>
      <c r="AD110" s="381"/>
      <c r="AE110" s="381"/>
      <c r="AF110" s="381"/>
      <c r="AG110" s="381"/>
      <c r="AH110" s="381"/>
      <c r="AI110" s="381"/>
      <c r="AJ110" s="381"/>
      <c r="AK110" s="381"/>
      <c r="AL110" s="381"/>
      <c r="AM110" s="381"/>
      <c r="AN110" s="381"/>
      <c r="AO110" s="381"/>
      <c r="AP110" s="381"/>
      <c r="AQ110" s="381"/>
      <c r="AR110" s="381"/>
      <c r="AS110" s="381"/>
      <c r="AT110" s="381"/>
      <c r="AU110" s="381"/>
      <c r="AV110" s="381"/>
      <c r="AW110" s="381"/>
      <c r="AX110" s="381"/>
      <c r="AY110" s="381"/>
      <c r="AZ110" s="381"/>
    </row>
    <row r="111" spans="1:52" s="371" customFormat="1" x14ac:dyDescent="0.2">
      <c r="A111" s="395"/>
      <c r="B111" s="395"/>
      <c r="C111" s="18"/>
      <c r="D111" s="381"/>
      <c r="E111" s="381"/>
      <c r="F111" s="381"/>
      <c r="G111" s="381"/>
      <c r="H111" s="381"/>
      <c r="I111" s="381"/>
      <c r="J111" s="381"/>
      <c r="K111" s="381"/>
      <c r="L111" s="381"/>
      <c r="M111" s="381"/>
      <c r="N111" s="381"/>
      <c r="O111" s="381"/>
      <c r="P111" s="381"/>
      <c r="Q111" s="381"/>
      <c r="R111" s="381"/>
      <c r="S111" s="381"/>
      <c r="T111" s="381"/>
      <c r="U111" s="381"/>
      <c r="V111" s="381"/>
      <c r="W111" s="381"/>
      <c r="X111" s="381"/>
      <c r="Y111" s="381"/>
      <c r="Z111" s="381"/>
      <c r="AA111" s="381"/>
      <c r="AB111" s="381"/>
      <c r="AC111" s="381"/>
      <c r="AD111" s="381"/>
      <c r="AE111" s="381"/>
      <c r="AF111" s="381"/>
      <c r="AG111" s="381"/>
      <c r="AH111" s="381"/>
      <c r="AI111" s="381"/>
      <c r="AJ111" s="381"/>
      <c r="AK111" s="381"/>
      <c r="AL111" s="381"/>
      <c r="AM111" s="381"/>
      <c r="AN111" s="381"/>
      <c r="AO111" s="381"/>
      <c r="AP111" s="381"/>
      <c r="AQ111" s="381"/>
      <c r="AR111" s="381"/>
      <c r="AS111" s="381"/>
      <c r="AT111" s="381"/>
      <c r="AU111" s="381"/>
      <c r="AV111" s="381"/>
      <c r="AW111" s="381"/>
      <c r="AX111" s="381"/>
      <c r="AY111" s="381"/>
      <c r="AZ111" s="381"/>
    </row>
    <row r="112" spans="1:52" s="371" customFormat="1" x14ac:dyDescent="0.2">
      <c r="A112" s="395"/>
      <c r="B112" s="395"/>
      <c r="C112" s="18"/>
      <c r="D112" s="381"/>
      <c r="E112" s="381"/>
      <c r="F112" s="381"/>
      <c r="G112" s="381"/>
      <c r="H112" s="381"/>
      <c r="I112" s="381"/>
      <c r="J112" s="381"/>
      <c r="K112" s="381"/>
      <c r="L112" s="381"/>
      <c r="M112" s="381"/>
      <c r="N112" s="381"/>
      <c r="O112" s="381"/>
      <c r="P112" s="381"/>
      <c r="Q112" s="381"/>
      <c r="R112" s="381"/>
      <c r="S112" s="381"/>
      <c r="T112" s="381"/>
      <c r="U112" s="381"/>
      <c r="V112" s="381"/>
      <c r="W112" s="381"/>
      <c r="X112" s="381"/>
      <c r="Y112" s="381"/>
      <c r="Z112" s="381"/>
      <c r="AA112" s="381"/>
      <c r="AB112" s="381"/>
      <c r="AC112" s="381"/>
      <c r="AD112" s="381"/>
      <c r="AE112" s="381"/>
      <c r="AF112" s="381"/>
      <c r="AG112" s="381"/>
      <c r="AH112" s="381"/>
      <c r="AI112" s="381"/>
      <c r="AJ112" s="381"/>
      <c r="AK112" s="381"/>
      <c r="AL112" s="381"/>
      <c r="AM112" s="381"/>
      <c r="AN112" s="381"/>
      <c r="AO112" s="381"/>
      <c r="AP112" s="381"/>
      <c r="AQ112" s="381"/>
      <c r="AR112" s="381"/>
      <c r="AS112" s="381"/>
      <c r="AT112" s="381"/>
      <c r="AU112" s="381"/>
      <c r="AV112" s="381"/>
      <c r="AW112" s="381"/>
      <c r="AX112" s="381"/>
      <c r="AY112" s="381"/>
      <c r="AZ112" s="381"/>
    </row>
    <row r="113" spans="1:52" s="371" customFormat="1" x14ac:dyDescent="0.2">
      <c r="A113" s="395"/>
      <c r="B113" s="395"/>
      <c r="C113" s="18"/>
      <c r="D113" s="381"/>
      <c r="E113" s="381"/>
      <c r="F113" s="381"/>
      <c r="G113" s="381"/>
      <c r="H113" s="381"/>
      <c r="I113" s="381"/>
      <c r="J113" s="381"/>
      <c r="K113" s="381"/>
      <c r="L113" s="381"/>
      <c r="M113" s="381"/>
      <c r="N113" s="381"/>
      <c r="O113" s="381"/>
      <c r="P113" s="381"/>
      <c r="Q113" s="381"/>
      <c r="R113" s="381"/>
      <c r="S113" s="381"/>
      <c r="T113" s="381"/>
      <c r="U113" s="381"/>
      <c r="V113" s="381"/>
      <c r="W113" s="381"/>
      <c r="X113" s="381"/>
      <c r="Y113" s="381"/>
      <c r="Z113" s="381"/>
      <c r="AA113" s="381"/>
      <c r="AB113" s="381"/>
      <c r="AC113" s="381"/>
      <c r="AD113" s="381"/>
      <c r="AE113" s="381"/>
      <c r="AF113" s="381"/>
      <c r="AG113" s="381"/>
      <c r="AH113" s="381"/>
      <c r="AI113" s="381"/>
      <c r="AJ113" s="381"/>
      <c r="AK113" s="381"/>
      <c r="AL113" s="381"/>
      <c r="AM113" s="381"/>
      <c r="AN113" s="381"/>
      <c r="AO113" s="381"/>
      <c r="AP113" s="381"/>
      <c r="AQ113" s="381"/>
      <c r="AR113" s="381"/>
      <c r="AS113" s="381"/>
      <c r="AT113" s="381"/>
      <c r="AU113" s="381"/>
      <c r="AV113" s="381"/>
      <c r="AW113" s="381"/>
      <c r="AX113" s="381"/>
      <c r="AY113" s="381"/>
      <c r="AZ113" s="381"/>
    </row>
    <row r="114" spans="1:52" s="371" customFormat="1" x14ac:dyDescent="0.2">
      <c r="A114" s="395"/>
      <c r="B114" s="395"/>
      <c r="C114" s="18"/>
      <c r="D114" s="381"/>
      <c r="E114" s="381"/>
      <c r="F114" s="381"/>
      <c r="G114" s="381"/>
      <c r="H114" s="381"/>
      <c r="I114" s="381"/>
      <c r="J114" s="381"/>
      <c r="K114" s="381"/>
      <c r="L114" s="381"/>
      <c r="M114" s="381"/>
      <c r="N114" s="381"/>
      <c r="O114" s="381"/>
      <c r="P114" s="381"/>
      <c r="Q114" s="381"/>
      <c r="R114" s="381"/>
      <c r="S114" s="381"/>
      <c r="T114" s="381"/>
      <c r="U114" s="381"/>
      <c r="V114" s="381"/>
      <c r="W114" s="381"/>
      <c r="X114" s="381"/>
      <c r="Y114" s="381"/>
      <c r="Z114" s="381"/>
      <c r="AA114" s="381"/>
      <c r="AB114" s="381"/>
      <c r="AC114" s="381"/>
      <c r="AD114" s="381"/>
      <c r="AE114" s="381"/>
      <c r="AF114" s="381"/>
      <c r="AG114" s="381"/>
      <c r="AH114" s="381"/>
      <c r="AI114" s="381"/>
      <c r="AJ114" s="381"/>
      <c r="AK114" s="381"/>
      <c r="AL114" s="381"/>
      <c r="AM114" s="381"/>
      <c r="AN114" s="381"/>
      <c r="AO114" s="381"/>
      <c r="AP114" s="381"/>
      <c r="AQ114" s="381"/>
      <c r="AR114" s="381"/>
      <c r="AS114" s="381"/>
      <c r="AT114" s="381"/>
      <c r="AU114" s="381"/>
      <c r="AV114" s="381"/>
      <c r="AW114" s="381"/>
      <c r="AX114" s="381"/>
      <c r="AY114" s="381"/>
      <c r="AZ114" s="381"/>
    </row>
    <row r="115" spans="1:52" s="371" customFormat="1" x14ac:dyDescent="0.2">
      <c r="A115" s="395"/>
      <c r="B115" s="395"/>
      <c r="C115" s="18"/>
      <c r="D115" s="381"/>
      <c r="E115" s="381"/>
      <c r="F115" s="381"/>
      <c r="G115" s="381"/>
      <c r="H115" s="381"/>
      <c r="I115" s="381"/>
      <c r="J115" s="381"/>
      <c r="K115" s="381"/>
      <c r="L115" s="381"/>
      <c r="M115" s="381"/>
      <c r="N115" s="381"/>
      <c r="O115" s="381"/>
      <c r="P115" s="381"/>
      <c r="Q115" s="381"/>
      <c r="R115" s="381"/>
      <c r="S115" s="381"/>
      <c r="T115" s="381"/>
      <c r="U115" s="381"/>
      <c r="V115" s="381"/>
      <c r="W115" s="381"/>
      <c r="X115" s="381"/>
      <c r="Y115" s="381"/>
      <c r="Z115" s="381"/>
      <c r="AA115" s="381"/>
      <c r="AB115" s="381"/>
      <c r="AC115" s="381"/>
      <c r="AD115" s="381"/>
      <c r="AE115" s="381"/>
      <c r="AF115" s="381"/>
      <c r="AG115" s="381"/>
      <c r="AH115" s="381"/>
      <c r="AI115" s="381"/>
      <c r="AJ115" s="381"/>
      <c r="AK115" s="381"/>
      <c r="AL115" s="381"/>
      <c r="AM115" s="381"/>
      <c r="AN115" s="381"/>
      <c r="AO115" s="381"/>
      <c r="AP115" s="381"/>
      <c r="AQ115" s="381"/>
      <c r="AR115" s="381"/>
      <c r="AS115" s="381"/>
      <c r="AT115" s="381"/>
      <c r="AU115" s="381"/>
      <c r="AV115" s="381"/>
      <c r="AW115" s="381"/>
      <c r="AX115" s="381"/>
      <c r="AY115" s="381"/>
      <c r="AZ115" s="381"/>
    </row>
    <row r="116" spans="1:52" s="371" customFormat="1" x14ac:dyDescent="0.2">
      <c r="A116" s="395"/>
      <c r="B116" s="395"/>
      <c r="C116" s="18"/>
      <c r="D116" s="381"/>
      <c r="E116" s="381"/>
      <c r="F116" s="381"/>
      <c r="G116" s="381"/>
      <c r="H116" s="381"/>
      <c r="I116" s="381"/>
      <c r="J116" s="381"/>
      <c r="K116" s="381"/>
      <c r="L116" s="381"/>
      <c r="M116" s="381"/>
      <c r="N116" s="381"/>
      <c r="O116" s="381"/>
      <c r="P116" s="381"/>
      <c r="Q116" s="381"/>
      <c r="R116" s="381"/>
      <c r="S116" s="381"/>
      <c r="T116" s="381"/>
      <c r="U116" s="381"/>
      <c r="V116" s="381"/>
      <c r="W116" s="381"/>
      <c r="X116" s="381"/>
      <c r="Y116" s="381"/>
      <c r="Z116" s="381"/>
      <c r="AA116" s="381"/>
      <c r="AB116" s="381"/>
      <c r="AC116" s="381"/>
      <c r="AD116" s="381"/>
      <c r="AE116" s="381"/>
      <c r="AF116" s="381"/>
      <c r="AG116" s="381"/>
      <c r="AH116" s="381"/>
      <c r="AI116" s="381"/>
      <c r="AJ116" s="381"/>
      <c r="AK116" s="381"/>
      <c r="AL116" s="381"/>
      <c r="AM116" s="381"/>
      <c r="AN116" s="381"/>
      <c r="AO116" s="381"/>
      <c r="AP116" s="381"/>
      <c r="AQ116" s="381"/>
      <c r="AR116" s="381"/>
      <c r="AS116" s="381"/>
      <c r="AT116" s="381"/>
      <c r="AU116" s="381"/>
      <c r="AV116" s="381"/>
      <c r="AW116" s="381"/>
      <c r="AX116" s="381"/>
      <c r="AY116" s="381"/>
      <c r="AZ116" s="381"/>
    </row>
    <row r="117" spans="1:52" s="371" customFormat="1" x14ac:dyDescent="0.2">
      <c r="A117" s="395"/>
      <c r="B117" s="395"/>
      <c r="C117" s="18"/>
      <c r="D117" s="381"/>
      <c r="E117" s="381"/>
      <c r="F117" s="381"/>
      <c r="G117" s="381"/>
      <c r="H117" s="381"/>
      <c r="I117" s="381"/>
      <c r="J117" s="381"/>
      <c r="K117" s="381"/>
      <c r="L117" s="381"/>
      <c r="M117" s="381"/>
      <c r="N117" s="381"/>
      <c r="O117" s="381"/>
      <c r="P117" s="381"/>
      <c r="Q117" s="381"/>
      <c r="R117" s="381"/>
      <c r="S117" s="381"/>
      <c r="T117" s="381"/>
      <c r="U117" s="381"/>
      <c r="V117" s="381"/>
      <c r="W117" s="381"/>
      <c r="X117" s="381"/>
      <c r="Y117" s="381"/>
      <c r="Z117" s="381"/>
      <c r="AA117" s="381"/>
      <c r="AB117" s="381"/>
      <c r="AC117" s="381"/>
      <c r="AD117" s="381"/>
      <c r="AE117" s="381"/>
      <c r="AF117" s="381"/>
      <c r="AG117" s="381"/>
      <c r="AH117" s="381"/>
      <c r="AI117" s="381"/>
      <c r="AJ117" s="381"/>
      <c r="AK117" s="381"/>
      <c r="AL117" s="381"/>
      <c r="AM117" s="381"/>
      <c r="AN117" s="381"/>
      <c r="AO117" s="381"/>
      <c r="AP117" s="381"/>
      <c r="AQ117" s="381"/>
      <c r="AR117" s="381"/>
      <c r="AS117" s="381"/>
      <c r="AT117" s="381"/>
      <c r="AU117" s="381"/>
      <c r="AV117" s="381"/>
      <c r="AW117" s="381"/>
      <c r="AX117" s="381"/>
      <c r="AY117" s="381"/>
      <c r="AZ117" s="381"/>
    </row>
    <row r="118" spans="1:52" s="371" customFormat="1" x14ac:dyDescent="0.2">
      <c r="A118" s="395"/>
      <c r="B118" s="395"/>
      <c r="C118" s="18"/>
      <c r="D118" s="381"/>
      <c r="E118" s="381"/>
      <c r="F118" s="381"/>
      <c r="G118" s="381"/>
      <c r="H118" s="381"/>
      <c r="I118" s="381"/>
      <c r="J118" s="381"/>
      <c r="K118" s="381"/>
      <c r="L118" s="381"/>
      <c r="M118" s="381"/>
      <c r="N118" s="381"/>
      <c r="O118" s="381"/>
      <c r="P118" s="381"/>
      <c r="Q118" s="381"/>
      <c r="R118" s="381"/>
      <c r="S118" s="381"/>
      <c r="T118" s="381"/>
      <c r="U118" s="381"/>
      <c r="V118" s="381"/>
      <c r="W118" s="381"/>
      <c r="X118" s="381"/>
      <c r="Y118" s="381"/>
      <c r="Z118" s="381"/>
      <c r="AA118" s="381"/>
      <c r="AB118" s="381"/>
      <c r="AC118" s="381"/>
      <c r="AD118" s="381"/>
      <c r="AE118" s="381"/>
      <c r="AF118" s="381"/>
      <c r="AG118" s="381"/>
      <c r="AH118" s="381"/>
      <c r="AI118" s="381"/>
      <c r="AJ118" s="381"/>
      <c r="AK118" s="381"/>
      <c r="AL118" s="381"/>
      <c r="AM118" s="381"/>
      <c r="AN118" s="381"/>
      <c r="AO118" s="381"/>
      <c r="AP118" s="381"/>
      <c r="AQ118" s="381"/>
      <c r="AR118" s="381"/>
      <c r="AS118" s="381"/>
      <c r="AT118" s="381"/>
      <c r="AU118" s="381"/>
      <c r="AV118" s="381"/>
      <c r="AW118" s="381"/>
      <c r="AX118" s="381"/>
      <c r="AY118" s="381"/>
      <c r="AZ118" s="381"/>
    </row>
    <row r="119" spans="1:52" s="371" customFormat="1" x14ac:dyDescent="0.2">
      <c r="A119" s="395"/>
      <c r="B119" s="395"/>
      <c r="C119" s="18"/>
      <c r="D119" s="381"/>
      <c r="E119" s="381"/>
      <c r="F119" s="381"/>
      <c r="G119" s="381"/>
      <c r="H119" s="381"/>
      <c r="I119" s="381"/>
      <c r="J119" s="381"/>
      <c r="K119" s="381"/>
      <c r="L119" s="381"/>
      <c r="M119" s="381"/>
      <c r="N119" s="381"/>
      <c r="O119" s="381"/>
      <c r="P119" s="381"/>
      <c r="Q119" s="381"/>
      <c r="R119" s="381"/>
      <c r="S119" s="381"/>
      <c r="T119" s="381"/>
      <c r="U119" s="381"/>
      <c r="V119" s="381"/>
      <c r="W119" s="381"/>
      <c r="X119" s="381"/>
      <c r="Y119" s="381"/>
      <c r="Z119" s="381"/>
      <c r="AA119" s="381"/>
      <c r="AB119" s="381"/>
      <c r="AC119" s="381"/>
      <c r="AD119" s="381"/>
      <c r="AE119" s="381"/>
      <c r="AF119" s="381"/>
      <c r="AG119" s="381"/>
      <c r="AH119" s="381"/>
      <c r="AI119" s="381"/>
      <c r="AJ119" s="381"/>
      <c r="AK119" s="381"/>
      <c r="AL119" s="381"/>
      <c r="AM119" s="381"/>
      <c r="AN119" s="381"/>
      <c r="AO119" s="381"/>
      <c r="AP119" s="381"/>
      <c r="AQ119" s="381"/>
      <c r="AR119" s="381"/>
      <c r="AS119" s="381"/>
      <c r="AT119" s="381"/>
      <c r="AU119" s="381"/>
      <c r="AV119" s="381"/>
      <c r="AW119" s="381"/>
      <c r="AX119" s="381"/>
      <c r="AY119" s="381"/>
      <c r="AZ119" s="381"/>
    </row>
    <row r="120" spans="1:52" s="371" customFormat="1" x14ac:dyDescent="0.2">
      <c r="A120" s="395"/>
      <c r="B120" s="395"/>
      <c r="C120" s="18"/>
      <c r="D120" s="381"/>
      <c r="E120" s="381"/>
      <c r="F120" s="381"/>
      <c r="G120" s="381"/>
      <c r="H120" s="381"/>
      <c r="I120" s="381"/>
      <c r="J120" s="381"/>
      <c r="K120" s="381"/>
      <c r="L120" s="381"/>
      <c r="M120" s="381"/>
      <c r="N120" s="381"/>
      <c r="O120" s="381"/>
      <c r="P120" s="381"/>
      <c r="Q120" s="381"/>
      <c r="R120" s="381"/>
      <c r="S120" s="381"/>
      <c r="T120" s="381"/>
      <c r="U120" s="381"/>
      <c r="V120" s="381"/>
      <c r="W120" s="381"/>
      <c r="X120" s="381"/>
      <c r="Y120" s="381"/>
      <c r="Z120" s="381"/>
      <c r="AA120" s="381"/>
      <c r="AB120" s="381"/>
      <c r="AC120" s="381"/>
      <c r="AD120" s="381"/>
      <c r="AE120" s="381"/>
      <c r="AF120" s="381"/>
      <c r="AG120" s="381"/>
      <c r="AH120" s="381"/>
      <c r="AI120" s="381"/>
      <c r="AJ120" s="381"/>
      <c r="AK120" s="381"/>
      <c r="AL120" s="381"/>
      <c r="AM120" s="381"/>
      <c r="AN120" s="381"/>
      <c r="AO120" s="381"/>
      <c r="AP120" s="381"/>
      <c r="AQ120" s="381"/>
      <c r="AR120" s="381"/>
      <c r="AS120" s="381"/>
      <c r="AT120" s="381"/>
      <c r="AU120" s="381"/>
      <c r="AV120" s="381"/>
      <c r="AW120" s="381"/>
      <c r="AX120" s="381"/>
      <c r="AY120" s="381"/>
      <c r="AZ120" s="381"/>
    </row>
    <row r="121" spans="1:52" s="371" customFormat="1" x14ac:dyDescent="0.2">
      <c r="A121" s="395"/>
      <c r="B121" s="395"/>
      <c r="C121" s="18"/>
      <c r="D121" s="381"/>
      <c r="E121" s="381"/>
      <c r="F121" s="381"/>
      <c r="G121" s="381"/>
      <c r="H121" s="381"/>
      <c r="I121" s="381"/>
      <c r="J121" s="381"/>
      <c r="K121" s="381"/>
      <c r="L121" s="381"/>
      <c r="M121" s="381"/>
      <c r="N121" s="381"/>
      <c r="O121" s="381"/>
      <c r="P121" s="381"/>
      <c r="Q121" s="381"/>
      <c r="R121" s="381"/>
      <c r="S121" s="381"/>
      <c r="T121" s="381"/>
      <c r="U121" s="381"/>
      <c r="V121" s="381"/>
      <c r="W121" s="381"/>
      <c r="X121" s="381"/>
      <c r="Y121" s="381"/>
      <c r="Z121" s="381"/>
      <c r="AA121" s="381"/>
      <c r="AB121" s="381"/>
      <c r="AC121" s="381"/>
      <c r="AD121" s="381"/>
      <c r="AE121" s="381"/>
      <c r="AF121" s="381"/>
      <c r="AG121" s="381"/>
      <c r="AH121" s="381"/>
      <c r="AI121" s="381"/>
      <c r="AJ121" s="381"/>
      <c r="AK121" s="381"/>
      <c r="AL121" s="381"/>
      <c r="AM121" s="381"/>
      <c r="AN121" s="381"/>
      <c r="AO121" s="381"/>
      <c r="AP121" s="381"/>
      <c r="AQ121" s="381"/>
      <c r="AR121" s="381"/>
      <c r="AS121" s="381"/>
      <c r="AT121" s="381"/>
      <c r="AU121" s="381"/>
      <c r="AV121" s="381"/>
      <c r="AW121" s="381"/>
      <c r="AX121" s="381"/>
      <c r="AY121" s="381"/>
      <c r="AZ121" s="381"/>
    </row>
    <row r="122" spans="1:52" s="371" customFormat="1" x14ac:dyDescent="0.2">
      <c r="A122" s="395"/>
      <c r="B122" s="395"/>
      <c r="C122" s="18"/>
      <c r="D122" s="381"/>
      <c r="E122" s="381"/>
      <c r="F122" s="381"/>
      <c r="G122" s="381"/>
      <c r="H122" s="381"/>
      <c r="I122" s="381"/>
      <c r="J122" s="381"/>
      <c r="K122" s="381"/>
      <c r="L122" s="381"/>
      <c r="M122" s="381"/>
      <c r="N122" s="381"/>
      <c r="O122" s="381"/>
      <c r="P122" s="381"/>
      <c r="Q122" s="381"/>
      <c r="R122" s="381"/>
      <c r="S122" s="381"/>
      <c r="T122" s="381"/>
      <c r="U122" s="381"/>
      <c r="V122" s="381"/>
      <c r="W122" s="381"/>
      <c r="X122" s="381"/>
      <c r="Y122" s="381"/>
      <c r="Z122" s="381"/>
      <c r="AA122" s="381"/>
      <c r="AB122" s="381"/>
      <c r="AC122" s="381"/>
      <c r="AD122" s="381"/>
      <c r="AE122" s="381"/>
      <c r="AF122" s="381"/>
      <c r="AG122" s="381"/>
      <c r="AH122" s="381"/>
      <c r="AI122" s="381"/>
      <c r="AJ122" s="381"/>
      <c r="AK122" s="381"/>
      <c r="AL122" s="381"/>
      <c r="AM122" s="381"/>
      <c r="AN122" s="381"/>
      <c r="AO122" s="381"/>
      <c r="AP122" s="381"/>
      <c r="AQ122" s="381"/>
      <c r="AR122" s="381"/>
      <c r="AS122" s="381"/>
      <c r="AT122" s="381"/>
      <c r="AU122" s="381"/>
      <c r="AV122" s="381"/>
      <c r="AW122" s="381"/>
      <c r="AX122" s="381"/>
      <c r="AY122" s="381"/>
      <c r="AZ122" s="381"/>
    </row>
    <row r="123" spans="1:52" s="371" customFormat="1" x14ac:dyDescent="0.2">
      <c r="A123" s="395"/>
      <c r="B123" s="395"/>
      <c r="C123" s="18"/>
      <c r="D123" s="381"/>
      <c r="E123" s="381"/>
      <c r="F123" s="381"/>
      <c r="G123" s="381"/>
      <c r="H123" s="381"/>
      <c r="I123" s="381"/>
      <c r="J123" s="381"/>
      <c r="K123" s="381"/>
      <c r="L123" s="381"/>
      <c r="M123" s="381"/>
      <c r="N123" s="381"/>
      <c r="O123" s="381"/>
      <c r="P123" s="381"/>
      <c r="Q123" s="381"/>
      <c r="R123" s="381"/>
      <c r="S123" s="381"/>
      <c r="T123" s="381"/>
      <c r="U123" s="381"/>
      <c r="V123" s="381"/>
      <c r="W123" s="381"/>
      <c r="X123" s="381"/>
      <c r="Y123" s="381"/>
      <c r="Z123" s="381"/>
      <c r="AA123" s="381"/>
      <c r="AB123" s="381"/>
      <c r="AC123" s="381"/>
      <c r="AD123" s="381"/>
      <c r="AE123" s="381"/>
      <c r="AF123" s="381"/>
      <c r="AG123" s="381"/>
      <c r="AH123" s="381"/>
      <c r="AI123" s="381"/>
      <c r="AJ123" s="381"/>
      <c r="AK123" s="381"/>
      <c r="AL123" s="381"/>
      <c r="AM123" s="381"/>
      <c r="AN123" s="381"/>
      <c r="AO123" s="381"/>
      <c r="AP123" s="381"/>
      <c r="AQ123" s="381"/>
      <c r="AR123" s="381"/>
      <c r="AS123" s="381"/>
      <c r="AT123" s="381"/>
      <c r="AU123" s="381"/>
      <c r="AV123" s="381"/>
      <c r="AW123" s="381"/>
      <c r="AX123" s="381"/>
      <c r="AY123" s="381"/>
      <c r="AZ123" s="381"/>
    </row>
    <row r="124" spans="1:52" s="371" customFormat="1" x14ac:dyDescent="0.2">
      <c r="A124" s="395"/>
      <c r="B124" s="395"/>
      <c r="C124" s="18"/>
      <c r="D124" s="381"/>
      <c r="E124" s="381"/>
      <c r="F124" s="381"/>
      <c r="G124" s="381"/>
      <c r="H124" s="381"/>
      <c r="I124" s="381"/>
      <c r="J124" s="381"/>
      <c r="K124" s="381"/>
      <c r="L124" s="381"/>
      <c r="M124" s="381"/>
      <c r="N124" s="381"/>
      <c r="O124" s="381"/>
      <c r="P124" s="381"/>
      <c r="Q124" s="381"/>
      <c r="R124" s="381"/>
      <c r="S124" s="381"/>
      <c r="T124" s="381"/>
      <c r="U124" s="381"/>
      <c r="V124" s="381"/>
      <c r="W124" s="381"/>
      <c r="X124" s="381"/>
      <c r="Y124" s="381"/>
      <c r="Z124" s="381"/>
      <c r="AA124" s="381"/>
      <c r="AB124" s="381"/>
      <c r="AC124" s="381"/>
      <c r="AD124" s="381"/>
      <c r="AE124" s="381"/>
      <c r="AF124" s="381"/>
      <c r="AG124" s="381"/>
      <c r="AH124" s="381"/>
      <c r="AI124" s="381"/>
      <c r="AJ124" s="381"/>
      <c r="AK124" s="381"/>
      <c r="AL124" s="381"/>
      <c r="AM124" s="381"/>
      <c r="AN124" s="381"/>
      <c r="AO124" s="381"/>
      <c r="AP124" s="381"/>
      <c r="AQ124" s="381"/>
      <c r="AR124" s="381"/>
      <c r="AS124" s="381"/>
      <c r="AT124" s="381"/>
      <c r="AU124" s="381"/>
      <c r="AV124" s="381"/>
      <c r="AW124" s="381"/>
      <c r="AX124" s="381"/>
      <c r="AY124" s="381"/>
      <c r="AZ124" s="381"/>
    </row>
    <row r="125" spans="1:52" s="371" customFormat="1" x14ac:dyDescent="0.2">
      <c r="A125" s="395"/>
      <c r="B125" s="395"/>
      <c r="C125" s="18"/>
      <c r="D125" s="381"/>
      <c r="E125" s="381"/>
      <c r="F125" s="381"/>
      <c r="G125" s="381"/>
      <c r="H125" s="381"/>
      <c r="I125" s="381"/>
      <c r="J125" s="381"/>
      <c r="K125" s="381"/>
      <c r="L125" s="381"/>
      <c r="M125" s="381"/>
      <c r="N125" s="381"/>
      <c r="O125" s="381"/>
      <c r="P125" s="381"/>
      <c r="Q125" s="381"/>
      <c r="R125" s="381"/>
      <c r="S125" s="381"/>
      <c r="T125" s="381"/>
      <c r="U125" s="381"/>
      <c r="V125" s="381"/>
      <c r="W125" s="381"/>
      <c r="X125" s="381"/>
      <c r="Y125" s="381"/>
      <c r="Z125" s="381"/>
      <c r="AA125" s="381"/>
      <c r="AB125" s="381"/>
      <c r="AC125" s="381"/>
      <c r="AD125" s="381"/>
      <c r="AE125" s="381"/>
      <c r="AF125" s="381"/>
      <c r="AG125" s="381"/>
      <c r="AH125" s="381"/>
      <c r="AI125" s="381"/>
      <c r="AJ125" s="381"/>
      <c r="AK125" s="381"/>
      <c r="AL125" s="381"/>
      <c r="AM125" s="381"/>
      <c r="AN125" s="381"/>
      <c r="AO125" s="381"/>
      <c r="AP125" s="381"/>
      <c r="AQ125" s="381"/>
      <c r="AR125" s="381"/>
      <c r="AS125" s="381"/>
      <c r="AT125" s="381"/>
      <c r="AU125" s="381"/>
      <c r="AV125" s="381"/>
      <c r="AW125" s="381"/>
      <c r="AX125" s="381"/>
      <c r="AY125" s="381"/>
      <c r="AZ125" s="381"/>
    </row>
    <row r="126" spans="1:52" s="371" customFormat="1" x14ac:dyDescent="0.2">
      <c r="A126" s="395"/>
      <c r="B126" s="395"/>
      <c r="C126" s="18"/>
      <c r="D126" s="381"/>
      <c r="E126" s="381"/>
      <c r="F126" s="381"/>
      <c r="G126" s="381"/>
      <c r="H126" s="381"/>
      <c r="I126" s="381"/>
      <c r="J126" s="381"/>
      <c r="K126" s="381"/>
      <c r="L126" s="381"/>
      <c r="M126" s="381"/>
      <c r="N126" s="381"/>
      <c r="O126" s="381"/>
      <c r="P126" s="381"/>
      <c r="Q126" s="381"/>
      <c r="R126" s="381"/>
      <c r="S126" s="381"/>
      <c r="T126" s="381"/>
      <c r="U126" s="381"/>
      <c r="V126" s="381"/>
      <c r="W126" s="381"/>
      <c r="X126" s="381"/>
      <c r="Y126" s="381"/>
      <c r="Z126" s="381"/>
      <c r="AA126" s="381"/>
      <c r="AB126" s="381"/>
      <c r="AC126" s="381"/>
      <c r="AD126" s="381"/>
      <c r="AE126" s="381"/>
      <c r="AF126" s="381"/>
      <c r="AG126" s="381"/>
      <c r="AH126" s="381"/>
      <c r="AI126" s="381"/>
      <c r="AJ126" s="381"/>
      <c r="AK126" s="381"/>
      <c r="AL126" s="381"/>
      <c r="AM126" s="381"/>
      <c r="AN126" s="381"/>
      <c r="AO126" s="381"/>
      <c r="AP126" s="381"/>
      <c r="AQ126" s="381"/>
      <c r="AR126" s="381"/>
      <c r="AS126" s="381"/>
      <c r="AT126" s="381"/>
      <c r="AU126" s="381"/>
      <c r="AV126" s="381"/>
      <c r="AW126" s="381"/>
      <c r="AX126" s="381"/>
      <c r="AY126" s="381"/>
      <c r="AZ126" s="381"/>
    </row>
    <row r="127" spans="1:52" s="371" customFormat="1" x14ac:dyDescent="0.2">
      <c r="A127" s="395"/>
      <c r="B127" s="395"/>
      <c r="C127" s="18"/>
      <c r="D127" s="381"/>
      <c r="E127" s="381"/>
      <c r="F127" s="381"/>
      <c r="G127" s="381"/>
      <c r="H127" s="381"/>
      <c r="I127" s="381"/>
      <c r="J127" s="381"/>
      <c r="K127" s="381"/>
      <c r="L127" s="381"/>
      <c r="M127" s="381"/>
      <c r="N127" s="381"/>
      <c r="O127" s="381"/>
      <c r="P127" s="381"/>
      <c r="Q127" s="381"/>
      <c r="R127" s="381"/>
      <c r="S127" s="381"/>
      <c r="T127" s="381"/>
      <c r="U127" s="381"/>
      <c r="V127" s="381"/>
      <c r="W127" s="381"/>
      <c r="X127" s="381"/>
      <c r="Y127" s="381"/>
      <c r="Z127" s="381"/>
      <c r="AA127" s="381"/>
      <c r="AB127" s="381"/>
      <c r="AC127" s="381"/>
      <c r="AD127" s="381"/>
      <c r="AE127" s="381"/>
      <c r="AF127" s="381"/>
      <c r="AG127" s="381"/>
      <c r="AH127" s="381"/>
      <c r="AI127" s="381"/>
      <c r="AJ127" s="381"/>
      <c r="AK127" s="381"/>
      <c r="AL127" s="381"/>
      <c r="AM127" s="381"/>
      <c r="AN127" s="381"/>
      <c r="AO127" s="381"/>
      <c r="AP127" s="381"/>
      <c r="AQ127" s="381"/>
      <c r="AR127" s="381"/>
      <c r="AS127" s="381"/>
      <c r="AT127" s="381"/>
      <c r="AU127" s="381"/>
      <c r="AV127" s="381"/>
      <c r="AW127" s="381"/>
      <c r="AX127" s="381"/>
      <c r="AY127" s="381"/>
      <c r="AZ127" s="381"/>
    </row>
    <row r="128" spans="1:52" s="371" customFormat="1" x14ac:dyDescent="0.2">
      <c r="A128" s="395"/>
      <c r="B128" s="395"/>
      <c r="C128" s="18"/>
      <c r="D128" s="381"/>
      <c r="E128" s="381"/>
      <c r="F128" s="381"/>
      <c r="G128" s="381"/>
      <c r="H128" s="381"/>
      <c r="I128" s="381"/>
      <c r="J128" s="381"/>
      <c r="K128" s="381"/>
      <c r="L128" s="381"/>
      <c r="M128" s="381"/>
      <c r="N128" s="381"/>
      <c r="O128" s="381"/>
      <c r="P128" s="381"/>
      <c r="Q128" s="381"/>
      <c r="R128" s="381"/>
      <c r="S128" s="381"/>
      <c r="T128" s="381"/>
      <c r="U128" s="381"/>
      <c r="V128" s="381"/>
      <c r="W128" s="381"/>
      <c r="X128" s="381"/>
      <c r="Y128" s="381"/>
      <c r="Z128" s="381"/>
      <c r="AA128" s="381"/>
      <c r="AB128" s="381"/>
      <c r="AC128" s="381"/>
      <c r="AD128" s="381"/>
      <c r="AE128" s="381"/>
      <c r="AF128" s="381"/>
      <c r="AG128" s="381"/>
      <c r="AH128" s="381"/>
      <c r="AI128" s="381"/>
      <c r="AJ128" s="381"/>
      <c r="AK128" s="381"/>
      <c r="AL128" s="381"/>
      <c r="AM128" s="381"/>
      <c r="AN128" s="381"/>
      <c r="AO128" s="381"/>
      <c r="AP128" s="381"/>
      <c r="AQ128" s="381"/>
      <c r="AR128" s="381"/>
      <c r="AS128" s="381"/>
      <c r="AT128" s="381"/>
      <c r="AU128" s="381"/>
      <c r="AV128" s="381"/>
      <c r="AW128" s="381"/>
      <c r="AX128" s="381"/>
      <c r="AY128" s="381"/>
      <c r="AZ128" s="381"/>
    </row>
    <row r="129" spans="1:52" s="371" customFormat="1" x14ac:dyDescent="0.2">
      <c r="A129" s="395"/>
      <c r="B129" s="395"/>
      <c r="C129" s="18"/>
      <c r="D129" s="381"/>
      <c r="E129" s="381"/>
      <c r="F129" s="381"/>
      <c r="G129" s="381"/>
      <c r="H129" s="381"/>
      <c r="I129" s="381"/>
      <c r="J129" s="381"/>
      <c r="K129" s="381"/>
      <c r="L129" s="381"/>
      <c r="M129" s="381"/>
      <c r="N129" s="381"/>
      <c r="O129" s="381"/>
      <c r="P129" s="381"/>
      <c r="Q129" s="381"/>
      <c r="R129" s="381"/>
      <c r="S129" s="381"/>
      <c r="T129" s="381"/>
      <c r="U129" s="381"/>
      <c r="V129" s="381"/>
      <c r="W129" s="381"/>
      <c r="X129" s="381"/>
      <c r="Y129" s="381"/>
      <c r="Z129" s="381"/>
      <c r="AA129" s="381"/>
      <c r="AB129" s="381"/>
      <c r="AC129" s="381"/>
      <c r="AD129" s="381"/>
      <c r="AE129" s="381"/>
      <c r="AF129" s="381"/>
      <c r="AG129" s="381"/>
      <c r="AH129" s="381"/>
      <c r="AI129" s="381"/>
      <c r="AJ129" s="381"/>
      <c r="AK129" s="381"/>
      <c r="AL129" s="381"/>
      <c r="AM129" s="381"/>
      <c r="AN129" s="381"/>
      <c r="AO129" s="381"/>
      <c r="AP129" s="381"/>
      <c r="AQ129" s="381"/>
      <c r="AR129" s="381"/>
      <c r="AS129" s="381"/>
      <c r="AT129" s="381"/>
      <c r="AU129" s="381"/>
      <c r="AV129" s="381"/>
      <c r="AW129" s="381"/>
      <c r="AX129" s="381"/>
      <c r="AY129" s="381"/>
      <c r="AZ129" s="381"/>
    </row>
    <row r="130" spans="1:52" s="371" customFormat="1" x14ac:dyDescent="0.2">
      <c r="A130" s="395"/>
      <c r="B130" s="395"/>
      <c r="C130" s="18"/>
      <c r="D130" s="381"/>
      <c r="E130" s="381"/>
      <c r="F130" s="381"/>
      <c r="G130" s="381"/>
      <c r="H130" s="381"/>
      <c r="I130" s="381"/>
      <c r="J130" s="381"/>
      <c r="K130" s="381"/>
      <c r="L130" s="381"/>
      <c r="M130" s="381"/>
      <c r="N130" s="381"/>
      <c r="O130" s="381"/>
      <c r="P130" s="381"/>
      <c r="Q130" s="381"/>
      <c r="R130" s="381"/>
      <c r="S130" s="381"/>
      <c r="T130" s="381"/>
      <c r="U130" s="381"/>
      <c r="V130" s="381"/>
      <c r="W130" s="381"/>
      <c r="X130" s="381"/>
      <c r="Y130" s="381"/>
      <c r="Z130" s="381"/>
      <c r="AA130" s="381"/>
      <c r="AB130" s="381"/>
      <c r="AC130" s="381"/>
      <c r="AD130" s="381"/>
      <c r="AE130" s="381"/>
      <c r="AF130" s="381"/>
      <c r="AG130" s="381"/>
      <c r="AH130" s="381"/>
      <c r="AI130" s="381"/>
      <c r="AJ130" s="381"/>
      <c r="AK130" s="381"/>
      <c r="AL130" s="381"/>
      <c r="AM130" s="381"/>
      <c r="AN130" s="381"/>
      <c r="AO130" s="381"/>
      <c r="AP130" s="381"/>
      <c r="AQ130" s="381"/>
      <c r="AR130" s="381"/>
      <c r="AS130" s="381"/>
      <c r="AT130" s="381"/>
      <c r="AU130" s="381"/>
      <c r="AV130" s="381"/>
      <c r="AW130" s="381"/>
      <c r="AX130" s="381"/>
      <c r="AY130" s="381"/>
      <c r="AZ130" s="381"/>
    </row>
    <row r="131" spans="1:52" s="371" customFormat="1" x14ac:dyDescent="0.2">
      <c r="A131" s="395"/>
      <c r="B131" s="395"/>
      <c r="C131" s="18"/>
      <c r="D131" s="381"/>
      <c r="E131" s="381"/>
      <c r="F131" s="381"/>
      <c r="G131" s="381"/>
      <c r="H131" s="381"/>
      <c r="I131" s="381"/>
      <c r="J131" s="381"/>
      <c r="K131" s="381"/>
      <c r="L131" s="381"/>
      <c r="M131" s="381"/>
      <c r="N131" s="381"/>
      <c r="O131" s="381"/>
      <c r="P131" s="381"/>
      <c r="Q131" s="381"/>
      <c r="R131" s="381"/>
      <c r="S131" s="381"/>
      <c r="T131" s="381"/>
      <c r="U131" s="381"/>
      <c r="V131" s="381"/>
      <c r="W131" s="381"/>
      <c r="X131" s="381"/>
      <c r="Y131" s="381"/>
      <c r="Z131" s="381"/>
      <c r="AA131" s="381"/>
      <c r="AB131" s="381"/>
      <c r="AC131" s="381"/>
      <c r="AD131" s="381"/>
      <c r="AE131" s="381"/>
      <c r="AF131" s="381"/>
      <c r="AG131" s="381"/>
      <c r="AH131" s="381"/>
      <c r="AI131" s="381"/>
      <c r="AJ131" s="381"/>
      <c r="AK131" s="381"/>
      <c r="AL131" s="381"/>
      <c r="AM131" s="381"/>
      <c r="AN131" s="381"/>
      <c r="AO131" s="381"/>
      <c r="AP131" s="381"/>
      <c r="AQ131" s="381"/>
      <c r="AR131" s="381"/>
      <c r="AS131" s="381"/>
      <c r="AT131" s="381"/>
      <c r="AU131" s="381"/>
      <c r="AV131" s="381"/>
      <c r="AW131" s="381"/>
      <c r="AX131" s="381"/>
      <c r="AY131" s="381"/>
      <c r="AZ131" s="381"/>
    </row>
    <row r="132" spans="1:52" s="371" customFormat="1" x14ac:dyDescent="0.2">
      <c r="A132" s="395"/>
      <c r="B132" s="395"/>
      <c r="C132" s="18"/>
      <c r="D132" s="381"/>
      <c r="E132" s="381"/>
      <c r="F132" s="381"/>
      <c r="G132" s="381"/>
      <c r="H132" s="381"/>
      <c r="I132" s="381"/>
      <c r="J132" s="381"/>
      <c r="K132" s="381"/>
      <c r="L132" s="381"/>
      <c r="M132" s="381"/>
      <c r="N132" s="381"/>
      <c r="O132" s="381"/>
      <c r="P132" s="381"/>
      <c r="Q132" s="381"/>
      <c r="R132" s="381"/>
      <c r="S132" s="381"/>
      <c r="T132" s="381"/>
      <c r="U132" s="381"/>
      <c r="V132" s="381"/>
      <c r="W132" s="381"/>
      <c r="X132" s="381"/>
      <c r="Y132" s="381"/>
      <c r="Z132" s="381"/>
      <c r="AA132" s="381"/>
      <c r="AB132" s="381"/>
      <c r="AC132" s="381"/>
      <c r="AD132" s="381"/>
      <c r="AE132" s="381"/>
      <c r="AF132" s="381"/>
      <c r="AG132" s="381"/>
      <c r="AH132" s="381"/>
      <c r="AI132" s="381"/>
      <c r="AJ132" s="381"/>
      <c r="AK132" s="381"/>
      <c r="AL132" s="381"/>
      <c r="AM132" s="381"/>
      <c r="AN132" s="381"/>
      <c r="AO132" s="381"/>
      <c r="AP132" s="381"/>
      <c r="AQ132" s="381"/>
      <c r="AR132" s="381"/>
      <c r="AS132" s="381"/>
      <c r="AT132" s="381"/>
      <c r="AU132" s="381"/>
      <c r="AV132" s="381"/>
      <c r="AW132" s="381"/>
      <c r="AX132" s="381"/>
      <c r="AY132" s="381"/>
      <c r="AZ132" s="381"/>
    </row>
    <row r="133" spans="1:52" s="371" customFormat="1" x14ac:dyDescent="0.2">
      <c r="A133" s="395"/>
      <c r="B133" s="395"/>
      <c r="C133" s="18"/>
      <c r="D133" s="381"/>
      <c r="E133" s="381"/>
      <c r="F133" s="381"/>
      <c r="G133" s="381"/>
      <c r="H133" s="381"/>
      <c r="I133" s="381"/>
      <c r="J133" s="381"/>
      <c r="K133" s="381"/>
      <c r="L133" s="381"/>
      <c r="M133" s="381"/>
      <c r="N133" s="381"/>
      <c r="O133" s="381"/>
      <c r="P133" s="381"/>
      <c r="Q133" s="381"/>
      <c r="R133" s="381"/>
      <c r="S133" s="381"/>
      <c r="T133" s="381"/>
      <c r="U133" s="381"/>
      <c r="V133" s="381"/>
      <c r="W133" s="381"/>
      <c r="X133" s="381"/>
      <c r="Y133" s="381"/>
      <c r="Z133" s="381"/>
      <c r="AA133" s="381"/>
      <c r="AB133" s="381"/>
      <c r="AC133" s="381"/>
      <c r="AD133" s="381"/>
      <c r="AE133" s="381"/>
      <c r="AF133" s="381"/>
      <c r="AG133" s="381"/>
      <c r="AH133" s="381"/>
      <c r="AI133" s="381"/>
      <c r="AJ133" s="381"/>
      <c r="AK133" s="381"/>
      <c r="AL133" s="381"/>
      <c r="AM133" s="381"/>
      <c r="AN133" s="381"/>
      <c r="AO133" s="381"/>
      <c r="AP133" s="381"/>
      <c r="AQ133" s="381"/>
      <c r="AR133" s="381"/>
      <c r="AS133" s="381"/>
      <c r="AT133" s="381"/>
      <c r="AU133" s="381"/>
      <c r="AV133" s="381"/>
      <c r="AW133" s="381"/>
      <c r="AX133" s="381"/>
      <c r="AY133" s="381"/>
      <c r="AZ133" s="381"/>
    </row>
    <row r="134" spans="1:52" s="371" customFormat="1" x14ac:dyDescent="0.2">
      <c r="A134" s="395"/>
      <c r="B134" s="395"/>
      <c r="C134" s="18"/>
      <c r="D134" s="381"/>
      <c r="E134" s="381"/>
      <c r="F134" s="381"/>
      <c r="G134" s="381"/>
      <c r="H134" s="381"/>
      <c r="I134" s="381"/>
      <c r="J134" s="381"/>
      <c r="K134" s="381"/>
      <c r="L134" s="381"/>
      <c r="M134" s="381"/>
      <c r="N134" s="381"/>
      <c r="O134" s="381"/>
      <c r="P134" s="381"/>
      <c r="Q134" s="381"/>
      <c r="R134" s="381"/>
      <c r="S134" s="381"/>
      <c r="T134" s="381"/>
      <c r="U134" s="381"/>
      <c r="V134" s="381"/>
      <c r="W134" s="381"/>
      <c r="X134" s="381"/>
      <c r="Y134" s="381"/>
      <c r="Z134" s="381"/>
      <c r="AA134" s="381"/>
      <c r="AB134" s="381"/>
      <c r="AC134" s="381"/>
      <c r="AD134" s="381"/>
      <c r="AE134" s="381"/>
      <c r="AF134" s="381"/>
      <c r="AG134" s="381"/>
      <c r="AH134" s="381"/>
      <c r="AI134" s="381"/>
      <c r="AJ134" s="381"/>
      <c r="AK134" s="381"/>
      <c r="AL134" s="381"/>
      <c r="AM134" s="381"/>
      <c r="AN134" s="381"/>
      <c r="AO134" s="381"/>
      <c r="AP134" s="381"/>
      <c r="AQ134" s="381"/>
      <c r="AR134" s="381"/>
      <c r="AS134" s="381"/>
      <c r="AT134" s="381"/>
      <c r="AU134" s="381"/>
      <c r="AV134" s="381"/>
      <c r="AW134" s="381"/>
      <c r="AX134" s="381"/>
      <c r="AY134" s="381"/>
      <c r="AZ134" s="381"/>
    </row>
    <row r="135" spans="1:52" s="371" customFormat="1" x14ac:dyDescent="0.2">
      <c r="A135" s="395"/>
      <c r="B135" s="395"/>
      <c r="C135" s="18"/>
      <c r="D135" s="381"/>
      <c r="E135" s="381"/>
      <c r="F135" s="381"/>
      <c r="G135" s="381"/>
      <c r="H135" s="381"/>
      <c r="I135" s="381"/>
      <c r="J135" s="381"/>
      <c r="K135" s="381"/>
      <c r="L135" s="381"/>
      <c r="M135" s="381"/>
      <c r="N135" s="381"/>
      <c r="O135" s="381"/>
      <c r="P135" s="381"/>
      <c r="Q135" s="381"/>
      <c r="R135" s="381"/>
      <c r="S135" s="381"/>
      <c r="T135" s="381"/>
      <c r="U135" s="381"/>
      <c r="V135" s="381"/>
      <c r="W135" s="381"/>
      <c r="X135" s="381"/>
      <c r="Y135" s="381"/>
      <c r="Z135" s="381"/>
      <c r="AA135" s="381"/>
      <c r="AB135" s="381"/>
      <c r="AC135" s="381"/>
      <c r="AD135" s="381"/>
      <c r="AE135" s="381"/>
      <c r="AF135" s="381"/>
      <c r="AG135" s="381"/>
      <c r="AH135" s="381"/>
      <c r="AI135" s="381"/>
      <c r="AJ135" s="381"/>
      <c r="AK135" s="381"/>
      <c r="AL135" s="381"/>
      <c r="AM135" s="381"/>
      <c r="AN135" s="381"/>
      <c r="AO135" s="381"/>
      <c r="AP135" s="381"/>
      <c r="AQ135" s="381"/>
      <c r="AR135" s="381"/>
      <c r="AS135" s="381"/>
      <c r="AT135" s="381"/>
      <c r="AU135" s="381"/>
      <c r="AV135" s="381"/>
      <c r="AW135" s="381"/>
      <c r="AX135" s="381"/>
      <c r="AY135" s="381"/>
      <c r="AZ135" s="381"/>
    </row>
    <row r="136" spans="1:52" s="371" customFormat="1" x14ac:dyDescent="0.2">
      <c r="A136" s="395"/>
      <c r="B136" s="395"/>
      <c r="C136" s="18"/>
      <c r="D136" s="381"/>
      <c r="E136" s="381"/>
      <c r="F136" s="381"/>
      <c r="G136" s="381"/>
      <c r="H136" s="381"/>
      <c r="I136" s="381"/>
      <c r="J136" s="381"/>
      <c r="K136" s="381"/>
      <c r="L136" s="381"/>
      <c r="M136" s="381"/>
      <c r="N136" s="381"/>
      <c r="O136" s="381"/>
      <c r="P136" s="381"/>
      <c r="Q136" s="381"/>
      <c r="R136" s="381"/>
      <c r="S136" s="381"/>
      <c r="T136" s="381"/>
      <c r="U136" s="381"/>
      <c r="V136" s="381"/>
      <c r="W136" s="381"/>
      <c r="X136" s="381"/>
      <c r="Y136" s="381"/>
      <c r="Z136" s="381"/>
      <c r="AA136" s="381"/>
      <c r="AB136" s="381"/>
      <c r="AC136" s="381"/>
      <c r="AD136" s="381"/>
      <c r="AE136" s="381"/>
      <c r="AF136" s="381"/>
      <c r="AG136" s="381"/>
      <c r="AH136" s="381"/>
      <c r="AI136" s="381"/>
      <c r="AJ136" s="381"/>
      <c r="AK136" s="381"/>
      <c r="AL136" s="381"/>
      <c r="AM136" s="381"/>
      <c r="AN136" s="381"/>
      <c r="AO136" s="381"/>
      <c r="AP136" s="381"/>
      <c r="AQ136" s="381"/>
      <c r="AR136" s="381"/>
      <c r="AS136" s="381"/>
      <c r="AT136" s="381"/>
      <c r="AU136" s="381"/>
      <c r="AV136" s="381"/>
      <c r="AW136" s="381"/>
      <c r="AX136" s="381"/>
      <c r="AY136" s="381"/>
      <c r="AZ136" s="381"/>
    </row>
    <row r="137" spans="1:52" s="371" customFormat="1" x14ac:dyDescent="0.2">
      <c r="A137" s="395"/>
      <c r="B137" s="395"/>
      <c r="C137" s="18"/>
      <c r="D137" s="381"/>
      <c r="E137" s="381"/>
      <c r="F137" s="381"/>
      <c r="G137" s="381"/>
      <c r="H137" s="381"/>
      <c r="I137" s="381"/>
      <c r="J137" s="381"/>
      <c r="K137" s="381"/>
      <c r="L137" s="381"/>
      <c r="M137" s="381"/>
      <c r="N137" s="381"/>
      <c r="O137" s="381"/>
      <c r="P137" s="381"/>
      <c r="Q137" s="381"/>
      <c r="R137" s="381"/>
      <c r="S137" s="381"/>
      <c r="T137" s="381"/>
      <c r="U137" s="381"/>
      <c r="V137" s="381"/>
      <c r="W137" s="381"/>
      <c r="X137" s="381"/>
      <c r="Y137" s="381"/>
      <c r="Z137" s="381"/>
      <c r="AA137" s="381"/>
      <c r="AB137" s="381"/>
      <c r="AC137" s="381"/>
      <c r="AD137" s="381"/>
      <c r="AE137" s="381"/>
      <c r="AF137" s="381"/>
      <c r="AG137" s="381"/>
      <c r="AH137" s="381"/>
      <c r="AI137" s="381"/>
      <c r="AJ137" s="381"/>
      <c r="AK137" s="381"/>
      <c r="AL137" s="381"/>
      <c r="AM137" s="381"/>
      <c r="AN137" s="381"/>
      <c r="AO137" s="381"/>
      <c r="AP137" s="381"/>
      <c r="AQ137" s="381"/>
      <c r="AR137" s="381"/>
      <c r="AS137" s="381"/>
      <c r="AT137" s="381"/>
      <c r="AU137" s="381"/>
      <c r="AV137" s="381"/>
      <c r="AW137" s="381"/>
      <c r="AX137" s="381"/>
      <c r="AY137" s="381"/>
      <c r="AZ137" s="381"/>
    </row>
    <row r="138" spans="1:52" s="371" customFormat="1" x14ac:dyDescent="0.2">
      <c r="A138" s="395"/>
      <c r="B138" s="395"/>
      <c r="C138" s="18"/>
      <c r="D138" s="381"/>
      <c r="E138" s="381"/>
      <c r="F138" s="381"/>
      <c r="G138" s="381"/>
      <c r="H138" s="381"/>
      <c r="I138" s="381"/>
      <c r="J138" s="381"/>
      <c r="K138" s="381"/>
      <c r="L138" s="381"/>
      <c r="M138" s="381"/>
      <c r="N138" s="381"/>
      <c r="O138" s="381"/>
      <c r="P138" s="381"/>
      <c r="Q138" s="381"/>
      <c r="R138" s="381"/>
      <c r="S138" s="381"/>
      <c r="T138" s="381"/>
      <c r="U138" s="381"/>
      <c r="V138" s="381"/>
      <c r="W138" s="381"/>
      <c r="X138" s="381"/>
      <c r="Y138" s="381"/>
      <c r="Z138" s="381"/>
      <c r="AA138" s="381"/>
      <c r="AB138" s="381"/>
      <c r="AC138" s="381"/>
      <c r="AD138" s="381"/>
      <c r="AE138" s="381"/>
      <c r="AF138" s="381"/>
      <c r="AG138" s="381"/>
      <c r="AH138" s="381"/>
      <c r="AI138" s="381"/>
      <c r="AJ138" s="381"/>
      <c r="AK138" s="381"/>
      <c r="AL138" s="381"/>
      <c r="AM138" s="381"/>
      <c r="AN138" s="381"/>
      <c r="AO138" s="381"/>
      <c r="AP138" s="381"/>
      <c r="AQ138" s="381"/>
      <c r="AR138" s="381"/>
      <c r="AS138" s="381"/>
      <c r="AT138" s="381"/>
      <c r="AU138" s="381"/>
      <c r="AV138" s="381"/>
      <c r="AW138" s="381"/>
      <c r="AX138" s="381"/>
      <c r="AY138" s="381"/>
      <c r="AZ138" s="381"/>
    </row>
    <row r="139" spans="1:52" s="371" customFormat="1" x14ac:dyDescent="0.2">
      <c r="A139" s="395"/>
      <c r="B139" s="395"/>
      <c r="C139" s="18"/>
      <c r="D139" s="381"/>
      <c r="E139" s="381"/>
      <c r="F139" s="381"/>
      <c r="G139" s="381"/>
      <c r="H139" s="381"/>
      <c r="I139" s="381"/>
      <c r="J139" s="381"/>
      <c r="K139" s="381"/>
      <c r="L139" s="381"/>
      <c r="M139" s="381"/>
      <c r="N139" s="381"/>
      <c r="O139" s="381"/>
      <c r="P139" s="381"/>
      <c r="Q139" s="381"/>
      <c r="R139" s="381"/>
      <c r="S139" s="381"/>
      <c r="T139" s="381"/>
      <c r="U139" s="381"/>
      <c r="V139" s="381"/>
      <c r="W139" s="381"/>
      <c r="X139" s="381"/>
      <c r="Y139" s="381"/>
      <c r="Z139" s="381"/>
      <c r="AA139" s="381"/>
      <c r="AB139" s="381"/>
      <c r="AC139" s="381"/>
      <c r="AD139" s="381"/>
      <c r="AE139" s="381"/>
      <c r="AF139" s="381"/>
      <c r="AG139" s="381"/>
      <c r="AH139" s="381"/>
      <c r="AI139" s="381"/>
      <c r="AJ139" s="381"/>
      <c r="AK139" s="381"/>
      <c r="AL139" s="381"/>
      <c r="AM139" s="381"/>
      <c r="AN139" s="381"/>
      <c r="AO139" s="381"/>
      <c r="AP139" s="381"/>
      <c r="AQ139" s="381"/>
      <c r="AR139" s="381"/>
      <c r="AS139" s="381"/>
      <c r="AT139" s="381"/>
      <c r="AU139" s="381"/>
      <c r="AV139" s="381"/>
      <c r="AW139" s="381"/>
      <c r="AX139" s="381"/>
      <c r="AY139" s="381"/>
      <c r="AZ139" s="381"/>
    </row>
    <row r="140" spans="1:52" s="371" customFormat="1" x14ac:dyDescent="0.2">
      <c r="A140" s="395"/>
      <c r="B140" s="395"/>
      <c r="C140" s="18"/>
      <c r="D140" s="381"/>
      <c r="E140" s="381"/>
      <c r="F140" s="381"/>
      <c r="G140" s="381"/>
      <c r="H140" s="381"/>
      <c r="I140" s="381"/>
      <c r="J140" s="381"/>
      <c r="K140" s="381"/>
      <c r="L140" s="381"/>
      <c r="M140" s="381"/>
      <c r="N140" s="381"/>
      <c r="O140" s="381"/>
      <c r="P140" s="381"/>
      <c r="Q140" s="381"/>
      <c r="R140" s="381"/>
      <c r="S140" s="381"/>
      <c r="T140" s="381"/>
      <c r="U140" s="381"/>
      <c r="V140" s="381"/>
      <c r="W140" s="381"/>
      <c r="X140" s="381"/>
      <c r="Y140" s="381"/>
      <c r="Z140" s="381"/>
      <c r="AA140" s="381"/>
      <c r="AB140" s="381"/>
      <c r="AC140" s="381"/>
      <c r="AD140" s="381"/>
      <c r="AE140" s="381"/>
      <c r="AF140" s="381"/>
      <c r="AG140" s="381"/>
      <c r="AH140" s="381"/>
      <c r="AI140" s="381"/>
      <c r="AJ140" s="381"/>
      <c r="AK140" s="381"/>
      <c r="AL140" s="381"/>
      <c r="AM140" s="381"/>
      <c r="AN140" s="381"/>
      <c r="AO140" s="381"/>
      <c r="AP140" s="381"/>
      <c r="AQ140" s="381"/>
      <c r="AR140" s="381"/>
      <c r="AS140" s="381"/>
      <c r="AT140" s="381"/>
      <c r="AU140" s="381"/>
      <c r="AV140" s="381"/>
      <c r="AW140" s="381"/>
      <c r="AX140" s="381"/>
      <c r="AY140" s="381"/>
      <c r="AZ140" s="381"/>
    </row>
    <row r="141" spans="1:52" s="371" customFormat="1" x14ac:dyDescent="0.2">
      <c r="A141" s="395"/>
      <c r="B141" s="395"/>
      <c r="C141" s="18"/>
      <c r="D141" s="381"/>
      <c r="E141" s="381"/>
      <c r="F141" s="381"/>
      <c r="G141" s="381"/>
      <c r="H141" s="381"/>
      <c r="I141" s="381"/>
      <c r="J141" s="381"/>
      <c r="K141" s="381"/>
      <c r="L141" s="381"/>
      <c r="M141" s="381"/>
      <c r="N141" s="381"/>
      <c r="O141" s="381"/>
      <c r="P141" s="381"/>
      <c r="Q141" s="381"/>
      <c r="R141" s="381"/>
      <c r="S141" s="381"/>
      <c r="T141" s="381"/>
      <c r="U141" s="381"/>
      <c r="V141" s="381"/>
      <c r="W141" s="381"/>
      <c r="X141" s="381"/>
      <c r="Y141" s="381"/>
      <c r="Z141" s="381"/>
      <c r="AA141" s="381"/>
      <c r="AB141" s="381"/>
      <c r="AC141" s="381"/>
      <c r="AD141" s="381"/>
      <c r="AE141" s="381"/>
      <c r="AF141" s="381"/>
      <c r="AG141" s="381"/>
      <c r="AH141" s="381"/>
      <c r="AI141" s="381"/>
      <c r="AJ141" s="381"/>
      <c r="AK141" s="381"/>
      <c r="AL141" s="381"/>
      <c r="AM141" s="381"/>
      <c r="AN141" s="381"/>
      <c r="AO141" s="381"/>
      <c r="AP141" s="381"/>
      <c r="AQ141" s="381"/>
      <c r="AR141" s="381"/>
      <c r="AS141" s="381"/>
      <c r="AT141" s="381"/>
      <c r="AU141" s="381"/>
      <c r="AV141" s="381"/>
      <c r="AW141" s="381"/>
      <c r="AX141" s="381"/>
      <c r="AY141" s="381"/>
      <c r="AZ141" s="381"/>
    </row>
    <row r="142" spans="1:52" s="371" customFormat="1" x14ac:dyDescent="0.2">
      <c r="A142" s="395"/>
      <c r="B142" s="395"/>
      <c r="C142" s="18"/>
      <c r="D142" s="381"/>
      <c r="E142" s="381"/>
      <c r="F142" s="381"/>
      <c r="G142" s="381"/>
      <c r="H142" s="381"/>
      <c r="I142" s="381"/>
      <c r="J142" s="381"/>
      <c r="K142" s="381"/>
      <c r="L142" s="381"/>
      <c r="M142" s="381"/>
      <c r="N142" s="381"/>
      <c r="O142" s="381"/>
      <c r="P142" s="381"/>
      <c r="Q142" s="381"/>
      <c r="R142" s="381"/>
      <c r="S142" s="381"/>
      <c r="T142" s="381"/>
      <c r="U142" s="381"/>
      <c r="V142" s="381"/>
      <c r="W142" s="381"/>
      <c r="X142" s="381"/>
      <c r="Y142" s="381"/>
      <c r="Z142" s="381"/>
      <c r="AA142" s="381"/>
      <c r="AB142" s="381"/>
      <c r="AC142" s="381"/>
      <c r="AD142" s="381"/>
      <c r="AE142" s="381"/>
      <c r="AF142" s="381"/>
      <c r="AG142" s="381"/>
      <c r="AH142" s="381"/>
      <c r="AI142" s="381"/>
      <c r="AJ142" s="381"/>
      <c r="AK142" s="381"/>
      <c r="AL142" s="381"/>
      <c r="AM142" s="381"/>
      <c r="AN142" s="381"/>
      <c r="AO142" s="381"/>
      <c r="AP142" s="381"/>
      <c r="AQ142" s="381"/>
      <c r="AR142" s="381"/>
      <c r="AS142" s="381"/>
      <c r="AT142" s="381"/>
      <c r="AU142" s="381"/>
      <c r="AV142" s="381"/>
      <c r="AW142" s="381"/>
      <c r="AX142" s="381"/>
      <c r="AY142" s="381"/>
      <c r="AZ142" s="381"/>
    </row>
    <row r="143" spans="1:52" s="371" customFormat="1" x14ac:dyDescent="0.2">
      <c r="A143" s="395"/>
      <c r="B143" s="395"/>
      <c r="C143" s="18"/>
      <c r="D143" s="381"/>
      <c r="E143" s="381"/>
      <c r="F143" s="381"/>
      <c r="G143" s="381"/>
      <c r="H143" s="381"/>
      <c r="I143" s="381"/>
      <c r="J143" s="381"/>
      <c r="K143" s="381"/>
      <c r="L143" s="381"/>
      <c r="M143" s="381"/>
      <c r="N143" s="381"/>
      <c r="O143" s="381"/>
      <c r="P143" s="381"/>
      <c r="Q143" s="381"/>
      <c r="R143" s="381"/>
      <c r="S143" s="381"/>
      <c r="T143" s="381"/>
      <c r="U143" s="381"/>
      <c r="V143" s="381"/>
      <c r="W143" s="381"/>
      <c r="X143" s="381"/>
      <c r="Y143" s="381"/>
      <c r="Z143" s="381"/>
      <c r="AA143" s="381"/>
      <c r="AB143" s="381"/>
      <c r="AC143" s="381"/>
      <c r="AD143" s="381"/>
      <c r="AE143" s="381"/>
      <c r="AF143" s="381"/>
      <c r="AG143" s="381"/>
      <c r="AH143" s="381"/>
      <c r="AI143" s="381"/>
      <c r="AJ143" s="381"/>
      <c r="AK143" s="381"/>
      <c r="AL143" s="381"/>
      <c r="AM143" s="381"/>
      <c r="AN143" s="381"/>
      <c r="AO143" s="381"/>
      <c r="AP143" s="381"/>
      <c r="AQ143" s="381"/>
      <c r="AR143" s="381"/>
      <c r="AS143" s="381"/>
      <c r="AT143" s="381"/>
      <c r="AU143" s="381"/>
      <c r="AV143" s="381"/>
      <c r="AW143" s="381"/>
      <c r="AX143" s="381"/>
      <c r="AY143" s="381"/>
      <c r="AZ143" s="381"/>
    </row>
    <row r="144" spans="1:52" s="371" customFormat="1" x14ac:dyDescent="0.2">
      <c r="A144" s="395"/>
      <c r="B144" s="395"/>
      <c r="C144" s="18"/>
      <c r="D144" s="381"/>
      <c r="E144" s="381"/>
      <c r="F144" s="381"/>
      <c r="G144" s="381"/>
      <c r="H144" s="381"/>
      <c r="I144" s="381"/>
      <c r="J144" s="381"/>
      <c r="K144" s="381"/>
      <c r="L144" s="381"/>
      <c r="M144" s="381"/>
      <c r="N144" s="381"/>
      <c r="O144" s="381"/>
      <c r="P144" s="381"/>
      <c r="Q144" s="381"/>
      <c r="R144" s="381"/>
      <c r="S144" s="381"/>
      <c r="T144" s="381"/>
      <c r="U144" s="381"/>
      <c r="V144" s="381"/>
      <c r="W144" s="381"/>
      <c r="X144" s="381"/>
      <c r="Y144" s="381"/>
      <c r="Z144" s="381"/>
      <c r="AA144" s="381"/>
      <c r="AB144" s="381"/>
      <c r="AC144" s="381"/>
      <c r="AD144" s="381"/>
      <c r="AE144" s="381"/>
      <c r="AF144" s="381"/>
      <c r="AG144" s="381"/>
      <c r="AH144" s="381"/>
      <c r="AI144" s="381"/>
      <c r="AJ144" s="381"/>
      <c r="AK144" s="381"/>
      <c r="AL144" s="381"/>
      <c r="AM144" s="381"/>
      <c r="AN144" s="381"/>
      <c r="AO144" s="381"/>
      <c r="AP144" s="381"/>
      <c r="AQ144" s="381"/>
      <c r="AR144" s="381"/>
      <c r="AS144" s="381"/>
      <c r="AT144" s="381"/>
      <c r="AU144" s="381"/>
      <c r="AV144" s="381"/>
      <c r="AW144" s="381"/>
      <c r="AX144" s="381"/>
      <c r="AY144" s="381"/>
      <c r="AZ144" s="381"/>
    </row>
    <row r="145" spans="1:52" s="371" customFormat="1" x14ac:dyDescent="0.2">
      <c r="A145" s="395"/>
      <c r="B145" s="395"/>
      <c r="C145" s="18"/>
      <c r="D145" s="381"/>
      <c r="E145" s="381"/>
      <c r="F145" s="381"/>
      <c r="G145" s="381"/>
      <c r="H145" s="381"/>
      <c r="I145" s="381"/>
      <c r="J145" s="381"/>
      <c r="K145" s="381"/>
      <c r="L145" s="381"/>
      <c r="M145" s="381"/>
      <c r="N145" s="381"/>
      <c r="O145" s="381"/>
      <c r="P145" s="381"/>
      <c r="Q145" s="381"/>
      <c r="R145" s="381"/>
      <c r="S145" s="381"/>
      <c r="T145" s="381"/>
      <c r="U145" s="381"/>
      <c r="V145" s="381"/>
      <c r="W145" s="381"/>
      <c r="X145" s="381"/>
      <c r="Y145" s="381"/>
      <c r="Z145" s="381"/>
      <c r="AA145" s="381"/>
      <c r="AB145" s="381"/>
      <c r="AC145" s="381"/>
      <c r="AD145" s="381"/>
      <c r="AE145" s="381"/>
      <c r="AF145" s="381"/>
      <c r="AG145" s="381"/>
      <c r="AH145" s="381"/>
      <c r="AI145" s="381"/>
      <c r="AJ145" s="381"/>
      <c r="AK145" s="381"/>
      <c r="AL145" s="381"/>
      <c r="AM145" s="381"/>
      <c r="AN145" s="381"/>
      <c r="AO145" s="381"/>
      <c r="AP145" s="381"/>
      <c r="AQ145" s="381"/>
      <c r="AR145" s="381"/>
      <c r="AS145" s="381"/>
      <c r="AT145" s="381"/>
      <c r="AU145" s="381"/>
      <c r="AV145" s="381"/>
      <c r="AW145" s="381"/>
      <c r="AX145" s="381"/>
      <c r="AY145" s="381"/>
      <c r="AZ145" s="381"/>
    </row>
    <row r="146" spans="1:52" s="371" customFormat="1" x14ac:dyDescent="0.2">
      <c r="A146" s="395"/>
      <c r="B146" s="395"/>
      <c r="C146" s="18"/>
      <c r="D146" s="381"/>
      <c r="E146" s="381"/>
      <c r="F146" s="381"/>
      <c r="G146" s="381"/>
      <c r="H146" s="381"/>
      <c r="I146" s="381"/>
      <c r="J146" s="381"/>
      <c r="K146" s="381"/>
      <c r="L146" s="381"/>
      <c r="M146" s="381"/>
      <c r="N146" s="381"/>
      <c r="O146" s="381"/>
      <c r="P146" s="381"/>
      <c r="Q146" s="381"/>
      <c r="R146" s="381"/>
      <c r="S146" s="381"/>
      <c r="T146" s="381"/>
      <c r="U146" s="381"/>
      <c r="V146" s="381"/>
      <c r="W146" s="381"/>
      <c r="X146" s="381"/>
      <c r="Y146" s="381"/>
      <c r="Z146" s="381"/>
      <c r="AA146" s="381"/>
      <c r="AB146" s="381"/>
      <c r="AC146" s="381"/>
      <c r="AD146" s="381"/>
      <c r="AE146" s="381"/>
      <c r="AF146" s="381"/>
      <c r="AG146" s="381"/>
      <c r="AH146" s="381"/>
      <c r="AI146" s="381"/>
      <c r="AJ146" s="381"/>
      <c r="AK146" s="381"/>
      <c r="AL146" s="381"/>
      <c r="AM146" s="381"/>
      <c r="AN146" s="381"/>
      <c r="AO146" s="381"/>
      <c r="AP146" s="381"/>
      <c r="AQ146" s="381"/>
      <c r="AR146" s="381"/>
      <c r="AS146" s="381"/>
      <c r="AT146" s="381"/>
      <c r="AU146" s="381"/>
      <c r="AV146" s="381"/>
      <c r="AW146" s="381"/>
      <c r="AX146" s="381"/>
      <c r="AY146" s="381"/>
      <c r="AZ146" s="381"/>
    </row>
    <row r="147" spans="1:52" s="371" customFormat="1" x14ac:dyDescent="0.2">
      <c r="A147" s="395"/>
      <c r="B147" s="395"/>
      <c r="C147" s="18"/>
      <c r="D147" s="381"/>
      <c r="E147" s="381"/>
      <c r="F147" s="381"/>
      <c r="G147" s="381"/>
      <c r="H147" s="381"/>
      <c r="I147" s="381"/>
      <c r="J147" s="381"/>
      <c r="K147" s="381"/>
      <c r="L147" s="381"/>
      <c r="M147" s="381"/>
      <c r="N147" s="381"/>
      <c r="O147" s="381"/>
      <c r="P147" s="381"/>
      <c r="Q147" s="381"/>
      <c r="R147" s="381"/>
      <c r="S147" s="381"/>
      <c r="T147" s="381"/>
      <c r="U147" s="381"/>
      <c r="V147" s="381"/>
      <c r="W147" s="381"/>
      <c r="X147" s="381"/>
      <c r="Y147" s="381"/>
      <c r="Z147" s="381"/>
      <c r="AA147" s="381"/>
      <c r="AB147" s="381"/>
      <c r="AC147" s="381"/>
      <c r="AD147" s="381"/>
      <c r="AE147" s="381"/>
      <c r="AF147" s="381"/>
      <c r="AG147" s="381"/>
      <c r="AH147" s="381"/>
      <c r="AI147" s="381"/>
      <c r="AJ147" s="381"/>
      <c r="AK147" s="381"/>
      <c r="AL147" s="381"/>
      <c r="AM147" s="381"/>
      <c r="AN147" s="381"/>
      <c r="AO147" s="381"/>
      <c r="AP147" s="381"/>
      <c r="AQ147" s="381"/>
      <c r="AR147" s="381"/>
      <c r="AS147" s="381"/>
      <c r="AT147" s="381"/>
      <c r="AU147" s="381"/>
      <c r="AV147" s="381"/>
      <c r="AW147" s="381"/>
      <c r="AX147" s="381"/>
      <c r="AY147" s="381"/>
      <c r="AZ147" s="381"/>
    </row>
    <row r="148" spans="1:52" s="371" customFormat="1" x14ac:dyDescent="0.2">
      <c r="A148" s="395"/>
      <c r="B148" s="395"/>
      <c r="C148" s="18"/>
      <c r="D148" s="381"/>
      <c r="E148" s="381"/>
      <c r="F148" s="381"/>
      <c r="G148" s="381"/>
      <c r="H148" s="381"/>
      <c r="I148" s="381"/>
      <c r="J148" s="381"/>
      <c r="K148" s="381"/>
      <c r="L148" s="381"/>
      <c r="M148" s="381"/>
      <c r="N148" s="381"/>
      <c r="O148" s="381"/>
      <c r="P148" s="381"/>
      <c r="Q148" s="381"/>
      <c r="R148" s="381"/>
      <c r="S148" s="381"/>
      <c r="T148" s="381"/>
      <c r="U148" s="381"/>
      <c r="V148" s="381"/>
      <c r="W148" s="381"/>
      <c r="X148" s="381"/>
      <c r="Y148" s="381"/>
      <c r="Z148" s="381"/>
      <c r="AA148" s="381"/>
      <c r="AB148" s="381"/>
      <c r="AC148" s="381"/>
      <c r="AD148" s="381"/>
      <c r="AE148" s="381"/>
      <c r="AF148" s="381"/>
      <c r="AG148" s="381"/>
      <c r="AH148" s="381"/>
      <c r="AI148" s="381"/>
      <c r="AJ148" s="381"/>
      <c r="AK148" s="381"/>
      <c r="AL148" s="381"/>
      <c r="AM148" s="381"/>
      <c r="AN148" s="381"/>
      <c r="AO148" s="381"/>
      <c r="AP148" s="381"/>
      <c r="AQ148" s="381"/>
      <c r="AR148" s="381"/>
      <c r="AS148" s="381"/>
      <c r="AT148" s="381"/>
      <c r="AU148" s="381"/>
      <c r="AV148" s="381"/>
      <c r="AW148" s="381"/>
      <c r="AX148" s="381"/>
      <c r="AY148" s="381"/>
      <c r="AZ148" s="381"/>
    </row>
    <row r="149" spans="1:52" s="371" customFormat="1" x14ac:dyDescent="0.2">
      <c r="A149" s="395"/>
      <c r="B149" s="395"/>
      <c r="C149" s="18"/>
      <c r="D149" s="381"/>
      <c r="E149" s="381"/>
      <c r="F149" s="381"/>
      <c r="G149" s="381"/>
      <c r="H149" s="381"/>
      <c r="I149" s="381"/>
      <c r="J149" s="381"/>
      <c r="K149" s="381"/>
      <c r="L149" s="381"/>
      <c r="M149" s="381"/>
      <c r="N149" s="381"/>
      <c r="O149" s="381"/>
      <c r="P149" s="381"/>
      <c r="Q149" s="381"/>
      <c r="R149" s="381"/>
      <c r="S149" s="381"/>
      <c r="T149" s="381"/>
      <c r="U149" s="381"/>
      <c r="V149" s="381"/>
      <c r="W149" s="381"/>
      <c r="X149" s="381"/>
      <c r="Y149" s="381"/>
      <c r="Z149" s="381"/>
      <c r="AA149" s="381"/>
      <c r="AB149" s="381"/>
      <c r="AC149" s="381"/>
      <c r="AD149" s="381"/>
      <c r="AE149" s="381"/>
      <c r="AF149" s="381"/>
      <c r="AG149" s="381"/>
      <c r="AH149" s="381"/>
      <c r="AI149" s="381"/>
      <c r="AJ149" s="381"/>
      <c r="AK149" s="381"/>
      <c r="AL149" s="381"/>
      <c r="AM149" s="381"/>
      <c r="AN149" s="381"/>
      <c r="AO149" s="381"/>
      <c r="AP149" s="381"/>
      <c r="AQ149" s="381"/>
      <c r="AR149" s="381"/>
      <c r="AS149" s="381"/>
      <c r="AT149" s="381"/>
      <c r="AU149" s="381"/>
      <c r="AV149" s="381"/>
      <c r="AW149" s="381"/>
      <c r="AX149" s="381"/>
      <c r="AY149" s="381"/>
      <c r="AZ149" s="381"/>
    </row>
    <row r="150" spans="1:52" s="371" customFormat="1" x14ac:dyDescent="0.2">
      <c r="A150" s="395"/>
      <c r="B150" s="395"/>
      <c r="C150" s="18"/>
      <c r="D150" s="381"/>
      <c r="E150" s="381"/>
      <c r="F150" s="381"/>
      <c r="G150" s="381"/>
      <c r="H150" s="381"/>
      <c r="I150" s="381"/>
      <c r="J150" s="381"/>
      <c r="K150" s="381"/>
      <c r="L150" s="381"/>
      <c r="M150" s="381"/>
      <c r="N150" s="381"/>
      <c r="O150" s="381"/>
      <c r="P150" s="381"/>
      <c r="Q150" s="381"/>
      <c r="R150" s="381"/>
      <c r="S150" s="381"/>
      <c r="T150" s="381"/>
      <c r="U150" s="381"/>
      <c r="V150" s="381"/>
      <c r="W150" s="381"/>
      <c r="X150" s="381"/>
      <c r="Y150" s="381"/>
      <c r="Z150" s="381"/>
      <c r="AA150" s="381"/>
      <c r="AB150" s="381"/>
      <c r="AC150" s="381"/>
      <c r="AD150" s="381"/>
      <c r="AE150" s="381"/>
      <c r="AF150" s="381"/>
      <c r="AG150" s="381"/>
      <c r="AH150" s="381"/>
      <c r="AI150" s="381"/>
      <c r="AJ150" s="381"/>
      <c r="AK150" s="381"/>
      <c r="AL150" s="381"/>
      <c r="AM150" s="381"/>
      <c r="AN150" s="381"/>
      <c r="AO150" s="381"/>
      <c r="AP150" s="381"/>
      <c r="AQ150" s="381"/>
      <c r="AR150" s="381"/>
      <c r="AS150" s="381"/>
      <c r="AT150" s="381"/>
      <c r="AU150" s="381"/>
      <c r="AV150" s="381"/>
      <c r="AW150" s="381"/>
      <c r="AX150" s="381"/>
      <c r="AY150" s="381"/>
      <c r="AZ150" s="381"/>
    </row>
    <row r="151" spans="1:52" s="371" customFormat="1" x14ac:dyDescent="0.2">
      <c r="A151" s="395"/>
      <c r="B151" s="395"/>
      <c r="C151" s="18"/>
      <c r="D151" s="381"/>
      <c r="E151" s="381"/>
      <c r="F151" s="381"/>
      <c r="G151" s="381"/>
      <c r="H151" s="381"/>
      <c r="I151" s="381"/>
      <c r="J151" s="381"/>
      <c r="K151" s="381"/>
      <c r="L151" s="381"/>
      <c r="M151" s="381"/>
      <c r="N151" s="381"/>
      <c r="O151" s="381"/>
      <c r="P151" s="381"/>
      <c r="Q151" s="381"/>
      <c r="R151" s="381"/>
      <c r="S151" s="381"/>
      <c r="T151" s="381"/>
      <c r="U151" s="381"/>
      <c r="V151" s="381"/>
      <c r="W151" s="381"/>
      <c r="X151" s="381"/>
      <c r="Y151" s="381"/>
      <c r="Z151" s="381"/>
      <c r="AA151" s="381"/>
      <c r="AB151" s="381"/>
      <c r="AC151" s="381"/>
      <c r="AD151" s="381"/>
      <c r="AE151" s="381"/>
      <c r="AF151" s="381"/>
      <c r="AG151" s="381"/>
      <c r="AH151" s="381"/>
      <c r="AI151" s="381"/>
      <c r="AJ151" s="381"/>
      <c r="AK151" s="381"/>
      <c r="AL151" s="381"/>
      <c r="AM151" s="381"/>
      <c r="AN151" s="381"/>
      <c r="AO151" s="381"/>
      <c r="AP151" s="381"/>
      <c r="AQ151" s="381"/>
      <c r="AR151" s="381"/>
      <c r="AS151" s="381"/>
      <c r="AT151" s="381"/>
      <c r="AU151" s="381"/>
      <c r="AV151" s="381"/>
      <c r="AW151" s="381"/>
      <c r="AX151" s="381"/>
      <c r="AY151" s="381"/>
      <c r="AZ151" s="381"/>
    </row>
    <row r="152" spans="1:52" s="371" customFormat="1" x14ac:dyDescent="0.2">
      <c r="A152" s="395"/>
      <c r="B152" s="395"/>
      <c r="C152" s="18"/>
      <c r="D152" s="381"/>
      <c r="E152" s="381"/>
      <c r="F152" s="381"/>
      <c r="G152" s="381"/>
      <c r="H152" s="381"/>
      <c r="I152" s="381"/>
      <c r="J152" s="381"/>
      <c r="K152" s="381"/>
      <c r="L152" s="381"/>
      <c r="M152" s="381"/>
      <c r="N152" s="381"/>
      <c r="O152" s="381"/>
      <c r="P152" s="381"/>
      <c r="Q152" s="381"/>
      <c r="R152" s="381"/>
      <c r="S152" s="381"/>
      <c r="T152" s="381"/>
      <c r="U152" s="381"/>
      <c r="V152" s="381"/>
      <c r="W152" s="381"/>
      <c r="X152" s="381"/>
      <c r="Y152" s="381"/>
      <c r="Z152" s="381"/>
      <c r="AA152" s="381"/>
      <c r="AB152" s="381"/>
      <c r="AC152" s="381"/>
      <c r="AD152" s="381"/>
      <c r="AE152" s="381"/>
      <c r="AF152" s="381"/>
      <c r="AG152" s="381"/>
      <c r="AH152" s="381"/>
      <c r="AI152" s="381"/>
      <c r="AJ152" s="381"/>
      <c r="AK152" s="381"/>
      <c r="AL152" s="381"/>
      <c r="AM152" s="381"/>
      <c r="AN152" s="381"/>
      <c r="AO152" s="381"/>
      <c r="AP152" s="381"/>
      <c r="AQ152" s="381"/>
      <c r="AR152" s="381"/>
      <c r="AS152" s="381"/>
      <c r="AT152" s="381"/>
      <c r="AU152" s="381"/>
      <c r="AV152" s="381"/>
      <c r="AW152" s="381"/>
      <c r="AX152" s="381"/>
      <c r="AY152" s="381"/>
      <c r="AZ152" s="381"/>
    </row>
    <row r="153" spans="1:52" s="371" customFormat="1" x14ac:dyDescent="0.2">
      <c r="A153" s="395"/>
      <c r="B153" s="395"/>
      <c r="C153" s="18"/>
      <c r="D153" s="381"/>
      <c r="E153" s="381"/>
      <c r="F153" s="381"/>
      <c r="G153" s="381"/>
      <c r="H153" s="381"/>
      <c r="I153" s="381"/>
      <c r="J153" s="381"/>
      <c r="K153" s="381"/>
      <c r="L153" s="381"/>
      <c r="M153" s="381"/>
      <c r="N153" s="381"/>
      <c r="O153" s="381"/>
      <c r="P153" s="381"/>
      <c r="Q153" s="381"/>
      <c r="R153" s="381"/>
      <c r="S153" s="381"/>
      <c r="T153" s="381"/>
      <c r="U153" s="381"/>
      <c r="V153" s="381"/>
      <c r="W153" s="381"/>
      <c r="X153" s="381"/>
      <c r="Y153" s="381"/>
      <c r="Z153" s="381"/>
      <c r="AA153" s="381"/>
      <c r="AB153" s="381"/>
      <c r="AC153" s="381"/>
      <c r="AD153" s="381"/>
      <c r="AE153" s="381"/>
      <c r="AF153" s="381"/>
      <c r="AG153" s="381"/>
      <c r="AH153" s="381"/>
      <c r="AI153" s="381"/>
      <c r="AJ153" s="381"/>
      <c r="AK153" s="381"/>
      <c r="AL153" s="381"/>
      <c r="AM153" s="381"/>
      <c r="AN153" s="381"/>
      <c r="AO153" s="381"/>
      <c r="AP153" s="381"/>
      <c r="AQ153" s="381"/>
      <c r="AR153" s="381"/>
      <c r="AS153" s="381"/>
      <c r="AT153" s="381"/>
      <c r="AU153" s="381"/>
      <c r="AV153" s="381"/>
      <c r="AW153" s="381"/>
      <c r="AX153" s="381"/>
      <c r="AY153" s="381"/>
      <c r="AZ153" s="381"/>
    </row>
    <row r="154" spans="1:52" s="371" customFormat="1" x14ac:dyDescent="0.2">
      <c r="A154" s="395"/>
      <c r="B154" s="395"/>
      <c r="C154" s="18"/>
      <c r="D154" s="381"/>
      <c r="E154" s="381"/>
      <c r="F154" s="381"/>
      <c r="G154" s="381"/>
      <c r="H154" s="381"/>
      <c r="I154" s="381"/>
      <c r="J154" s="381"/>
      <c r="K154" s="381"/>
      <c r="L154" s="381"/>
      <c r="M154" s="381"/>
      <c r="N154" s="381"/>
      <c r="O154" s="381"/>
      <c r="P154" s="381"/>
      <c r="Q154" s="381"/>
      <c r="R154" s="381"/>
      <c r="S154" s="381"/>
      <c r="T154" s="381"/>
      <c r="U154" s="381"/>
      <c r="V154" s="381"/>
      <c r="W154" s="381"/>
      <c r="X154" s="381"/>
      <c r="Y154" s="381"/>
      <c r="Z154" s="381"/>
      <c r="AA154" s="381"/>
      <c r="AB154" s="381"/>
      <c r="AC154" s="381"/>
      <c r="AD154" s="381"/>
      <c r="AE154" s="381"/>
      <c r="AF154" s="381"/>
      <c r="AG154" s="381"/>
      <c r="AH154" s="381"/>
      <c r="AI154" s="381"/>
      <c r="AJ154" s="381"/>
      <c r="AK154" s="381"/>
      <c r="AL154" s="381"/>
      <c r="AM154" s="381"/>
      <c r="AN154" s="381"/>
      <c r="AO154" s="381"/>
      <c r="AP154" s="381"/>
      <c r="AQ154" s="381"/>
      <c r="AR154" s="381"/>
      <c r="AS154" s="381"/>
      <c r="AT154" s="381"/>
      <c r="AU154" s="381"/>
      <c r="AV154" s="381"/>
      <c r="AW154" s="381"/>
      <c r="AX154" s="381"/>
      <c r="AY154" s="381"/>
      <c r="AZ154" s="381"/>
    </row>
    <row r="155" spans="1:52" s="371" customFormat="1" x14ac:dyDescent="0.2">
      <c r="A155" s="395"/>
      <c r="B155" s="395"/>
      <c r="C155" s="18"/>
      <c r="D155" s="381"/>
      <c r="E155" s="381"/>
      <c r="F155" s="381"/>
      <c r="G155" s="381"/>
      <c r="H155" s="381"/>
      <c r="I155" s="381"/>
      <c r="J155" s="381"/>
      <c r="K155" s="381"/>
      <c r="L155" s="381"/>
      <c r="M155" s="381"/>
      <c r="N155" s="381"/>
      <c r="O155" s="381"/>
      <c r="P155" s="381"/>
      <c r="Q155" s="381"/>
      <c r="R155" s="381"/>
      <c r="S155" s="381"/>
      <c r="T155" s="381"/>
      <c r="U155" s="381"/>
      <c r="V155" s="381"/>
      <c r="W155" s="381"/>
      <c r="X155" s="381"/>
      <c r="Y155" s="381"/>
      <c r="Z155" s="381"/>
      <c r="AA155" s="381"/>
      <c r="AB155" s="381"/>
      <c r="AC155" s="381"/>
      <c r="AD155" s="381"/>
      <c r="AE155" s="381"/>
      <c r="AF155" s="381"/>
      <c r="AG155" s="381"/>
      <c r="AH155" s="381"/>
      <c r="AI155" s="381"/>
      <c r="AJ155" s="381"/>
      <c r="AK155" s="381"/>
      <c r="AL155" s="381"/>
      <c r="AM155" s="381"/>
      <c r="AN155" s="381"/>
      <c r="AO155" s="381"/>
      <c r="AP155" s="381"/>
      <c r="AQ155" s="381"/>
      <c r="AR155" s="381"/>
      <c r="AS155" s="381"/>
      <c r="AT155" s="381"/>
      <c r="AU155" s="381"/>
      <c r="AV155" s="381"/>
      <c r="AW155" s="381"/>
      <c r="AX155" s="381"/>
      <c r="AY155" s="381"/>
      <c r="AZ155" s="381"/>
    </row>
    <row r="156" spans="1:52" s="371" customFormat="1" x14ac:dyDescent="0.2">
      <c r="A156" s="395"/>
      <c r="B156" s="395"/>
      <c r="C156" s="18"/>
      <c r="D156" s="381"/>
      <c r="E156" s="381"/>
      <c r="F156" s="381"/>
      <c r="G156" s="381"/>
      <c r="H156" s="381"/>
      <c r="I156" s="381"/>
      <c r="J156" s="381"/>
      <c r="K156" s="381"/>
      <c r="L156" s="381"/>
      <c r="M156" s="381"/>
      <c r="N156" s="381"/>
      <c r="O156" s="381"/>
      <c r="P156" s="381"/>
      <c r="Q156" s="381"/>
      <c r="R156" s="381"/>
      <c r="S156" s="381"/>
      <c r="T156" s="381"/>
      <c r="U156" s="381"/>
      <c r="V156" s="381"/>
      <c r="W156" s="381"/>
      <c r="X156" s="381"/>
      <c r="Y156" s="381"/>
      <c r="Z156" s="381"/>
      <c r="AA156" s="381"/>
      <c r="AB156" s="381"/>
      <c r="AC156" s="381"/>
      <c r="AD156" s="381"/>
      <c r="AE156" s="381"/>
      <c r="AF156" s="381"/>
      <c r="AG156" s="381"/>
      <c r="AH156" s="381"/>
      <c r="AI156" s="381"/>
      <c r="AJ156" s="381"/>
      <c r="AK156" s="381"/>
      <c r="AL156" s="381"/>
      <c r="AM156" s="381"/>
      <c r="AN156" s="381"/>
      <c r="AO156" s="381"/>
      <c r="AP156" s="381"/>
      <c r="AQ156" s="381"/>
      <c r="AR156" s="381"/>
      <c r="AS156" s="381"/>
      <c r="AT156" s="381"/>
      <c r="AU156" s="381"/>
      <c r="AV156" s="381"/>
      <c r="AW156" s="381"/>
      <c r="AX156" s="381"/>
      <c r="AY156" s="381"/>
      <c r="AZ156" s="381"/>
    </row>
    <row r="157" spans="1:52" s="371" customFormat="1" x14ac:dyDescent="0.2">
      <c r="A157" s="395"/>
      <c r="B157" s="395"/>
      <c r="C157" s="18"/>
      <c r="D157" s="381"/>
      <c r="E157" s="381"/>
      <c r="F157" s="381"/>
      <c r="G157" s="381"/>
      <c r="H157" s="381"/>
      <c r="I157" s="381"/>
      <c r="J157" s="381"/>
      <c r="K157" s="381"/>
      <c r="L157" s="381"/>
      <c r="M157" s="381"/>
      <c r="N157" s="381"/>
      <c r="O157" s="381"/>
      <c r="P157" s="381"/>
      <c r="Q157" s="381"/>
      <c r="R157" s="381"/>
      <c r="S157" s="381"/>
      <c r="T157" s="381"/>
      <c r="U157" s="381"/>
      <c r="V157" s="381"/>
      <c r="W157" s="381"/>
      <c r="X157" s="381"/>
      <c r="Y157" s="381"/>
      <c r="Z157" s="381"/>
      <c r="AA157" s="381"/>
      <c r="AB157" s="381"/>
      <c r="AC157" s="381"/>
      <c r="AD157" s="381"/>
      <c r="AE157" s="381"/>
      <c r="AF157" s="381"/>
      <c r="AG157" s="381"/>
      <c r="AH157" s="381"/>
      <c r="AI157" s="381"/>
      <c r="AJ157" s="381"/>
      <c r="AK157" s="381"/>
      <c r="AL157" s="381"/>
      <c r="AM157" s="381"/>
      <c r="AN157" s="381"/>
      <c r="AO157" s="381"/>
      <c r="AP157" s="381"/>
      <c r="AQ157" s="381"/>
      <c r="AR157" s="381"/>
      <c r="AS157" s="381"/>
      <c r="AT157" s="381"/>
      <c r="AU157" s="381"/>
      <c r="AV157" s="381"/>
      <c r="AW157" s="381"/>
      <c r="AX157" s="381"/>
      <c r="AY157" s="381"/>
      <c r="AZ157" s="381"/>
    </row>
    <row r="158" spans="1:52" s="371" customFormat="1" x14ac:dyDescent="0.2">
      <c r="A158" s="395"/>
      <c r="B158" s="395"/>
      <c r="C158" s="18"/>
      <c r="D158" s="381"/>
      <c r="E158" s="381"/>
      <c r="F158" s="381"/>
      <c r="G158" s="381"/>
      <c r="H158" s="381"/>
      <c r="I158" s="381"/>
      <c r="J158" s="381"/>
      <c r="K158" s="381"/>
      <c r="L158" s="381"/>
      <c r="M158" s="381"/>
      <c r="N158" s="381"/>
      <c r="O158" s="381"/>
      <c r="P158" s="381"/>
      <c r="Q158" s="381"/>
      <c r="R158" s="381"/>
      <c r="S158" s="381"/>
      <c r="T158" s="381"/>
      <c r="U158" s="381"/>
      <c r="V158" s="381"/>
      <c r="W158" s="381"/>
      <c r="X158" s="381"/>
      <c r="Y158" s="381"/>
      <c r="Z158" s="381"/>
      <c r="AA158" s="381"/>
      <c r="AB158" s="381"/>
      <c r="AC158" s="381"/>
      <c r="AD158" s="381"/>
      <c r="AE158" s="381"/>
      <c r="AF158" s="381"/>
      <c r="AG158" s="381"/>
      <c r="AH158" s="381"/>
      <c r="AI158" s="381"/>
      <c r="AJ158" s="381"/>
      <c r="AK158" s="381"/>
      <c r="AL158" s="381"/>
      <c r="AM158" s="381"/>
      <c r="AN158" s="381"/>
      <c r="AO158" s="381"/>
      <c r="AP158" s="381"/>
      <c r="AQ158" s="381"/>
      <c r="AR158" s="381"/>
      <c r="AS158" s="381"/>
      <c r="AT158" s="381"/>
      <c r="AU158" s="381"/>
      <c r="AV158" s="381"/>
      <c r="AW158" s="381"/>
      <c r="AX158" s="381"/>
      <c r="AY158" s="381"/>
      <c r="AZ158" s="381"/>
    </row>
    <row r="159" spans="1:52" s="371" customFormat="1" x14ac:dyDescent="0.2">
      <c r="A159" s="395"/>
      <c r="B159" s="395"/>
      <c r="C159" s="18"/>
      <c r="D159" s="381"/>
      <c r="E159" s="381"/>
      <c r="F159" s="381"/>
      <c r="G159" s="381"/>
      <c r="H159" s="381"/>
      <c r="I159" s="381"/>
      <c r="J159" s="381"/>
      <c r="K159" s="381"/>
      <c r="L159" s="381"/>
      <c r="M159" s="381"/>
      <c r="N159" s="381"/>
      <c r="O159" s="381"/>
      <c r="P159" s="381"/>
      <c r="Q159" s="381"/>
      <c r="R159" s="381"/>
      <c r="S159" s="381"/>
      <c r="T159" s="381"/>
      <c r="U159" s="381"/>
      <c r="V159" s="381"/>
      <c r="W159" s="381"/>
      <c r="X159" s="381"/>
      <c r="Y159" s="381"/>
      <c r="Z159" s="381"/>
      <c r="AA159" s="381"/>
      <c r="AB159" s="381"/>
      <c r="AC159" s="381"/>
      <c r="AD159" s="381"/>
      <c r="AE159" s="381"/>
      <c r="AF159" s="381"/>
      <c r="AG159" s="381"/>
      <c r="AH159" s="381"/>
      <c r="AI159" s="381"/>
      <c r="AJ159" s="381"/>
      <c r="AK159" s="381"/>
      <c r="AL159" s="381"/>
      <c r="AM159" s="381"/>
      <c r="AN159" s="381"/>
      <c r="AO159" s="381"/>
      <c r="AP159" s="381"/>
      <c r="AQ159" s="381"/>
      <c r="AR159" s="381"/>
      <c r="AS159" s="381"/>
      <c r="AT159" s="381"/>
      <c r="AU159" s="381"/>
      <c r="AV159" s="381"/>
      <c r="AW159" s="381"/>
      <c r="AX159" s="381"/>
      <c r="AY159" s="381"/>
      <c r="AZ159" s="381"/>
    </row>
    <row r="160" spans="1:52" s="371" customFormat="1" x14ac:dyDescent="0.2">
      <c r="A160" s="395"/>
      <c r="B160" s="395"/>
      <c r="C160" s="18"/>
      <c r="D160" s="381"/>
      <c r="E160" s="381"/>
      <c r="F160" s="381"/>
      <c r="G160" s="381"/>
      <c r="H160" s="381"/>
      <c r="I160" s="381"/>
      <c r="J160" s="381"/>
      <c r="K160" s="381"/>
      <c r="L160" s="381"/>
      <c r="M160" s="381"/>
      <c r="N160" s="381"/>
      <c r="O160" s="381"/>
      <c r="P160" s="381"/>
      <c r="Q160" s="381"/>
      <c r="R160" s="381"/>
      <c r="S160" s="381"/>
      <c r="T160" s="381"/>
      <c r="U160" s="381"/>
      <c r="V160" s="381"/>
      <c r="W160" s="381"/>
      <c r="X160" s="381"/>
      <c r="Y160" s="381"/>
      <c r="Z160" s="381"/>
      <c r="AA160" s="381"/>
      <c r="AB160" s="381"/>
      <c r="AC160" s="381"/>
      <c r="AD160" s="381"/>
      <c r="AE160" s="381"/>
      <c r="AF160" s="381"/>
      <c r="AG160" s="381"/>
      <c r="AH160" s="381"/>
      <c r="AI160" s="381"/>
      <c r="AJ160" s="381"/>
      <c r="AK160" s="381"/>
      <c r="AL160" s="381"/>
      <c r="AM160" s="381"/>
      <c r="AN160" s="381"/>
      <c r="AO160" s="381"/>
      <c r="AP160" s="381"/>
      <c r="AQ160" s="381"/>
      <c r="AR160" s="381"/>
      <c r="AS160" s="381"/>
      <c r="AT160" s="381"/>
      <c r="AU160" s="381"/>
      <c r="AV160" s="381"/>
      <c r="AW160" s="381"/>
      <c r="AX160" s="381"/>
      <c r="AY160" s="381"/>
      <c r="AZ160" s="381"/>
    </row>
    <row r="161" spans="1:52" s="371" customFormat="1" x14ac:dyDescent="0.2">
      <c r="A161" s="395"/>
      <c r="B161" s="395"/>
      <c r="C161" s="18"/>
      <c r="D161" s="381"/>
      <c r="E161" s="381"/>
      <c r="F161" s="381"/>
      <c r="G161" s="381"/>
      <c r="H161" s="381"/>
      <c r="I161" s="381"/>
      <c r="J161" s="381"/>
      <c r="K161" s="381"/>
      <c r="L161" s="381"/>
      <c r="M161" s="381"/>
      <c r="N161" s="381"/>
      <c r="O161" s="381"/>
      <c r="P161" s="381"/>
      <c r="Q161" s="381"/>
      <c r="R161" s="381"/>
      <c r="S161" s="381"/>
      <c r="T161" s="381"/>
      <c r="U161" s="381"/>
      <c r="V161" s="381"/>
      <c r="W161" s="381"/>
      <c r="X161" s="381"/>
      <c r="Y161" s="381"/>
      <c r="Z161" s="381"/>
      <c r="AA161" s="381"/>
      <c r="AB161" s="381"/>
      <c r="AC161" s="381"/>
      <c r="AD161" s="381"/>
      <c r="AE161" s="381"/>
      <c r="AF161" s="381"/>
      <c r="AG161" s="381"/>
      <c r="AH161" s="381"/>
      <c r="AI161" s="381"/>
      <c r="AJ161" s="381"/>
      <c r="AK161" s="381"/>
      <c r="AL161" s="381"/>
      <c r="AM161" s="381"/>
      <c r="AN161" s="381"/>
      <c r="AO161" s="381"/>
      <c r="AP161" s="381"/>
      <c r="AQ161" s="381"/>
      <c r="AR161" s="381"/>
      <c r="AS161" s="381"/>
      <c r="AT161" s="381"/>
      <c r="AU161" s="381"/>
      <c r="AV161" s="381"/>
      <c r="AW161" s="381"/>
      <c r="AX161" s="381"/>
      <c r="AY161" s="381"/>
      <c r="AZ161" s="381"/>
    </row>
    <row r="162" spans="1:52" s="371" customFormat="1" x14ac:dyDescent="0.2">
      <c r="A162" s="395"/>
      <c r="B162" s="395"/>
      <c r="C162" s="18"/>
      <c r="D162" s="381"/>
      <c r="E162" s="381"/>
      <c r="F162" s="381"/>
      <c r="G162" s="381"/>
      <c r="H162" s="381"/>
      <c r="I162" s="381"/>
      <c r="J162" s="381"/>
      <c r="K162" s="381"/>
      <c r="L162" s="381"/>
      <c r="M162" s="381"/>
      <c r="N162" s="381"/>
      <c r="O162" s="381"/>
      <c r="P162" s="381"/>
      <c r="Q162" s="381"/>
      <c r="R162" s="381"/>
      <c r="S162" s="381"/>
      <c r="T162" s="381"/>
      <c r="U162" s="381"/>
      <c r="V162" s="381"/>
      <c r="W162" s="381"/>
      <c r="X162" s="381"/>
      <c r="Y162" s="381"/>
      <c r="Z162" s="381"/>
      <c r="AA162" s="381"/>
      <c r="AB162" s="381"/>
      <c r="AC162" s="381"/>
      <c r="AD162" s="381"/>
      <c r="AE162" s="381"/>
      <c r="AF162" s="381"/>
      <c r="AG162" s="381"/>
      <c r="AH162" s="381"/>
      <c r="AI162" s="381"/>
      <c r="AJ162" s="381"/>
      <c r="AK162" s="381"/>
      <c r="AL162" s="381"/>
      <c r="AM162" s="381"/>
      <c r="AN162" s="381"/>
      <c r="AO162" s="381"/>
      <c r="AP162" s="381"/>
      <c r="AQ162" s="381"/>
      <c r="AR162" s="381"/>
      <c r="AS162" s="381"/>
      <c r="AT162" s="381"/>
      <c r="AU162" s="381"/>
      <c r="AV162" s="381"/>
      <c r="AW162" s="381"/>
      <c r="AX162" s="381"/>
      <c r="AY162" s="381"/>
      <c r="AZ162" s="381"/>
    </row>
    <row r="163" spans="1:52" s="371" customFormat="1" x14ac:dyDescent="0.2">
      <c r="A163" s="395"/>
      <c r="B163" s="395"/>
      <c r="C163" s="18"/>
      <c r="D163" s="381"/>
      <c r="E163" s="381"/>
      <c r="F163" s="381"/>
      <c r="G163" s="381"/>
      <c r="H163" s="381"/>
      <c r="I163" s="381"/>
      <c r="J163" s="381"/>
      <c r="K163" s="381"/>
      <c r="L163" s="381"/>
      <c r="M163" s="381"/>
      <c r="N163" s="381"/>
      <c r="O163" s="381"/>
      <c r="P163" s="381"/>
      <c r="Q163" s="381"/>
      <c r="R163" s="381"/>
      <c r="S163" s="381"/>
      <c r="T163" s="381"/>
      <c r="U163" s="381"/>
      <c r="V163" s="381"/>
      <c r="W163" s="381"/>
      <c r="X163" s="381"/>
      <c r="Y163" s="381"/>
      <c r="Z163" s="381"/>
      <c r="AA163" s="381"/>
      <c r="AB163" s="381"/>
      <c r="AC163" s="381"/>
      <c r="AD163" s="381"/>
      <c r="AE163" s="381"/>
      <c r="AF163" s="381"/>
      <c r="AG163" s="381"/>
      <c r="AH163" s="381"/>
      <c r="AI163" s="381"/>
      <c r="AJ163" s="381"/>
      <c r="AK163" s="381"/>
      <c r="AL163" s="381"/>
      <c r="AM163" s="381"/>
      <c r="AN163" s="381"/>
      <c r="AO163" s="381"/>
      <c r="AP163" s="381"/>
      <c r="AQ163" s="381"/>
      <c r="AR163" s="381"/>
      <c r="AS163" s="381"/>
      <c r="AT163" s="381"/>
      <c r="AU163" s="381"/>
      <c r="AV163" s="381"/>
      <c r="AW163" s="381"/>
      <c r="AX163" s="381"/>
      <c r="AY163" s="381"/>
      <c r="AZ163" s="381"/>
    </row>
    <row r="164" spans="1:52" s="371" customFormat="1" x14ac:dyDescent="0.2">
      <c r="A164" s="395"/>
      <c r="B164" s="395"/>
      <c r="C164" s="18"/>
      <c r="D164" s="381"/>
      <c r="E164" s="381"/>
      <c r="F164" s="381"/>
      <c r="G164" s="381"/>
      <c r="H164" s="381"/>
      <c r="I164" s="381"/>
      <c r="J164" s="381"/>
      <c r="K164" s="381"/>
      <c r="L164" s="381"/>
      <c r="M164" s="381"/>
      <c r="N164" s="381"/>
      <c r="O164" s="381"/>
      <c r="P164" s="381"/>
      <c r="Q164" s="381"/>
      <c r="R164" s="381"/>
      <c r="S164" s="381"/>
      <c r="T164" s="381"/>
      <c r="U164" s="381"/>
      <c r="V164" s="381"/>
      <c r="W164" s="381"/>
      <c r="X164" s="381"/>
      <c r="Y164" s="381"/>
      <c r="Z164" s="381"/>
      <c r="AA164" s="381"/>
      <c r="AB164" s="381"/>
      <c r="AC164" s="381"/>
      <c r="AD164" s="381"/>
      <c r="AE164" s="381"/>
      <c r="AF164" s="381"/>
      <c r="AG164" s="381"/>
      <c r="AH164" s="381"/>
      <c r="AI164" s="381"/>
      <c r="AJ164" s="381"/>
      <c r="AK164" s="381"/>
      <c r="AL164" s="381"/>
      <c r="AM164" s="381"/>
      <c r="AN164" s="381"/>
      <c r="AO164" s="381"/>
      <c r="AP164" s="381"/>
      <c r="AQ164" s="381"/>
      <c r="AR164" s="381"/>
      <c r="AS164" s="381"/>
      <c r="AT164" s="381"/>
      <c r="AU164" s="381"/>
      <c r="AV164" s="381"/>
      <c r="AW164" s="381"/>
      <c r="AX164" s="381"/>
      <c r="AY164" s="381"/>
      <c r="AZ164" s="381"/>
    </row>
    <row r="165" spans="1:52" s="371" customFormat="1" x14ac:dyDescent="0.2">
      <c r="A165" s="395"/>
      <c r="B165" s="395"/>
      <c r="C165" s="18"/>
      <c r="D165" s="381"/>
      <c r="E165" s="381"/>
      <c r="F165" s="381"/>
      <c r="G165" s="381"/>
      <c r="H165" s="381"/>
      <c r="I165" s="381"/>
      <c r="J165" s="381"/>
      <c r="K165" s="381"/>
      <c r="L165" s="381"/>
      <c r="M165" s="381"/>
      <c r="N165" s="381"/>
      <c r="O165" s="381"/>
      <c r="P165" s="381"/>
      <c r="Q165" s="381"/>
      <c r="R165" s="381"/>
      <c r="S165" s="381"/>
      <c r="T165" s="381"/>
      <c r="U165" s="381"/>
      <c r="V165" s="381"/>
      <c r="W165" s="381"/>
      <c r="X165" s="381"/>
      <c r="Y165" s="381"/>
      <c r="Z165" s="381"/>
      <c r="AA165" s="381"/>
      <c r="AB165" s="381"/>
      <c r="AC165" s="381"/>
      <c r="AD165" s="381"/>
      <c r="AE165" s="381"/>
      <c r="AF165" s="381"/>
      <c r="AG165" s="381"/>
      <c r="AH165" s="381"/>
      <c r="AI165" s="381"/>
      <c r="AJ165" s="381"/>
      <c r="AK165" s="381"/>
      <c r="AL165" s="381"/>
      <c r="AM165" s="381"/>
      <c r="AN165" s="381"/>
      <c r="AO165" s="381"/>
      <c r="AP165" s="381"/>
      <c r="AQ165" s="381"/>
      <c r="AR165" s="381"/>
      <c r="AS165" s="381"/>
      <c r="AT165" s="381"/>
      <c r="AU165" s="381"/>
      <c r="AV165" s="381"/>
      <c r="AW165" s="381"/>
      <c r="AX165" s="381"/>
      <c r="AY165" s="381"/>
      <c r="AZ165" s="381"/>
    </row>
    <row r="166" spans="1:52" s="371" customFormat="1" x14ac:dyDescent="0.2">
      <c r="A166" s="395"/>
      <c r="B166" s="395"/>
      <c r="C166" s="18"/>
      <c r="D166" s="381"/>
      <c r="E166" s="381"/>
      <c r="F166" s="381"/>
      <c r="G166" s="381"/>
      <c r="H166" s="381"/>
      <c r="I166" s="381"/>
      <c r="J166" s="381"/>
      <c r="K166" s="381"/>
      <c r="L166" s="381"/>
      <c r="M166" s="381"/>
      <c r="N166" s="381"/>
      <c r="O166" s="381"/>
      <c r="P166" s="381"/>
      <c r="Q166" s="381"/>
      <c r="R166" s="381"/>
      <c r="S166" s="381"/>
      <c r="T166" s="381"/>
      <c r="U166" s="381"/>
      <c r="V166" s="381"/>
      <c r="W166" s="381"/>
      <c r="X166" s="381"/>
      <c r="Y166" s="381"/>
      <c r="Z166" s="381"/>
      <c r="AA166" s="381"/>
      <c r="AB166" s="381"/>
      <c r="AC166" s="381"/>
      <c r="AD166" s="381"/>
      <c r="AE166" s="381"/>
      <c r="AF166" s="381"/>
      <c r="AG166" s="381"/>
      <c r="AH166" s="381"/>
      <c r="AI166" s="381"/>
      <c r="AJ166" s="381"/>
      <c r="AK166" s="381"/>
      <c r="AL166" s="381"/>
      <c r="AM166" s="381"/>
      <c r="AN166" s="381"/>
      <c r="AO166" s="381"/>
      <c r="AP166" s="381"/>
      <c r="AQ166" s="381"/>
      <c r="AR166" s="381"/>
      <c r="AS166" s="381"/>
      <c r="AT166" s="381"/>
      <c r="AU166" s="381"/>
      <c r="AV166" s="381"/>
      <c r="AW166" s="381"/>
      <c r="AX166" s="381"/>
      <c r="AY166" s="381"/>
      <c r="AZ166" s="381"/>
    </row>
    <row r="167" spans="1:52" s="371" customFormat="1" x14ac:dyDescent="0.2">
      <c r="A167" s="395"/>
      <c r="B167" s="395"/>
      <c r="C167" s="18"/>
      <c r="D167" s="381"/>
      <c r="E167" s="381"/>
      <c r="F167" s="381"/>
      <c r="G167" s="381"/>
      <c r="H167" s="381"/>
      <c r="I167" s="381"/>
      <c r="J167" s="381"/>
      <c r="K167" s="381"/>
      <c r="L167" s="381"/>
      <c r="M167" s="381"/>
      <c r="N167" s="381"/>
      <c r="O167" s="381"/>
      <c r="P167" s="381"/>
      <c r="Q167" s="381"/>
      <c r="R167" s="381"/>
      <c r="S167" s="381"/>
      <c r="T167" s="381"/>
      <c r="U167" s="381"/>
      <c r="V167" s="381"/>
      <c r="W167" s="381"/>
      <c r="X167" s="381"/>
      <c r="Y167" s="381"/>
      <c r="Z167" s="381"/>
      <c r="AA167" s="381"/>
      <c r="AB167" s="381"/>
      <c r="AC167" s="381"/>
      <c r="AD167" s="381"/>
      <c r="AE167" s="381"/>
      <c r="AF167" s="381"/>
      <c r="AG167" s="381"/>
      <c r="AH167" s="381"/>
      <c r="AI167" s="381"/>
      <c r="AJ167" s="381"/>
      <c r="AK167" s="381"/>
      <c r="AL167" s="381"/>
      <c r="AM167" s="381"/>
      <c r="AN167" s="381"/>
      <c r="AO167" s="381"/>
      <c r="AP167" s="381"/>
      <c r="AQ167" s="381"/>
      <c r="AR167" s="381"/>
      <c r="AS167" s="381"/>
      <c r="AT167" s="381"/>
      <c r="AU167" s="381"/>
      <c r="AV167" s="381"/>
      <c r="AW167" s="381"/>
      <c r="AX167" s="381"/>
      <c r="AY167" s="381"/>
      <c r="AZ167" s="381"/>
    </row>
    <row r="168" spans="1:52" s="371" customFormat="1" x14ac:dyDescent="0.2">
      <c r="A168" s="395"/>
      <c r="B168" s="395"/>
      <c r="C168" s="18"/>
      <c r="D168" s="381"/>
      <c r="E168" s="381"/>
      <c r="F168" s="381"/>
      <c r="G168" s="381"/>
      <c r="H168" s="381"/>
      <c r="I168" s="381"/>
      <c r="J168" s="381"/>
      <c r="K168" s="381"/>
      <c r="L168" s="381"/>
      <c r="M168" s="381"/>
      <c r="N168" s="381"/>
      <c r="O168" s="381"/>
      <c r="P168" s="381"/>
      <c r="Q168" s="381"/>
      <c r="R168" s="381"/>
      <c r="S168" s="381"/>
      <c r="T168" s="381"/>
      <c r="U168" s="381"/>
      <c r="V168" s="381"/>
      <c r="W168" s="381"/>
      <c r="X168" s="381"/>
      <c r="Y168" s="381"/>
      <c r="Z168" s="381"/>
      <c r="AA168" s="381"/>
      <c r="AB168" s="381"/>
      <c r="AC168" s="381"/>
      <c r="AD168" s="381"/>
      <c r="AE168" s="381"/>
      <c r="AF168" s="381"/>
      <c r="AG168" s="381"/>
      <c r="AH168" s="381"/>
      <c r="AI168" s="381"/>
      <c r="AJ168" s="381"/>
      <c r="AK168" s="381"/>
      <c r="AL168" s="381"/>
      <c r="AM168" s="381"/>
      <c r="AN168" s="381"/>
      <c r="AO168" s="381"/>
      <c r="AP168" s="381"/>
      <c r="AQ168" s="381"/>
      <c r="AR168" s="381"/>
      <c r="AS168" s="381"/>
      <c r="AT168" s="381"/>
      <c r="AU168" s="381"/>
      <c r="AV168" s="381"/>
      <c r="AW168" s="381"/>
      <c r="AX168" s="381"/>
      <c r="AY168" s="381"/>
      <c r="AZ168" s="381"/>
    </row>
    <row r="169" spans="1:52" s="371" customFormat="1" x14ac:dyDescent="0.2">
      <c r="A169" s="395"/>
      <c r="B169" s="395"/>
      <c r="C169" s="18"/>
      <c r="D169" s="381"/>
      <c r="E169" s="381"/>
      <c r="F169" s="381"/>
      <c r="G169" s="381"/>
      <c r="H169" s="381"/>
      <c r="I169" s="381"/>
      <c r="J169" s="381"/>
      <c r="K169" s="381"/>
      <c r="L169" s="381"/>
      <c r="M169" s="381"/>
      <c r="N169" s="381"/>
      <c r="O169" s="381"/>
      <c r="P169" s="381"/>
      <c r="Q169" s="381"/>
      <c r="R169" s="381"/>
      <c r="S169" s="381"/>
      <c r="T169" s="381"/>
      <c r="U169" s="381"/>
      <c r="V169" s="381"/>
      <c r="W169" s="381"/>
      <c r="X169" s="381"/>
      <c r="Y169" s="381"/>
      <c r="Z169" s="381"/>
      <c r="AA169" s="381"/>
      <c r="AB169" s="381"/>
      <c r="AC169" s="381"/>
      <c r="AD169" s="381"/>
      <c r="AE169" s="381"/>
      <c r="AF169" s="381"/>
      <c r="AG169" s="381"/>
      <c r="AH169" s="381"/>
      <c r="AI169" s="381"/>
      <c r="AJ169" s="381"/>
      <c r="AK169" s="381"/>
      <c r="AL169" s="381"/>
      <c r="AM169" s="381"/>
      <c r="AN169" s="381"/>
      <c r="AO169" s="381"/>
      <c r="AP169" s="381"/>
      <c r="AQ169" s="381"/>
      <c r="AR169" s="381"/>
      <c r="AS169" s="381"/>
      <c r="AT169" s="381"/>
      <c r="AU169" s="381"/>
      <c r="AV169" s="381"/>
      <c r="AW169" s="381"/>
      <c r="AX169" s="381"/>
      <c r="AY169" s="381"/>
      <c r="AZ169" s="381"/>
    </row>
    <row r="170" spans="1:52" s="371" customFormat="1" x14ac:dyDescent="0.2">
      <c r="A170" s="395"/>
      <c r="B170" s="395"/>
      <c r="C170" s="18"/>
      <c r="D170" s="381"/>
      <c r="E170" s="381"/>
      <c r="F170" s="381"/>
      <c r="G170" s="381"/>
      <c r="H170" s="381"/>
      <c r="I170" s="381"/>
      <c r="J170" s="381"/>
      <c r="K170" s="381"/>
      <c r="L170" s="381"/>
      <c r="M170" s="381"/>
      <c r="N170" s="381"/>
      <c r="O170" s="381"/>
      <c r="P170" s="381"/>
      <c r="Q170" s="381"/>
      <c r="R170" s="381"/>
      <c r="S170" s="381"/>
      <c r="T170" s="381"/>
      <c r="U170" s="381"/>
      <c r="V170" s="381"/>
      <c r="W170" s="381"/>
      <c r="X170" s="381"/>
      <c r="Y170" s="381"/>
      <c r="Z170" s="381"/>
      <c r="AA170" s="381"/>
      <c r="AB170" s="381"/>
      <c r="AC170" s="381"/>
      <c r="AD170" s="381"/>
      <c r="AE170" s="381"/>
      <c r="AF170" s="381"/>
      <c r="AG170" s="381"/>
      <c r="AH170" s="381"/>
      <c r="AI170" s="381"/>
      <c r="AJ170" s="381"/>
      <c r="AK170" s="381"/>
      <c r="AL170" s="381"/>
      <c r="AM170" s="381"/>
      <c r="AN170" s="381"/>
      <c r="AO170" s="381"/>
      <c r="AP170" s="381"/>
      <c r="AQ170" s="381"/>
      <c r="AR170" s="381"/>
      <c r="AS170" s="381"/>
      <c r="AT170" s="381"/>
      <c r="AU170" s="381"/>
      <c r="AV170" s="381"/>
      <c r="AW170" s="381"/>
      <c r="AX170" s="381"/>
      <c r="AY170" s="381"/>
      <c r="AZ170" s="381"/>
    </row>
    <row r="171" spans="1:52" s="371" customFormat="1" x14ac:dyDescent="0.2">
      <c r="A171" s="395"/>
      <c r="B171" s="395"/>
      <c r="C171" s="18"/>
      <c r="D171" s="381"/>
      <c r="E171" s="381"/>
      <c r="F171" s="381"/>
      <c r="G171" s="381"/>
      <c r="H171" s="381"/>
      <c r="I171" s="381"/>
      <c r="J171" s="381"/>
      <c r="K171" s="381"/>
      <c r="L171" s="381"/>
      <c r="M171" s="381"/>
      <c r="N171" s="381"/>
      <c r="O171" s="381"/>
      <c r="P171" s="381"/>
      <c r="Q171" s="381"/>
      <c r="R171" s="381"/>
      <c r="S171" s="381"/>
      <c r="T171" s="381"/>
      <c r="U171" s="381"/>
      <c r="V171" s="381"/>
      <c r="W171" s="381"/>
      <c r="X171" s="381"/>
      <c r="Y171" s="381"/>
      <c r="Z171" s="381"/>
      <c r="AA171" s="381"/>
      <c r="AB171" s="381"/>
      <c r="AC171" s="381"/>
      <c r="AD171" s="381"/>
      <c r="AE171" s="381"/>
      <c r="AF171" s="381"/>
      <c r="AG171" s="381"/>
      <c r="AH171" s="381"/>
      <c r="AI171" s="381"/>
      <c r="AJ171" s="381"/>
      <c r="AK171" s="381"/>
      <c r="AL171" s="381"/>
      <c r="AM171" s="381"/>
      <c r="AN171" s="381"/>
      <c r="AO171" s="381"/>
      <c r="AP171" s="381"/>
      <c r="AQ171" s="381"/>
      <c r="AR171" s="381"/>
      <c r="AS171" s="381"/>
      <c r="AT171" s="381"/>
      <c r="AU171" s="381"/>
      <c r="AV171" s="381"/>
      <c r="AW171" s="381"/>
      <c r="AX171" s="381"/>
      <c r="AY171" s="381"/>
      <c r="AZ171" s="381"/>
    </row>
    <row r="172" spans="1:52" s="371" customFormat="1" x14ac:dyDescent="0.2">
      <c r="A172" s="395"/>
      <c r="B172" s="395"/>
      <c r="C172" s="18"/>
      <c r="D172" s="381"/>
      <c r="E172" s="381"/>
      <c r="F172" s="381"/>
      <c r="G172" s="381"/>
      <c r="H172" s="381"/>
      <c r="I172" s="381"/>
      <c r="J172" s="381"/>
      <c r="K172" s="381"/>
      <c r="L172" s="381"/>
      <c r="M172" s="381"/>
      <c r="N172" s="381"/>
      <c r="O172" s="381"/>
      <c r="P172" s="381"/>
      <c r="Q172" s="381"/>
      <c r="R172" s="381"/>
      <c r="S172" s="381"/>
      <c r="T172" s="381"/>
      <c r="U172" s="381"/>
      <c r="V172" s="381"/>
      <c r="W172" s="381"/>
      <c r="X172" s="381"/>
      <c r="Y172" s="381"/>
      <c r="Z172" s="381"/>
      <c r="AA172" s="381"/>
      <c r="AB172" s="381"/>
      <c r="AC172" s="381"/>
      <c r="AD172" s="381"/>
      <c r="AE172" s="381"/>
      <c r="AF172" s="381"/>
      <c r="AG172" s="381"/>
      <c r="AH172" s="381"/>
      <c r="AI172" s="381"/>
      <c r="AJ172" s="381"/>
      <c r="AK172" s="381"/>
      <c r="AL172" s="381"/>
      <c r="AM172" s="381"/>
      <c r="AN172" s="381"/>
      <c r="AO172" s="381"/>
      <c r="AP172" s="381"/>
      <c r="AQ172" s="381"/>
      <c r="AR172" s="381"/>
      <c r="AS172" s="381"/>
      <c r="AT172" s="381"/>
      <c r="AU172" s="381"/>
      <c r="AV172" s="381"/>
      <c r="AW172" s="381"/>
      <c r="AX172" s="381"/>
      <c r="AY172" s="381"/>
      <c r="AZ172" s="381"/>
    </row>
    <row r="173" spans="1:52" s="371" customFormat="1" x14ac:dyDescent="0.2">
      <c r="A173" s="395"/>
      <c r="B173" s="395"/>
      <c r="C173" s="18"/>
      <c r="D173" s="381"/>
      <c r="E173" s="381"/>
      <c r="F173" s="381"/>
      <c r="G173" s="381"/>
      <c r="H173" s="381"/>
      <c r="I173" s="381"/>
      <c r="J173" s="381"/>
      <c r="K173" s="381"/>
      <c r="L173" s="381"/>
      <c r="M173" s="381"/>
      <c r="N173" s="381"/>
      <c r="O173" s="381"/>
      <c r="P173" s="381"/>
      <c r="Q173" s="381"/>
      <c r="R173" s="381"/>
      <c r="S173" s="381"/>
      <c r="T173" s="381"/>
      <c r="U173" s="381"/>
      <c r="V173" s="381"/>
      <c r="W173" s="381"/>
      <c r="X173" s="381"/>
      <c r="Y173" s="381"/>
      <c r="Z173" s="381"/>
      <c r="AA173" s="381"/>
      <c r="AB173" s="381"/>
      <c r="AC173" s="381"/>
      <c r="AD173" s="381"/>
      <c r="AE173" s="381"/>
      <c r="AF173" s="381"/>
      <c r="AG173" s="381"/>
      <c r="AH173" s="381"/>
      <c r="AI173" s="381"/>
      <c r="AJ173" s="381"/>
      <c r="AK173" s="381"/>
      <c r="AL173" s="381"/>
      <c r="AM173" s="381"/>
      <c r="AN173" s="381"/>
      <c r="AO173" s="381"/>
      <c r="AP173" s="381"/>
      <c r="AQ173" s="381"/>
      <c r="AR173" s="381"/>
      <c r="AS173" s="381"/>
      <c r="AT173" s="381"/>
      <c r="AU173" s="381"/>
      <c r="AV173" s="381"/>
      <c r="AW173" s="381"/>
      <c r="AX173" s="381"/>
      <c r="AY173" s="381"/>
      <c r="AZ173" s="381"/>
    </row>
    <row r="174" spans="1:52" s="371" customFormat="1" x14ac:dyDescent="0.2">
      <c r="A174" s="395"/>
      <c r="B174" s="395"/>
      <c r="C174" s="18"/>
      <c r="D174" s="381"/>
      <c r="E174" s="381"/>
      <c r="F174" s="381"/>
      <c r="G174" s="381"/>
      <c r="H174" s="381"/>
      <c r="I174" s="381"/>
      <c r="J174" s="381"/>
      <c r="K174" s="381"/>
      <c r="L174" s="381"/>
      <c r="M174" s="381"/>
      <c r="N174" s="381"/>
      <c r="O174" s="381"/>
      <c r="P174" s="381"/>
      <c r="Q174" s="381"/>
      <c r="R174" s="381"/>
      <c r="S174" s="381"/>
      <c r="T174" s="381"/>
      <c r="U174" s="381"/>
      <c r="V174" s="381"/>
      <c r="W174" s="381"/>
      <c r="X174" s="381"/>
      <c r="Y174" s="381"/>
      <c r="Z174" s="381"/>
      <c r="AA174" s="381"/>
      <c r="AB174" s="381"/>
      <c r="AC174" s="381"/>
      <c r="AD174" s="381"/>
      <c r="AE174" s="381"/>
      <c r="AF174" s="381"/>
      <c r="AG174" s="381"/>
      <c r="AH174" s="381"/>
      <c r="AI174" s="381"/>
      <c r="AJ174" s="381"/>
      <c r="AK174" s="381"/>
      <c r="AL174" s="381"/>
      <c r="AM174" s="381"/>
      <c r="AN174" s="381"/>
      <c r="AO174" s="381"/>
      <c r="AP174" s="381"/>
      <c r="AQ174" s="381"/>
      <c r="AR174" s="381"/>
      <c r="AS174" s="381"/>
      <c r="AT174" s="381"/>
      <c r="AU174" s="381"/>
      <c r="AV174" s="381"/>
      <c r="AW174" s="381"/>
      <c r="AX174" s="381"/>
      <c r="AY174" s="381"/>
      <c r="AZ174" s="381"/>
    </row>
    <row r="175" spans="1:52" s="371" customFormat="1" x14ac:dyDescent="0.2">
      <c r="A175" s="395"/>
      <c r="B175" s="395"/>
      <c r="C175" s="18"/>
      <c r="D175" s="381"/>
      <c r="E175" s="381"/>
      <c r="F175" s="381"/>
      <c r="G175" s="381"/>
      <c r="H175" s="381"/>
      <c r="I175" s="381"/>
      <c r="J175" s="381"/>
      <c r="K175" s="381"/>
      <c r="L175" s="381"/>
      <c r="M175" s="381"/>
      <c r="N175" s="381"/>
      <c r="O175" s="381"/>
      <c r="P175" s="381"/>
      <c r="Q175" s="381"/>
      <c r="R175" s="381"/>
      <c r="S175" s="381"/>
      <c r="T175" s="381"/>
      <c r="U175" s="381"/>
      <c r="V175" s="381"/>
      <c r="W175" s="381"/>
      <c r="X175" s="381"/>
      <c r="Y175" s="381"/>
      <c r="Z175" s="381"/>
      <c r="AA175" s="381"/>
      <c r="AB175" s="381"/>
      <c r="AC175" s="381"/>
      <c r="AD175" s="381"/>
      <c r="AE175" s="381"/>
      <c r="AF175" s="381"/>
      <c r="AG175" s="381"/>
      <c r="AH175" s="381"/>
      <c r="AI175" s="381"/>
      <c r="AJ175" s="381"/>
      <c r="AK175" s="381"/>
      <c r="AL175" s="381"/>
      <c r="AM175" s="381"/>
      <c r="AN175" s="381"/>
      <c r="AO175" s="381"/>
      <c r="AP175" s="381"/>
      <c r="AQ175" s="381"/>
      <c r="AR175" s="381"/>
      <c r="AS175" s="381"/>
      <c r="AT175" s="381"/>
      <c r="AU175" s="381"/>
      <c r="AV175" s="381"/>
      <c r="AW175" s="381"/>
      <c r="AX175" s="381"/>
      <c r="AY175" s="381"/>
      <c r="AZ175" s="381"/>
    </row>
    <row r="176" spans="1:52" s="371" customFormat="1" x14ac:dyDescent="0.2">
      <c r="A176" s="395"/>
      <c r="B176" s="395"/>
      <c r="C176" s="18"/>
      <c r="D176" s="381"/>
      <c r="E176" s="381"/>
      <c r="F176" s="381"/>
      <c r="G176" s="381"/>
      <c r="H176" s="381"/>
      <c r="I176" s="381"/>
      <c r="J176" s="381"/>
      <c r="K176" s="381"/>
      <c r="L176" s="381"/>
      <c r="M176" s="381"/>
      <c r="N176" s="381"/>
      <c r="O176" s="381"/>
      <c r="P176" s="381"/>
      <c r="Q176" s="381"/>
      <c r="R176" s="381"/>
      <c r="S176" s="381"/>
      <c r="T176" s="381"/>
      <c r="U176" s="381"/>
      <c r="V176" s="381"/>
      <c r="W176" s="381"/>
      <c r="X176" s="381"/>
      <c r="Y176" s="381"/>
      <c r="Z176" s="381"/>
      <c r="AA176" s="381"/>
      <c r="AB176" s="381"/>
      <c r="AC176" s="381"/>
      <c r="AD176" s="381"/>
      <c r="AE176" s="381"/>
      <c r="AF176" s="381"/>
      <c r="AG176" s="381"/>
      <c r="AH176" s="381"/>
      <c r="AI176" s="381"/>
      <c r="AJ176" s="381"/>
      <c r="AK176" s="381"/>
      <c r="AL176" s="381"/>
      <c r="AM176" s="381"/>
      <c r="AN176" s="381"/>
      <c r="AO176" s="381"/>
      <c r="AP176" s="381"/>
      <c r="AQ176" s="381"/>
      <c r="AR176" s="381"/>
      <c r="AS176" s="381"/>
      <c r="AT176" s="381"/>
      <c r="AU176" s="381"/>
      <c r="AV176" s="381"/>
      <c r="AW176" s="381"/>
      <c r="AX176" s="381"/>
      <c r="AY176" s="381"/>
      <c r="AZ176" s="381"/>
    </row>
    <row r="177" spans="1:52" s="371" customFormat="1" x14ac:dyDescent="0.2">
      <c r="A177" s="395"/>
      <c r="B177" s="395"/>
      <c r="C177" s="18"/>
      <c r="D177" s="381"/>
      <c r="E177" s="381"/>
      <c r="F177" s="381"/>
      <c r="G177" s="381"/>
      <c r="H177" s="381"/>
      <c r="I177" s="381"/>
      <c r="J177" s="381"/>
      <c r="K177" s="381"/>
      <c r="L177" s="381"/>
      <c r="M177" s="381"/>
      <c r="N177" s="381"/>
      <c r="O177" s="381"/>
      <c r="P177" s="381"/>
      <c r="Q177" s="381"/>
      <c r="R177" s="381"/>
      <c r="S177" s="381"/>
      <c r="T177" s="381"/>
      <c r="U177" s="381"/>
      <c r="V177" s="381"/>
      <c r="W177" s="381"/>
      <c r="X177" s="381"/>
      <c r="Y177" s="381"/>
      <c r="Z177" s="381"/>
      <c r="AA177" s="381"/>
      <c r="AB177" s="381"/>
      <c r="AC177" s="381"/>
      <c r="AD177" s="381"/>
      <c r="AE177" s="381"/>
      <c r="AF177" s="381"/>
      <c r="AG177" s="381"/>
      <c r="AH177" s="381"/>
      <c r="AI177" s="381"/>
      <c r="AJ177" s="381"/>
      <c r="AK177" s="381"/>
      <c r="AL177" s="381"/>
      <c r="AM177" s="381"/>
      <c r="AN177" s="381"/>
      <c r="AO177" s="381"/>
      <c r="AP177" s="381"/>
      <c r="AQ177" s="381"/>
      <c r="AR177" s="381"/>
      <c r="AS177" s="381"/>
      <c r="AT177" s="381"/>
      <c r="AU177" s="381"/>
      <c r="AV177" s="381"/>
      <c r="AW177" s="381"/>
      <c r="AX177" s="381"/>
      <c r="AY177" s="381"/>
      <c r="AZ177" s="381"/>
    </row>
    <row r="178" spans="1:52" s="371" customFormat="1" x14ac:dyDescent="0.2">
      <c r="A178" s="395"/>
      <c r="B178" s="395"/>
      <c r="C178" s="18"/>
      <c r="D178" s="381"/>
      <c r="E178" s="381"/>
      <c r="F178" s="381"/>
      <c r="G178" s="381"/>
      <c r="H178" s="381"/>
      <c r="I178" s="381"/>
      <c r="J178" s="381"/>
      <c r="K178" s="381"/>
      <c r="L178" s="381"/>
      <c r="M178" s="381"/>
      <c r="N178" s="381"/>
      <c r="O178" s="381"/>
      <c r="P178" s="381"/>
      <c r="Q178" s="381"/>
      <c r="R178" s="381"/>
      <c r="S178" s="381"/>
      <c r="T178" s="381"/>
      <c r="U178" s="381"/>
      <c r="V178" s="381"/>
      <c r="W178" s="381"/>
      <c r="X178" s="381"/>
      <c r="Y178" s="381"/>
      <c r="Z178" s="381"/>
      <c r="AA178" s="381"/>
      <c r="AB178" s="381"/>
      <c r="AC178" s="381"/>
      <c r="AD178" s="381"/>
      <c r="AE178" s="381"/>
      <c r="AF178" s="381"/>
      <c r="AG178" s="381"/>
      <c r="AH178" s="381"/>
      <c r="AI178" s="381"/>
      <c r="AJ178" s="381"/>
      <c r="AK178" s="381"/>
      <c r="AL178" s="381"/>
      <c r="AM178" s="381"/>
      <c r="AN178" s="381"/>
      <c r="AO178" s="381"/>
      <c r="AP178" s="381"/>
      <c r="AQ178" s="381"/>
      <c r="AR178" s="381"/>
      <c r="AS178" s="381"/>
      <c r="AT178" s="381"/>
      <c r="AU178" s="381"/>
      <c r="AV178" s="381"/>
      <c r="AW178" s="381"/>
      <c r="AX178" s="381"/>
      <c r="AY178" s="381"/>
      <c r="AZ178" s="381"/>
    </row>
    <row r="179" spans="1:52" s="371" customFormat="1" x14ac:dyDescent="0.2">
      <c r="A179" s="395"/>
      <c r="B179" s="395"/>
      <c r="C179" s="18"/>
      <c r="D179" s="381"/>
      <c r="E179" s="381"/>
      <c r="F179" s="381"/>
      <c r="G179" s="381"/>
      <c r="H179" s="381"/>
      <c r="I179" s="381"/>
      <c r="J179" s="381"/>
      <c r="K179" s="381"/>
      <c r="L179" s="381"/>
      <c r="M179" s="381"/>
      <c r="N179" s="381"/>
      <c r="O179" s="381"/>
      <c r="P179" s="381"/>
      <c r="Q179" s="381"/>
      <c r="R179" s="381"/>
      <c r="S179" s="381"/>
      <c r="T179" s="381"/>
      <c r="U179" s="381"/>
      <c r="V179" s="381"/>
      <c r="W179" s="381"/>
      <c r="X179" s="381"/>
      <c r="Y179" s="381"/>
      <c r="Z179" s="381"/>
      <c r="AA179" s="381"/>
      <c r="AB179" s="381"/>
      <c r="AC179" s="381"/>
      <c r="AD179" s="381"/>
      <c r="AE179" s="381"/>
      <c r="AF179" s="381"/>
      <c r="AG179" s="381"/>
      <c r="AH179" s="381"/>
      <c r="AI179" s="381"/>
      <c r="AJ179" s="381"/>
      <c r="AK179" s="381"/>
      <c r="AL179" s="381"/>
      <c r="AM179" s="381"/>
      <c r="AN179" s="381"/>
      <c r="AO179" s="381"/>
      <c r="AP179" s="381"/>
      <c r="AQ179" s="381"/>
      <c r="AR179" s="381"/>
      <c r="AS179" s="381"/>
      <c r="AT179" s="381"/>
      <c r="AU179" s="381"/>
      <c r="AV179" s="381"/>
      <c r="AW179" s="381"/>
      <c r="AX179" s="381"/>
      <c r="AY179" s="381"/>
      <c r="AZ179" s="381"/>
    </row>
    <row r="180" spans="1:52" s="371" customFormat="1" x14ac:dyDescent="0.2">
      <c r="A180" s="395"/>
      <c r="B180" s="395"/>
      <c r="C180" s="18"/>
      <c r="D180" s="381"/>
      <c r="E180" s="381"/>
      <c r="F180" s="381"/>
      <c r="G180" s="381"/>
      <c r="H180" s="381"/>
      <c r="I180" s="381"/>
      <c r="J180" s="381"/>
      <c r="K180" s="381"/>
      <c r="L180" s="381"/>
      <c r="M180" s="381"/>
      <c r="N180" s="381"/>
      <c r="O180" s="381"/>
      <c r="P180" s="381"/>
      <c r="Q180" s="381"/>
      <c r="R180" s="381"/>
      <c r="S180" s="381"/>
      <c r="T180" s="381"/>
      <c r="U180" s="381"/>
      <c r="V180" s="381"/>
      <c r="W180" s="381"/>
      <c r="X180" s="381"/>
      <c r="Y180" s="381"/>
      <c r="Z180" s="381"/>
      <c r="AA180" s="381"/>
      <c r="AB180" s="381"/>
      <c r="AC180" s="381"/>
      <c r="AD180" s="381"/>
      <c r="AE180" s="381"/>
      <c r="AF180" s="381"/>
      <c r="AG180" s="381"/>
      <c r="AH180" s="381"/>
      <c r="AI180" s="381"/>
      <c r="AJ180" s="381"/>
      <c r="AK180" s="381"/>
      <c r="AL180" s="381"/>
      <c r="AM180" s="381"/>
      <c r="AN180" s="381"/>
      <c r="AO180" s="381"/>
      <c r="AP180" s="381"/>
      <c r="AQ180" s="381"/>
      <c r="AR180" s="381"/>
      <c r="AS180" s="381"/>
      <c r="AT180" s="381"/>
      <c r="AU180" s="381"/>
      <c r="AV180" s="381"/>
      <c r="AW180" s="381"/>
      <c r="AX180" s="381"/>
      <c r="AY180" s="381"/>
      <c r="AZ180" s="381"/>
    </row>
    <row r="181" spans="1:52" s="371" customFormat="1" x14ac:dyDescent="0.2">
      <c r="A181" s="395"/>
      <c r="B181" s="395"/>
      <c r="C181" s="18"/>
      <c r="D181" s="381"/>
      <c r="E181" s="381"/>
      <c r="F181" s="381"/>
      <c r="G181" s="381"/>
      <c r="H181" s="381"/>
      <c r="I181" s="381"/>
      <c r="J181" s="381"/>
      <c r="K181" s="381"/>
      <c r="L181" s="381"/>
      <c r="M181" s="381"/>
      <c r="N181" s="381"/>
      <c r="O181" s="381"/>
      <c r="P181" s="381"/>
      <c r="Q181" s="381"/>
      <c r="R181" s="381"/>
      <c r="S181" s="381"/>
      <c r="T181" s="381"/>
      <c r="U181" s="381"/>
      <c r="V181" s="381"/>
      <c r="W181" s="381"/>
      <c r="X181" s="381"/>
      <c r="Y181" s="381"/>
      <c r="Z181" s="381"/>
      <c r="AA181" s="381"/>
      <c r="AB181" s="381"/>
      <c r="AC181" s="381"/>
      <c r="AD181" s="381"/>
      <c r="AE181" s="381"/>
      <c r="AF181" s="381"/>
      <c r="AG181" s="381"/>
      <c r="AH181" s="381"/>
      <c r="AI181" s="381"/>
      <c r="AJ181" s="381"/>
      <c r="AK181" s="381"/>
      <c r="AL181" s="381"/>
      <c r="AM181" s="381"/>
      <c r="AN181" s="381"/>
      <c r="AO181" s="381"/>
      <c r="AP181" s="381"/>
      <c r="AQ181" s="381"/>
      <c r="AR181" s="381"/>
      <c r="AS181" s="381"/>
      <c r="AT181" s="381"/>
      <c r="AU181" s="381"/>
      <c r="AV181" s="381"/>
      <c r="AW181" s="381"/>
      <c r="AX181" s="381"/>
      <c r="AY181" s="381"/>
      <c r="AZ181" s="381"/>
    </row>
    <row r="182" spans="1:52" s="371" customFormat="1" x14ac:dyDescent="0.2">
      <c r="A182" s="395"/>
      <c r="B182" s="395"/>
      <c r="C182" s="18"/>
      <c r="D182" s="381"/>
      <c r="E182" s="381"/>
      <c r="F182" s="381"/>
      <c r="G182" s="381"/>
      <c r="H182" s="381"/>
      <c r="I182" s="381"/>
      <c r="J182" s="381"/>
      <c r="K182" s="381"/>
      <c r="L182" s="381"/>
      <c r="M182" s="381"/>
      <c r="N182" s="381"/>
      <c r="O182" s="381"/>
      <c r="P182" s="381"/>
      <c r="Q182" s="381"/>
      <c r="R182" s="381"/>
      <c r="S182" s="381"/>
      <c r="T182" s="381"/>
      <c r="U182" s="381"/>
      <c r="V182" s="381"/>
      <c r="W182" s="381"/>
      <c r="X182" s="381"/>
      <c r="Y182" s="381"/>
      <c r="Z182" s="381"/>
      <c r="AA182" s="381"/>
      <c r="AB182" s="381"/>
      <c r="AC182" s="381"/>
      <c r="AD182" s="381"/>
      <c r="AE182" s="381"/>
      <c r="AF182" s="381"/>
      <c r="AG182" s="381"/>
      <c r="AH182" s="381"/>
      <c r="AI182" s="381"/>
      <c r="AJ182" s="381"/>
      <c r="AK182" s="381"/>
      <c r="AL182" s="381"/>
      <c r="AM182" s="381"/>
      <c r="AN182" s="381"/>
      <c r="AO182" s="381"/>
      <c r="AP182" s="381"/>
      <c r="AQ182" s="381"/>
      <c r="AR182" s="381"/>
      <c r="AS182" s="381"/>
      <c r="AT182" s="381"/>
      <c r="AU182" s="381"/>
      <c r="AV182" s="381"/>
      <c r="AW182" s="381"/>
      <c r="AX182" s="381"/>
      <c r="AY182" s="381"/>
      <c r="AZ182" s="381"/>
    </row>
    <row r="183" spans="1:52" s="371" customFormat="1" x14ac:dyDescent="0.2">
      <c r="A183" s="395"/>
      <c r="B183" s="395"/>
      <c r="C183" s="18"/>
      <c r="D183" s="381"/>
      <c r="E183" s="381"/>
      <c r="F183" s="381"/>
      <c r="G183" s="381"/>
      <c r="H183" s="381"/>
      <c r="I183" s="381"/>
      <c r="J183" s="381"/>
      <c r="K183" s="381"/>
      <c r="L183" s="381"/>
      <c r="M183" s="381"/>
      <c r="N183" s="381"/>
      <c r="O183" s="381"/>
      <c r="P183" s="381"/>
      <c r="Q183" s="381"/>
      <c r="R183" s="381"/>
      <c r="S183" s="381"/>
      <c r="T183" s="381"/>
      <c r="U183" s="381"/>
      <c r="V183" s="381"/>
      <c r="W183" s="381"/>
      <c r="X183" s="381"/>
      <c r="Y183" s="381"/>
      <c r="Z183" s="381"/>
      <c r="AA183" s="381"/>
      <c r="AB183" s="381"/>
      <c r="AC183" s="381"/>
      <c r="AD183" s="381"/>
      <c r="AE183" s="381"/>
      <c r="AF183" s="381"/>
      <c r="AG183" s="381"/>
      <c r="AH183" s="381"/>
      <c r="AI183" s="381"/>
      <c r="AJ183" s="381"/>
      <c r="AK183" s="381"/>
      <c r="AL183" s="381"/>
      <c r="AM183" s="381"/>
      <c r="AN183" s="381"/>
      <c r="AO183" s="381"/>
      <c r="AP183" s="381"/>
      <c r="AQ183" s="381"/>
      <c r="AR183" s="381"/>
      <c r="AS183" s="381"/>
      <c r="AT183" s="381"/>
      <c r="AU183" s="381"/>
      <c r="AV183" s="381"/>
      <c r="AW183" s="381"/>
      <c r="AX183" s="381"/>
      <c r="AY183" s="381"/>
      <c r="AZ183" s="381"/>
    </row>
    <row r="184" spans="1:52" s="371" customFormat="1" x14ac:dyDescent="0.2">
      <c r="A184" s="395"/>
      <c r="B184" s="395"/>
      <c r="C184" s="18"/>
      <c r="D184" s="381"/>
      <c r="E184" s="381"/>
      <c r="F184" s="381"/>
      <c r="G184" s="381"/>
      <c r="H184" s="381"/>
      <c r="I184" s="381"/>
      <c r="J184" s="381"/>
      <c r="K184" s="381"/>
      <c r="L184" s="381"/>
      <c r="M184" s="381"/>
      <c r="N184" s="381"/>
      <c r="O184" s="381"/>
      <c r="P184" s="381"/>
      <c r="Q184" s="381"/>
      <c r="R184" s="381"/>
      <c r="S184" s="381"/>
      <c r="T184" s="381"/>
      <c r="U184" s="381"/>
      <c r="V184" s="381"/>
      <c r="W184" s="381"/>
      <c r="X184" s="381"/>
      <c r="Y184" s="381"/>
      <c r="Z184" s="381"/>
      <c r="AA184" s="381"/>
      <c r="AB184" s="381"/>
      <c r="AC184" s="381"/>
      <c r="AD184" s="381"/>
      <c r="AE184" s="381"/>
      <c r="AF184" s="381"/>
      <c r="AG184" s="381"/>
      <c r="AH184" s="381"/>
      <c r="AI184" s="381"/>
      <c r="AJ184" s="381"/>
      <c r="AK184" s="381"/>
      <c r="AL184" s="381"/>
      <c r="AM184" s="381"/>
      <c r="AN184" s="381"/>
      <c r="AO184" s="381"/>
      <c r="AP184" s="381"/>
      <c r="AQ184" s="381"/>
      <c r="AR184" s="381"/>
      <c r="AS184" s="381"/>
      <c r="AT184" s="381"/>
      <c r="AU184" s="381"/>
      <c r="AV184" s="381"/>
      <c r="AW184" s="381"/>
      <c r="AX184" s="381"/>
      <c r="AY184" s="381"/>
      <c r="AZ184" s="381"/>
    </row>
    <row r="185" spans="1:52" s="371" customFormat="1" x14ac:dyDescent="0.2">
      <c r="A185" s="395"/>
      <c r="B185" s="395"/>
      <c r="C185" s="18"/>
      <c r="D185" s="381"/>
      <c r="E185" s="381"/>
      <c r="F185" s="381"/>
      <c r="G185" s="381"/>
      <c r="H185" s="381"/>
      <c r="I185" s="381"/>
      <c r="J185" s="381"/>
      <c r="K185" s="381"/>
      <c r="L185" s="381"/>
      <c r="M185" s="381"/>
      <c r="N185" s="381"/>
      <c r="O185" s="381"/>
      <c r="P185" s="381"/>
      <c r="Q185" s="381"/>
      <c r="R185" s="381"/>
      <c r="S185" s="381"/>
      <c r="T185" s="381"/>
      <c r="U185" s="381"/>
      <c r="V185" s="381"/>
      <c r="W185" s="381"/>
      <c r="X185" s="381"/>
      <c r="Y185" s="381"/>
      <c r="Z185" s="381"/>
      <c r="AA185" s="381"/>
      <c r="AB185" s="381"/>
      <c r="AC185" s="381"/>
      <c r="AD185" s="381"/>
      <c r="AE185" s="381"/>
      <c r="AF185" s="381"/>
      <c r="AG185" s="381"/>
      <c r="AH185" s="381"/>
      <c r="AI185" s="381"/>
      <c r="AJ185" s="381"/>
      <c r="AK185" s="381"/>
      <c r="AL185" s="381"/>
      <c r="AM185" s="381"/>
      <c r="AN185" s="381"/>
      <c r="AO185" s="381"/>
      <c r="AP185" s="381"/>
      <c r="AQ185" s="381"/>
      <c r="AR185" s="381"/>
      <c r="AS185" s="381"/>
      <c r="AT185" s="381"/>
      <c r="AU185" s="381"/>
      <c r="AV185" s="381"/>
      <c r="AW185" s="381"/>
      <c r="AX185" s="381"/>
      <c r="AY185" s="381"/>
      <c r="AZ185" s="381"/>
    </row>
    <row r="186" spans="1:52" s="371" customFormat="1" x14ac:dyDescent="0.2">
      <c r="A186" s="395"/>
      <c r="B186" s="395"/>
      <c r="C186" s="18"/>
      <c r="D186" s="381"/>
      <c r="E186" s="381"/>
      <c r="F186" s="381"/>
      <c r="G186" s="381"/>
      <c r="H186" s="381"/>
      <c r="I186" s="381"/>
      <c r="J186" s="381"/>
      <c r="K186" s="381"/>
      <c r="L186" s="381"/>
      <c r="M186" s="381"/>
      <c r="N186" s="381"/>
      <c r="O186" s="381"/>
      <c r="P186" s="381"/>
      <c r="Q186" s="381"/>
      <c r="R186" s="381"/>
      <c r="S186" s="381"/>
      <c r="T186" s="381"/>
      <c r="U186" s="381"/>
      <c r="V186" s="381"/>
      <c r="W186" s="381"/>
      <c r="X186" s="381"/>
      <c r="Y186" s="381"/>
      <c r="Z186" s="381"/>
      <c r="AA186" s="381"/>
      <c r="AB186" s="381"/>
      <c r="AC186" s="381"/>
      <c r="AD186" s="381"/>
      <c r="AE186" s="381"/>
      <c r="AF186" s="381"/>
      <c r="AG186" s="381"/>
      <c r="AH186" s="381"/>
      <c r="AI186" s="381"/>
      <c r="AJ186" s="381"/>
      <c r="AK186" s="381"/>
      <c r="AL186" s="381"/>
      <c r="AM186" s="381"/>
      <c r="AN186" s="381"/>
      <c r="AO186" s="381"/>
      <c r="AP186" s="381"/>
      <c r="AQ186" s="381"/>
      <c r="AR186" s="381"/>
      <c r="AS186" s="381"/>
      <c r="AT186" s="381"/>
      <c r="AU186" s="381"/>
      <c r="AV186" s="381"/>
      <c r="AW186" s="381"/>
      <c r="AX186" s="381"/>
      <c r="AY186" s="381"/>
      <c r="AZ186" s="381"/>
    </row>
    <row r="187" spans="1:52" s="371" customFormat="1" x14ac:dyDescent="0.2">
      <c r="A187" s="395"/>
      <c r="B187" s="395"/>
      <c r="C187" s="18"/>
      <c r="D187" s="381"/>
      <c r="E187" s="381"/>
      <c r="F187" s="381"/>
      <c r="G187" s="381"/>
      <c r="H187" s="381"/>
      <c r="I187" s="381"/>
      <c r="J187" s="381"/>
      <c r="K187" s="381"/>
      <c r="L187" s="381"/>
      <c r="M187" s="381"/>
      <c r="N187" s="381"/>
      <c r="O187" s="381"/>
      <c r="P187" s="381"/>
      <c r="Q187" s="381"/>
      <c r="R187" s="381"/>
      <c r="S187" s="381"/>
      <c r="T187" s="381"/>
      <c r="U187" s="381"/>
      <c r="V187" s="381"/>
      <c r="W187" s="381"/>
      <c r="X187" s="381"/>
      <c r="Y187" s="381"/>
      <c r="Z187" s="381"/>
      <c r="AA187" s="381"/>
      <c r="AB187" s="381"/>
      <c r="AC187" s="381"/>
      <c r="AD187" s="381"/>
      <c r="AE187" s="381"/>
      <c r="AF187" s="381"/>
      <c r="AG187" s="381"/>
      <c r="AH187" s="381"/>
      <c r="AI187" s="381"/>
      <c r="AJ187" s="381"/>
      <c r="AK187" s="381"/>
      <c r="AL187" s="381"/>
      <c r="AM187" s="381"/>
      <c r="AN187" s="381"/>
      <c r="AO187" s="381"/>
      <c r="AP187" s="381"/>
      <c r="AQ187" s="381"/>
      <c r="AR187" s="381"/>
      <c r="AS187" s="381"/>
      <c r="AT187" s="381"/>
      <c r="AU187" s="381"/>
      <c r="AV187" s="381"/>
      <c r="AW187" s="381"/>
      <c r="AX187" s="381"/>
      <c r="AY187" s="381"/>
      <c r="AZ187" s="381"/>
    </row>
    <row r="188" spans="1:52" s="371" customFormat="1" x14ac:dyDescent="0.2">
      <c r="A188" s="395"/>
      <c r="B188" s="395"/>
      <c r="C188" s="18"/>
      <c r="D188" s="381"/>
      <c r="E188" s="381"/>
      <c r="F188" s="381"/>
      <c r="G188" s="381"/>
      <c r="H188" s="381"/>
      <c r="I188" s="381"/>
      <c r="J188" s="381"/>
      <c r="K188" s="381"/>
      <c r="L188" s="381"/>
      <c r="M188" s="381"/>
      <c r="N188" s="381"/>
      <c r="O188" s="381"/>
      <c r="P188" s="381"/>
      <c r="Q188" s="381"/>
      <c r="R188" s="381"/>
      <c r="S188" s="381"/>
      <c r="T188" s="381"/>
      <c r="U188" s="381"/>
      <c r="V188" s="381"/>
      <c r="W188" s="381"/>
      <c r="X188" s="381"/>
      <c r="Y188" s="381"/>
      <c r="Z188" s="381"/>
      <c r="AA188" s="381"/>
      <c r="AB188" s="381"/>
      <c r="AC188" s="381"/>
      <c r="AD188" s="381"/>
      <c r="AE188" s="381"/>
      <c r="AF188" s="381"/>
      <c r="AG188" s="381"/>
      <c r="AH188" s="381"/>
      <c r="AI188" s="381"/>
      <c r="AJ188" s="381"/>
      <c r="AK188" s="381"/>
      <c r="AL188" s="381"/>
      <c r="AM188" s="381"/>
      <c r="AN188" s="381"/>
      <c r="AO188" s="381"/>
      <c r="AP188" s="381"/>
      <c r="AQ188" s="381"/>
      <c r="AR188" s="381"/>
      <c r="AS188" s="381"/>
      <c r="AT188" s="381"/>
      <c r="AU188" s="381"/>
      <c r="AV188" s="381"/>
      <c r="AW188" s="381"/>
      <c r="AX188" s="381"/>
      <c r="AY188" s="381"/>
      <c r="AZ188" s="381"/>
    </row>
    <row r="189" spans="1:52" s="371" customFormat="1" x14ac:dyDescent="0.2">
      <c r="A189" s="395"/>
      <c r="B189" s="395"/>
      <c r="C189" s="18"/>
      <c r="D189" s="381"/>
      <c r="E189" s="381"/>
      <c r="F189" s="381"/>
      <c r="G189" s="381"/>
      <c r="H189" s="381"/>
      <c r="I189" s="381"/>
      <c r="J189" s="381"/>
      <c r="K189" s="381"/>
      <c r="L189" s="381"/>
      <c r="M189" s="381"/>
      <c r="N189" s="381"/>
      <c r="O189" s="381"/>
      <c r="P189" s="381"/>
      <c r="Q189" s="381"/>
      <c r="R189" s="381"/>
      <c r="S189" s="381"/>
      <c r="T189" s="381"/>
      <c r="U189" s="381"/>
      <c r="V189" s="381"/>
      <c r="W189" s="381"/>
      <c r="X189" s="381"/>
      <c r="Y189" s="381"/>
      <c r="Z189" s="381"/>
      <c r="AA189" s="381"/>
      <c r="AB189" s="381"/>
      <c r="AC189" s="381"/>
      <c r="AD189" s="381"/>
      <c r="AE189" s="381"/>
      <c r="AF189" s="381"/>
      <c r="AG189" s="381"/>
      <c r="AH189" s="381"/>
      <c r="AI189" s="381"/>
      <c r="AJ189" s="381"/>
      <c r="AK189" s="381"/>
      <c r="AL189" s="381"/>
      <c r="AM189" s="381"/>
      <c r="AN189" s="381"/>
      <c r="AO189" s="381"/>
      <c r="AP189" s="381"/>
      <c r="AQ189" s="381"/>
      <c r="AR189" s="381"/>
      <c r="AS189" s="381"/>
      <c r="AT189" s="381"/>
      <c r="AU189" s="381"/>
      <c r="AV189" s="381"/>
      <c r="AW189" s="381"/>
      <c r="AX189" s="381"/>
      <c r="AY189" s="381"/>
      <c r="AZ189" s="381"/>
    </row>
    <row r="190" spans="1:52" s="371" customFormat="1" x14ac:dyDescent="0.2">
      <c r="A190" s="395"/>
      <c r="B190" s="395"/>
      <c r="C190" s="18"/>
      <c r="D190" s="381"/>
      <c r="E190" s="381"/>
      <c r="F190" s="381"/>
      <c r="G190" s="381"/>
      <c r="H190" s="381"/>
      <c r="I190" s="381"/>
      <c r="J190" s="381"/>
      <c r="K190" s="381"/>
      <c r="L190" s="381"/>
      <c r="M190" s="381"/>
      <c r="N190" s="381"/>
      <c r="O190" s="381"/>
      <c r="P190" s="381"/>
      <c r="Q190" s="381"/>
      <c r="R190" s="381"/>
      <c r="S190" s="381"/>
      <c r="T190" s="381"/>
      <c r="U190" s="381"/>
      <c r="V190" s="381"/>
      <c r="W190" s="381"/>
      <c r="X190" s="381"/>
      <c r="Y190" s="381"/>
      <c r="Z190" s="381"/>
      <c r="AA190" s="381"/>
      <c r="AB190" s="381"/>
      <c r="AC190" s="381"/>
      <c r="AD190" s="381"/>
      <c r="AE190" s="381"/>
      <c r="AF190" s="381"/>
      <c r="AG190" s="381"/>
      <c r="AH190" s="381"/>
      <c r="AI190" s="381"/>
      <c r="AJ190" s="381"/>
      <c r="AK190" s="381"/>
      <c r="AL190" s="381"/>
      <c r="AM190" s="381"/>
      <c r="AN190" s="381"/>
      <c r="AO190" s="381"/>
      <c r="AP190" s="381"/>
      <c r="AQ190" s="381"/>
      <c r="AR190" s="381"/>
      <c r="AS190" s="381"/>
      <c r="AT190" s="381"/>
      <c r="AU190" s="381"/>
      <c r="AV190" s="381"/>
      <c r="AW190" s="381"/>
      <c r="AX190" s="381"/>
      <c r="AY190" s="381"/>
      <c r="AZ190" s="381"/>
    </row>
    <row r="191" spans="1:52" s="371" customFormat="1" x14ac:dyDescent="0.2">
      <c r="A191" s="395"/>
      <c r="B191" s="395"/>
      <c r="C191" s="18"/>
      <c r="D191" s="381"/>
      <c r="E191" s="381"/>
      <c r="F191" s="381"/>
      <c r="G191" s="381"/>
      <c r="H191" s="381"/>
      <c r="I191" s="381"/>
      <c r="J191" s="381"/>
      <c r="K191" s="381"/>
      <c r="L191" s="381"/>
      <c r="M191" s="381"/>
      <c r="N191" s="381"/>
      <c r="O191" s="381"/>
      <c r="P191" s="381"/>
      <c r="Q191" s="381"/>
      <c r="R191" s="381"/>
      <c r="S191" s="381"/>
      <c r="T191" s="381"/>
      <c r="U191" s="381"/>
      <c r="V191" s="381"/>
      <c r="W191" s="381"/>
      <c r="X191" s="381"/>
      <c r="Y191" s="381"/>
      <c r="Z191" s="381"/>
      <c r="AA191" s="381"/>
      <c r="AB191" s="381"/>
      <c r="AC191" s="381"/>
      <c r="AD191" s="381"/>
      <c r="AE191" s="381"/>
      <c r="AF191" s="381"/>
      <c r="AG191" s="381"/>
      <c r="AH191" s="381"/>
      <c r="AI191" s="381"/>
      <c r="AJ191" s="381"/>
      <c r="AK191" s="381"/>
      <c r="AL191" s="381"/>
      <c r="AM191" s="381"/>
      <c r="AN191" s="381"/>
      <c r="AO191" s="381"/>
      <c r="AP191" s="381"/>
      <c r="AQ191" s="381"/>
      <c r="AR191" s="381"/>
      <c r="AS191" s="381"/>
      <c r="AT191" s="381"/>
      <c r="AU191" s="381"/>
      <c r="AV191" s="381"/>
      <c r="AW191" s="381"/>
      <c r="AX191" s="381"/>
      <c r="AY191" s="381"/>
      <c r="AZ191" s="381"/>
    </row>
    <row r="192" spans="1:52" s="371" customFormat="1" x14ac:dyDescent="0.2">
      <c r="A192" s="395"/>
      <c r="B192" s="395"/>
      <c r="C192" s="18"/>
      <c r="D192" s="381"/>
      <c r="E192" s="381"/>
      <c r="F192" s="381"/>
      <c r="G192" s="381"/>
      <c r="H192" s="381"/>
      <c r="I192" s="381"/>
      <c r="J192" s="381"/>
      <c r="K192" s="381"/>
      <c r="L192" s="381"/>
      <c r="M192" s="381"/>
      <c r="N192" s="381"/>
      <c r="O192" s="381"/>
      <c r="P192" s="381"/>
      <c r="Q192" s="381"/>
      <c r="R192" s="381"/>
      <c r="S192" s="381"/>
      <c r="T192" s="381"/>
      <c r="U192" s="381"/>
      <c r="V192" s="381"/>
      <c r="W192" s="381"/>
      <c r="X192" s="381"/>
      <c r="Y192" s="381"/>
      <c r="Z192" s="381"/>
      <c r="AA192" s="381"/>
      <c r="AB192" s="381"/>
      <c r="AC192" s="381"/>
      <c r="AD192" s="381"/>
      <c r="AE192" s="381"/>
      <c r="AF192" s="381"/>
      <c r="AG192" s="381"/>
      <c r="AH192" s="381"/>
      <c r="AI192" s="381"/>
      <c r="AJ192" s="381"/>
      <c r="AK192" s="381"/>
      <c r="AL192" s="381"/>
      <c r="AM192" s="381"/>
      <c r="AN192" s="381"/>
      <c r="AO192" s="381"/>
      <c r="AP192" s="381"/>
      <c r="AQ192" s="381"/>
      <c r="AR192" s="381"/>
      <c r="AS192" s="381"/>
      <c r="AT192" s="381"/>
      <c r="AU192" s="381"/>
      <c r="AV192" s="381"/>
      <c r="AW192" s="381"/>
      <c r="AX192" s="381"/>
      <c r="AY192" s="381"/>
      <c r="AZ192" s="381"/>
    </row>
    <row r="193" spans="1:52" s="371" customFormat="1" x14ac:dyDescent="0.2">
      <c r="A193" s="395"/>
      <c r="B193" s="395"/>
      <c r="C193" s="18"/>
      <c r="D193" s="381"/>
      <c r="E193" s="381"/>
      <c r="F193" s="381"/>
      <c r="G193" s="381"/>
      <c r="H193" s="381"/>
      <c r="I193" s="381"/>
      <c r="J193" s="381"/>
      <c r="K193" s="381"/>
      <c r="L193" s="381"/>
      <c r="M193" s="381"/>
      <c r="N193" s="381"/>
      <c r="O193" s="381"/>
      <c r="P193" s="381"/>
      <c r="Q193" s="381"/>
      <c r="R193" s="381"/>
      <c r="S193" s="381"/>
      <c r="T193" s="381"/>
      <c r="U193" s="381"/>
      <c r="V193" s="381"/>
      <c r="W193" s="381"/>
      <c r="X193" s="381"/>
      <c r="Y193" s="381"/>
      <c r="Z193" s="381"/>
      <c r="AA193" s="381"/>
      <c r="AB193" s="381"/>
      <c r="AC193" s="381"/>
      <c r="AD193" s="381"/>
      <c r="AE193" s="381"/>
      <c r="AF193" s="381"/>
      <c r="AG193" s="381"/>
      <c r="AH193" s="381"/>
      <c r="AI193" s="381"/>
      <c r="AJ193" s="381"/>
      <c r="AK193" s="381"/>
      <c r="AL193" s="381"/>
      <c r="AM193" s="381"/>
      <c r="AN193" s="381"/>
      <c r="AO193" s="381"/>
      <c r="AP193" s="381"/>
      <c r="AQ193" s="381"/>
      <c r="AR193" s="381"/>
      <c r="AS193" s="381"/>
      <c r="AT193" s="381"/>
      <c r="AU193" s="381"/>
      <c r="AV193" s="381"/>
      <c r="AW193" s="381"/>
      <c r="AX193" s="381"/>
      <c r="AY193" s="381"/>
      <c r="AZ193" s="381"/>
    </row>
    <row r="194" spans="1:52" s="371" customFormat="1" x14ac:dyDescent="0.2">
      <c r="A194" s="395"/>
      <c r="B194" s="395"/>
      <c r="C194" s="18"/>
      <c r="D194" s="381"/>
      <c r="E194" s="381"/>
      <c r="F194" s="381"/>
      <c r="G194" s="381"/>
      <c r="H194" s="381"/>
      <c r="I194" s="381"/>
      <c r="J194" s="381"/>
      <c r="K194" s="381"/>
      <c r="L194" s="381"/>
      <c r="M194" s="381"/>
      <c r="N194" s="381"/>
      <c r="O194" s="381"/>
      <c r="P194" s="381"/>
      <c r="Q194" s="381"/>
      <c r="R194" s="381"/>
      <c r="S194" s="381"/>
      <c r="T194" s="381"/>
      <c r="U194" s="381"/>
      <c r="V194" s="381"/>
      <c r="W194" s="381"/>
      <c r="X194" s="381"/>
      <c r="Y194" s="381"/>
      <c r="Z194" s="381"/>
      <c r="AA194" s="381"/>
      <c r="AB194" s="381"/>
      <c r="AC194" s="381"/>
      <c r="AD194" s="381"/>
      <c r="AE194" s="381"/>
      <c r="AF194" s="381"/>
      <c r="AG194" s="381"/>
      <c r="AH194" s="381"/>
      <c r="AI194" s="381"/>
      <c r="AJ194" s="381"/>
      <c r="AK194" s="381"/>
      <c r="AL194" s="381"/>
      <c r="AM194" s="381"/>
      <c r="AN194" s="381"/>
      <c r="AO194" s="381"/>
      <c r="AP194" s="381"/>
      <c r="AQ194" s="381"/>
      <c r="AR194" s="381"/>
      <c r="AS194" s="381"/>
      <c r="AT194" s="381"/>
      <c r="AU194" s="381"/>
      <c r="AV194" s="381"/>
      <c r="AW194" s="381"/>
      <c r="AX194" s="381"/>
      <c r="AY194" s="381"/>
      <c r="AZ194" s="381"/>
    </row>
    <row r="195" spans="1:52" s="371" customFormat="1" x14ac:dyDescent="0.2">
      <c r="A195" s="395"/>
      <c r="B195" s="395"/>
      <c r="C195" s="18"/>
      <c r="D195" s="381"/>
      <c r="E195" s="381"/>
      <c r="F195" s="381"/>
      <c r="G195" s="381"/>
      <c r="H195" s="381"/>
      <c r="I195" s="381"/>
      <c r="J195" s="381"/>
      <c r="K195" s="381"/>
      <c r="L195" s="381"/>
      <c r="M195" s="381"/>
      <c r="N195" s="381"/>
      <c r="O195" s="381"/>
      <c r="P195" s="381"/>
      <c r="Q195" s="381"/>
      <c r="R195" s="381"/>
      <c r="S195" s="381"/>
      <c r="T195" s="381"/>
      <c r="U195" s="381"/>
      <c r="V195" s="381"/>
      <c r="W195" s="381"/>
      <c r="X195" s="381"/>
      <c r="Y195" s="381"/>
      <c r="Z195" s="381"/>
      <c r="AA195" s="381"/>
      <c r="AB195" s="381"/>
      <c r="AC195" s="381"/>
      <c r="AD195" s="381"/>
      <c r="AE195" s="381"/>
      <c r="AF195" s="381"/>
      <c r="AG195" s="381"/>
      <c r="AH195" s="381"/>
      <c r="AI195" s="381"/>
      <c r="AJ195" s="381"/>
      <c r="AK195" s="381"/>
      <c r="AL195" s="381"/>
      <c r="AM195" s="381"/>
      <c r="AN195" s="381"/>
      <c r="AO195" s="381"/>
      <c r="AP195" s="381"/>
      <c r="AQ195" s="381"/>
      <c r="AR195" s="381"/>
      <c r="AS195" s="381"/>
      <c r="AT195" s="381"/>
      <c r="AU195" s="381"/>
      <c r="AV195" s="381"/>
      <c r="AW195" s="381"/>
      <c r="AX195" s="381"/>
      <c r="AY195" s="381"/>
      <c r="AZ195" s="381"/>
    </row>
    <row r="196" spans="1:52" s="371" customFormat="1" x14ac:dyDescent="0.2">
      <c r="A196" s="395"/>
      <c r="B196" s="395"/>
      <c r="C196" s="18"/>
      <c r="D196" s="381"/>
      <c r="E196" s="381"/>
      <c r="F196" s="381"/>
      <c r="G196" s="381"/>
      <c r="H196" s="381"/>
      <c r="I196" s="381"/>
      <c r="J196" s="381"/>
      <c r="K196" s="381"/>
      <c r="L196" s="381"/>
      <c r="M196" s="381"/>
      <c r="N196" s="381"/>
      <c r="O196" s="381"/>
      <c r="P196" s="381"/>
      <c r="Q196" s="381"/>
      <c r="R196" s="381"/>
      <c r="S196" s="381"/>
      <c r="T196" s="381"/>
      <c r="U196" s="381"/>
      <c r="V196" s="381"/>
      <c r="W196" s="381"/>
      <c r="X196" s="381"/>
      <c r="Y196" s="381"/>
      <c r="Z196" s="381"/>
      <c r="AA196" s="381"/>
      <c r="AB196" s="381"/>
      <c r="AC196" s="381"/>
      <c r="AD196" s="381"/>
      <c r="AE196" s="381"/>
      <c r="AF196" s="381"/>
      <c r="AG196" s="381"/>
      <c r="AH196" s="381"/>
      <c r="AI196" s="381"/>
      <c r="AJ196" s="381"/>
      <c r="AK196" s="381"/>
      <c r="AL196" s="381"/>
      <c r="AM196" s="381"/>
      <c r="AN196" s="381"/>
      <c r="AO196" s="381"/>
      <c r="AP196" s="381"/>
      <c r="AQ196" s="381"/>
      <c r="AR196" s="381"/>
      <c r="AS196" s="381"/>
      <c r="AT196" s="381"/>
      <c r="AU196" s="381"/>
      <c r="AV196" s="381"/>
      <c r="AW196" s="381"/>
      <c r="AX196" s="381"/>
      <c r="AY196" s="381"/>
      <c r="AZ196" s="381"/>
    </row>
    <row r="197" spans="1:52" s="371" customFormat="1" x14ac:dyDescent="0.2">
      <c r="A197" s="395"/>
      <c r="B197" s="395"/>
      <c r="C197" s="18"/>
      <c r="D197" s="381"/>
      <c r="E197" s="381"/>
      <c r="F197" s="381"/>
      <c r="G197" s="381"/>
      <c r="H197" s="381"/>
      <c r="I197" s="381"/>
      <c r="J197" s="381"/>
      <c r="K197" s="381"/>
      <c r="L197" s="381"/>
      <c r="M197" s="381"/>
      <c r="N197" s="381"/>
      <c r="O197" s="381"/>
      <c r="P197" s="381"/>
      <c r="Q197" s="381"/>
      <c r="R197" s="381"/>
      <c r="S197" s="381"/>
      <c r="T197" s="381"/>
      <c r="U197" s="381"/>
      <c r="V197" s="381"/>
      <c r="W197" s="381"/>
      <c r="X197" s="381"/>
      <c r="Y197" s="381"/>
      <c r="Z197" s="381"/>
      <c r="AA197" s="381"/>
      <c r="AB197" s="381"/>
      <c r="AC197" s="381"/>
      <c r="AD197" s="381"/>
      <c r="AE197" s="381"/>
      <c r="AF197" s="381"/>
      <c r="AG197" s="381"/>
      <c r="AH197" s="381"/>
      <c r="AI197" s="381"/>
      <c r="AJ197" s="381"/>
      <c r="AK197" s="381"/>
      <c r="AL197" s="381"/>
      <c r="AM197" s="381"/>
      <c r="AN197" s="381"/>
      <c r="AO197" s="381"/>
      <c r="AP197" s="381"/>
      <c r="AQ197" s="381"/>
      <c r="AR197" s="381"/>
      <c r="AS197" s="381"/>
      <c r="AT197" s="381"/>
      <c r="AU197" s="381"/>
      <c r="AV197" s="381"/>
      <c r="AW197" s="381"/>
      <c r="AX197" s="381"/>
      <c r="AY197" s="381"/>
      <c r="AZ197" s="381"/>
    </row>
    <row r="198" spans="1:52" s="371" customFormat="1" x14ac:dyDescent="0.2">
      <c r="A198" s="395"/>
      <c r="B198" s="395"/>
      <c r="C198" s="18"/>
      <c r="D198" s="381"/>
      <c r="E198" s="381"/>
      <c r="F198" s="381"/>
      <c r="G198" s="381"/>
      <c r="H198" s="381"/>
      <c r="I198" s="381"/>
      <c r="J198" s="381"/>
      <c r="K198" s="381"/>
      <c r="L198" s="381"/>
      <c r="M198" s="381"/>
      <c r="N198" s="381"/>
      <c r="O198" s="381"/>
      <c r="P198" s="381"/>
      <c r="Q198" s="381"/>
      <c r="R198" s="381"/>
      <c r="S198" s="381"/>
      <c r="T198" s="381"/>
      <c r="U198" s="381"/>
      <c r="V198" s="381"/>
      <c r="W198" s="381"/>
      <c r="X198" s="381"/>
      <c r="Y198" s="381"/>
      <c r="Z198" s="381"/>
      <c r="AA198" s="381"/>
      <c r="AB198" s="381"/>
      <c r="AC198" s="381"/>
      <c r="AD198" s="381"/>
      <c r="AE198" s="381"/>
      <c r="AF198" s="381"/>
      <c r="AG198" s="381"/>
      <c r="AH198" s="381"/>
      <c r="AI198" s="381"/>
      <c r="AJ198" s="381"/>
      <c r="AK198" s="381"/>
      <c r="AL198" s="381"/>
      <c r="AM198" s="381"/>
      <c r="AN198" s="381"/>
      <c r="AO198" s="381"/>
      <c r="AP198" s="381"/>
      <c r="AQ198" s="381"/>
      <c r="AR198" s="381"/>
      <c r="AS198" s="381"/>
      <c r="AT198" s="381"/>
      <c r="AU198" s="381"/>
      <c r="AV198" s="381"/>
      <c r="AW198" s="381"/>
      <c r="AX198" s="381"/>
      <c r="AY198" s="381"/>
      <c r="AZ198" s="381"/>
    </row>
    <row r="199" spans="1:52" s="371" customFormat="1" x14ac:dyDescent="0.2">
      <c r="A199" s="395"/>
      <c r="B199" s="395"/>
      <c r="C199" s="18"/>
      <c r="D199" s="381"/>
      <c r="E199" s="381"/>
      <c r="F199" s="381"/>
      <c r="G199" s="381"/>
      <c r="H199" s="381"/>
      <c r="I199" s="381"/>
      <c r="J199" s="381"/>
      <c r="K199" s="381"/>
      <c r="L199" s="381"/>
      <c r="M199" s="381"/>
      <c r="N199" s="381"/>
      <c r="O199" s="381"/>
      <c r="P199" s="381"/>
      <c r="Q199" s="381"/>
      <c r="R199" s="381"/>
      <c r="S199" s="381"/>
      <c r="T199" s="381"/>
      <c r="U199" s="381"/>
      <c r="V199" s="381"/>
      <c r="W199" s="381"/>
      <c r="X199" s="381"/>
      <c r="Y199" s="381"/>
      <c r="Z199" s="381"/>
      <c r="AA199" s="381"/>
      <c r="AB199" s="381"/>
      <c r="AC199" s="381"/>
      <c r="AD199" s="381"/>
      <c r="AE199" s="381"/>
      <c r="AF199" s="381"/>
      <c r="AG199" s="381"/>
      <c r="AH199" s="381"/>
      <c r="AI199" s="381"/>
      <c r="AJ199" s="381"/>
      <c r="AK199" s="381"/>
      <c r="AL199" s="381"/>
      <c r="AM199" s="381"/>
      <c r="AN199" s="381"/>
      <c r="AO199" s="381"/>
      <c r="AP199" s="381"/>
      <c r="AQ199" s="381"/>
      <c r="AR199" s="381"/>
      <c r="AS199" s="381"/>
      <c r="AT199" s="381"/>
      <c r="AU199" s="381"/>
      <c r="AV199" s="381"/>
      <c r="AW199" s="381"/>
      <c r="AX199" s="381"/>
      <c r="AY199" s="381"/>
      <c r="AZ199" s="381"/>
    </row>
    <row r="200" spans="1:52" s="371" customFormat="1" x14ac:dyDescent="0.2">
      <c r="A200" s="395"/>
      <c r="B200" s="395"/>
      <c r="C200" s="18"/>
      <c r="D200" s="381"/>
      <c r="E200" s="381"/>
      <c r="F200" s="381"/>
      <c r="G200" s="381"/>
      <c r="H200" s="381"/>
      <c r="I200" s="381"/>
      <c r="J200" s="381"/>
      <c r="K200" s="381"/>
      <c r="L200" s="381"/>
      <c r="M200" s="381"/>
      <c r="N200" s="381"/>
      <c r="O200" s="381"/>
      <c r="P200" s="381"/>
      <c r="Q200" s="381"/>
      <c r="R200" s="381"/>
      <c r="S200" s="381"/>
      <c r="T200" s="381"/>
      <c r="U200" s="381"/>
      <c r="V200" s="381"/>
      <c r="W200" s="381"/>
      <c r="X200" s="381"/>
      <c r="Y200" s="381"/>
      <c r="Z200" s="381"/>
      <c r="AA200" s="381"/>
      <c r="AB200" s="381"/>
      <c r="AC200" s="381"/>
      <c r="AD200" s="381"/>
      <c r="AE200" s="381"/>
      <c r="AF200" s="381"/>
      <c r="AG200" s="381"/>
      <c r="AH200" s="381"/>
      <c r="AI200" s="381"/>
      <c r="AJ200" s="381"/>
      <c r="AK200" s="381"/>
      <c r="AL200" s="381"/>
      <c r="AM200" s="381"/>
      <c r="AN200" s="381"/>
      <c r="AO200" s="381"/>
      <c r="AP200" s="381"/>
      <c r="AQ200" s="381"/>
      <c r="AR200" s="381"/>
      <c r="AS200" s="381"/>
      <c r="AT200" s="381"/>
      <c r="AU200" s="381"/>
      <c r="AV200" s="381"/>
      <c r="AW200" s="381"/>
      <c r="AX200" s="381"/>
      <c r="AY200" s="381"/>
      <c r="AZ200" s="381"/>
    </row>
    <row r="201" spans="1:52" s="371" customFormat="1" x14ac:dyDescent="0.2">
      <c r="A201" s="395"/>
      <c r="B201" s="395"/>
      <c r="C201" s="18"/>
      <c r="D201" s="381"/>
      <c r="E201" s="381"/>
      <c r="F201" s="381"/>
      <c r="G201" s="381"/>
      <c r="H201" s="381"/>
      <c r="I201" s="381"/>
      <c r="J201" s="381"/>
      <c r="K201" s="381"/>
      <c r="L201" s="381"/>
      <c r="M201" s="381"/>
      <c r="N201" s="381"/>
      <c r="O201" s="381"/>
      <c r="P201" s="381"/>
      <c r="Q201" s="381"/>
      <c r="R201" s="381"/>
      <c r="S201" s="381"/>
      <c r="T201" s="381"/>
      <c r="U201" s="381"/>
      <c r="V201" s="381"/>
      <c r="W201" s="381"/>
      <c r="X201" s="381"/>
      <c r="Y201" s="381"/>
      <c r="Z201" s="381"/>
      <c r="AA201" s="381"/>
      <c r="AB201" s="381"/>
      <c r="AC201" s="381"/>
      <c r="AD201" s="381"/>
      <c r="AE201" s="381"/>
      <c r="AF201" s="381"/>
      <c r="AG201" s="381"/>
      <c r="AH201" s="381"/>
      <c r="AI201" s="381"/>
      <c r="AJ201" s="381"/>
      <c r="AK201" s="381"/>
      <c r="AL201" s="381"/>
      <c r="AM201" s="381"/>
      <c r="AN201" s="381"/>
      <c r="AO201" s="381"/>
      <c r="AP201" s="381"/>
      <c r="AQ201" s="381"/>
      <c r="AR201" s="381"/>
      <c r="AS201" s="381"/>
      <c r="AT201" s="381"/>
      <c r="AU201" s="381"/>
      <c r="AV201" s="381"/>
      <c r="AW201" s="381"/>
      <c r="AX201" s="381"/>
      <c r="AY201" s="381"/>
      <c r="AZ201" s="381"/>
    </row>
    <row r="202" spans="1:52" s="371" customFormat="1" x14ac:dyDescent="0.2">
      <c r="A202" s="395"/>
      <c r="B202" s="395"/>
      <c r="C202" s="18"/>
      <c r="D202" s="381"/>
      <c r="E202" s="381"/>
      <c r="F202" s="381"/>
      <c r="G202" s="381"/>
      <c r="H202" s="381"/>
      <c r="I202" s="381"/>
      <c r="J202" s="381"/>
      <c r="K202" s="381"/>
      <c r="L202" s="381"/>
      <c r="M202" s="381"/>
      <c r="N202" s="381"/>
      <c r="O202" s="381"/>
      <c r="P202" s="381"/>
      <c r="Q202" s="381"/>
      <c r="R202" s="381"/>
      <c r="S202" s="381"/>
      <c r="T202" s="381"/>
      <c r="U202" s="381"/>
      <c r="V202" s="381"/>
      <c r="W202" s="381"/>
      <c r="X202" s="381"/>
      <c r="Y202" s="381"/>
      <c r="Z202" s="381"/>
      <c r="AA202" s="381"/>
      <c r="AB202" s="381"/>
      <c r="AC202" s="381"/>
      <c r="AD202" s="381"/>
      <c r="AE202" s="381"/>
      <c r="AF202" s="381"/>
      <c r="AG202" s="381"/>
      <c r="AH202" s="381"/>
      <c r="AI202" s="381"/>
      <c r="AJ202" s="381"/>
      <c r="AK202" s="381"/>
      <c r="AL202" s="381"/>
      <c r="AM202" s="381"/>
      <c r="AN202" s="381"/>
      <c r="AO202" s="381"/>
      <c r="AP202" s="381"/>
      <c r="AQ202" s="381"/>
      <c r="AR202" s="381"/>
      <c r="AS202" s="381"/>
      <c r="AT202" s="381"/>
      <c r="AU202" s="381"/>
      <c r="AV202" s="381"/>
      <c r="AW202" s="381"/>
      <c r="AX202" s="381"/>
      <c r="AY202" s="381"/>
      <c r="AZ202" s="381"/>
    </row>
    <row r="203" spans="1:52" s="371" customFormat="1" x14ac:dyDescent="0.2">
      <c r="A203" s="395"/>
      <c r="B203" s="395"/>
      <c r="C203" s="18"/>
      <c r="D203" s="381"/>
      <c r="E203" s="381"/>
      <c r="F203" s="381"/>
      <c r="G203" s="381"/>
      <c r="H203" s="381"/>
      <c r="I203" s="381"/>
      <c r="J203" s="381"/>
      <c r="K203" s="381"/>
      <c r="L203" s="381"/>
      <c r="M203" s="381"/>
      <c r="N203" s="381"/>
      <c r="O203" s="381"/>
      <c r="P203" s="381"/>
      <c r="Q203" s="381"/>
      <c r="R203" s="381"/>
      <c r="S203" s="381"/>
      <c r="T203" s="381"/>
      <c r="U203" s="381"/>
      <c r="V203" s="381"/>
      <c r="W203" s="381"/>
      <c r="X203" s="381"/>
      <c r="Y203" s="381"/>
      <c r="Z203" s="381"/>
      <c r="AA203" s="381"/>
      <c r="AB203" s="381"/>
      <c r="AC203" s="381"/>
      <c r="AD203" s="381"/>
      <c r="AE203" s="381"/>
      <c r="AF203" s="381"/>
      <c r="AG203" s="381"/>
      <c r="AH203" s="381"/>
      <c r="AI203" s="381"/>
      <c r="AJ203" s="381"/>
      <c r="AK203" s="381"/>
      <c r="AL203" s="381"/>
      <c r="AM203" s="381"/>
      <c r="AN203" s="381"/>
      <c r="AO203" s="381"/>
      <c r="AP203" s="381"/>
      <c r="AQ203" s="381"/>
      <c r="AR203" s="381"/>
      <c r="AS203" s="381"/>
      <c r="AT203" s="381"/>
      <c r="AU203" s="381"/>
      <c r="AV203" s="381"/>
      <c r="AW203" s="381"/>
      <c r="AX203" s="381"/>
      <c r="AY203" s="381"/>
      <c r="AZ203" s="381"/>
    </row>
    <row r="204" spans="1:52" s="371" customFormat="1" x14ac:dyDescent="0.2">
      <c r="A204" s="395"/>
      <c r="B204" s="395"/>
      <c r="C204" s="18"/>
      <c r="D204" s="381"/>
      <c r="E204" s="381"/>
      <c r="F204" s="381"/>
      <c r="G204" s="381"/>
      <c r="H204" s="381"/>
      <c r="I204" s="381"/>
      <c r="J204" s="381"/>
      <c r="K204" s="381"/>
      <c r="L204" s="381"/>
      <c r="M204" s="381"/>
      <c r="N204" s="381"/>
      <c r="O204" s="381"/>
      <c r="P204" s="381"/>
      <c r="Q204" s="381"/>
      <c r="R204" s="381"/>
      <c r="S204" s="381"/>
      <c r="T204" s="381"/>
      <c r="U204" s="381"/>
      <c r="V204" s="381"/>
      <c r="W204" s="381"/>
      <c r="X204" s="381"/>
      <c r="Y204" s="381"/>
      <c r="Z204" s="381"/>
      <c r="AA204" s="381"/>
      <c r="AB204" s="381"/>
      <c r="AC204" s="381"/>
      <c r="AD204" s="381"/>
      <c r="AE204" s="381"/>
      <c r="AF204" s="381"/>
      <c r="AG204" s="381"/>
      <c r="AH204" s="381"/>
      <c r="AI204" s="381"/>
      <c r="AJ204" s="381"/>
      <c r="AK204" s="381"/>
      <c r="AL204" s="381"/>
      <c r="AM204" s="381"/>
      <c r="AN204" s="381"/>
      <c r="AO204" s="381"/>
      <c r="AP204" s="381"/>
      <c r="AQ204" s="381"/>
      <c r="AR204" s="381"/>
      <c r="AS204" s="381"/>
      <c r="AT204" s="381"/>
      <c r="AU204" s="381"/>
      <c r="AV204" s="381"/>
      <c r="AW204" s="381"/>
      <c r="AX204" s="381"/>
      <c r="AY204" s="381"/>
      <c r="AZ204" s="381"/>
    </row>
    <row r="205" spans="1:52" s="371" customFormat="1" x14ac:dyDescent="0.2">
      <c r="A205" s="395"/>
      <c r="B205" s="395"/>
      <c r="C205" s="18"/>
      <c r="D205" s="381"/>
      <c r="E205" s="381"/>
      <c r="F205" s="381"/>
      <c r="G205" s="381"/>
      <c r="H205" s="381"/>
      <c r="I205" s="381"/>
      <c r="J205" s="381"/>
      <c r="K205" s="381"/>
      <c r="L205" s="381"/>
      <c r="M205" s="381"/>
      <c r="N205" s="381"/>
      <c r="O205" s="381"/>
      <c r="P205" s="381"/>
      <c r="Q205" s="381"/>
      <c r="R205" s="381"/>
      <c r="S205" s="381"/>
      <c r="T205" s="381"/>
      <c r="U205" s="381"/>
      <c r="V205" s="381"/>
      <c r="W205" s="381"/>
      <c r="X205" s="381"/>
      <c r="Y205" s="381"/>
      <c r="Z205" s="381"/>
      <c r="AA205" s="381"/>
      <c r="AB205" s="381"/>
      <c r="AC205" s="381"/>
      <c r="AD205" s="381"/>
      <c r="AE205" s="381"/>
      <c r="AF205" s="381"/>
      <c r="AG205" s="381"/>
      <c r="AH205" s="381"/>
      <c r="AI205" s="381"/>
      <c r="AJ205" s="381"/>
      <c r="AK205" s="381"/>
      <c r="AL205" s="381"/>
      <c r="AM205" s="381"/>
      <c r="AN205" s="381"/>
      <c r="AO205" s="381"/>
      <c r="AP205" s="381"/>
      <c r="AQ205" s="381"/>
      <c r="AR205" s="381"/>
      <c r="AS205" s="381"/>
      <c r="AT205" s="381"/>
      <c r="AU205" s="381"/>
      <c r="AV205" s="381"/>
      <c r="AW205" s="381"/>
      <c r="AX205" s="381"/>
      <c r="AY205" s="381"/>
      <c r="AZ205" s="381"/>
    </row>
    <row r="206" spans="1:52" s="371" customFormat="1" x14ac:dyDescent="0.2">
      <c r="A206" s="395"/>
      <c r="B206" s="395"/>
      <c r="C206" s="18"/>
      <c r="D206" s="381"/>
      <c r="E206" s="381"/>
      <c r="F206" s="381"/>
      <c r="G206" s="381"/>
      <c r="H206" s="381"/>
      <c r="I206" s="381"/>
      <c r="J206" s="381"/>
      <c r="K206" s="381"/>
      <c r="L206" s="381"/>
      <c r="M206" s="381"/>
      <c r="N206" s="381"/>
      <c r="O206" s="381"/>
      <c r="P206" s="381"/>
      <c r="Q206" s="381"/>
      <c r="R206" s="381"/>
      <c r="S206" s="381"/>
      <c r="T206" s="381"/>
      <c r="U206" s="381"/>
      <c r="V206" s="381"/>
      <c r="W206" s="381"/>
      <c r="X206" s="381"/>
      <c r="Y206" s="381"/>
      <c r="Z206" s="381"/>
      <c r="AA206" s="381"/>
      <c r="AB206" s="381"/>
      <c r="AC206" s="381"/>
      <c r="AD206" s="381"/>
      <c r="AE206" s="381"/>
      <c r="AF206" s="381"/>
      <c r="AG206" s="381"/>
      <c r="AH206" s="381"/>
      <c r="AI206" s="381"/>
      <c r="AJ206" s="381"/>
      <c r="AK206" s="381"/>
      <c r="AL206" s="381"/>
      <c r="AM206" s="381"/>
      <c r="AN206" s="381"/>
      <c r="AO206" s="381"/>
      <c r="AP206" s="381"/>
      <c r="AQ206" s="381"/>
      <c r="AR206" s="381"/>
      <c r="AS206" s="381"/>
      <c r="AT206" s="381"/>
      <c r="AU206" s="381"/>
      <c r="AV206" s="381"/>
      <c r="AW206" s="381"/>
      <c r="AX206" s="381"/>
      <c r="AY206" s="381"/>
      <c r="AZ206" s="381"/>
    </row>
    <row r="207" spans="1:52" s="371" customFormat="1" x14ac:dyDescent="0.2">
      <c r="A207" s="395"/>
      <c r="B207" s="395"/>
      <c r="C207" s="18"/>
      <c r="D207" s="381"/>
      <c r="E207" s="381"/>
      <c r="F207" s="381"/>
      <c r="G207" s="381"/>
      <c r="H207" s="381"/>
      <c r="I207" s="381"/>
      <c r="J207" s="381"/>
      <c r="K207" s="381"/>
      <c r="L207" s="381"/>
      <c r="M207" s="381"/>
      <c r="N207" s="381"/>
      <c r="O207" s="381"/>
      <c r="P207" s="381"/>
      <c r="Q207" s="381"/>
      <c r="R207" s="381"/>
      <c r="S207" s="381"/>
      <c r="T207" s="381"/>
      <c r="U207" s="381"/>
      <c r="V207" s="381"/>
      <c r="W207" s="381"/>
      <c r="X207" s="381"/>
      <c r="Y207" s="381"/>
      <c r="Z207" s="381"/>
      <c r="AA207" s="381"/>
      <c r="AB207" s="381"/>
      <c r="AC207" s="381"/>
      <c r="AD207" s="381"/>
      <c r="AE207" s="381"/>
      <c r="AF207" s="381"/>
      <c r="AG207" s="381"/>
      <c r="AH207" s="381"/>
      <c r="AI207" s="381"/>
      <c r="AJ207" s="381"/>
      <c r="AK207" s="381"/>
      <c r="AL207" s="381"/>
      <c r="AM207" s="381"/>
      <c r="AN207" s="381"/>
      <c r="AO207" s="381"/>
      <c r="AP207" s="381"/>
      <c r="AQ207" s="381"/>
      <c r="AR207" s="381"/>
      <c r="AS207" s="381"/>
      <c r="AT207" s="381"/>
      <c r="AU207" s="381"/>
      <c r="AV207" s="381"/>
      <c r="AW207" s="381"/>
      <c r="AX207" s="381"/>
      <c r="AY207" s="381"/>
      <c r="AZ207" s="381"/>
    </row>
    <row r="208" spans="1:52" s="371" customFormat="1" x14ac:dyDescent="0.2">
      <c r="A208" s="395"/>
      <c r="B208" s="395"/>
      <c r="C208" s="18"/>
      <c r="D208" s="381"/>
      <c r="E208" s="381"/>
      <c r="F208" s="381"/>
      <c r="G208" s="381"/>
      <c r="H208" s="381"/>
      <c r="I208" s="381"/>
      <c r="J208" s="381"/>
      <c r="K208" s="381"/>
      <c r="L208" s="381"/>
      <c r="M208" s="381"/>
      <c r="N208" s="381"/>
      <c r="O208" s="381"/>
      <c r="P208" s="381"/>
      <c r="Q208" s="381"/>
      <c r="R208" s="381"/>
      <c r="S208" s="381"/>
      <c r="T208" s="381"/>
      <c r="U208" s="381"/>
      <c r="V208" s="381"/>
      <c r="W208" s="381"/>
      <c r="X208" s="381"/>
      <c r="Y208" s="381"/>
      <c r="Z208" s="381"/>
      <c r="AA208" s="381"/>
      <c r="AB208" s="381"/>
      <c r="AC208" s="381"/>
      <c r="AD208" s="381"/>
      <c r="AE208" s="381"/>
      <c r="AF208" s="381"/>
      <c r="AG208" s="381"/>
      <c r="AH208" s="381"/>
      <c r="AI208" s="381"/>
      <c r="AJ208" s="381"/>
      <c r="AK208" s="381"/>
      <c r="AL208" s="381"/>
      <c r="AM208" s="381"/>
      <c r="AN208" s="381"/>
      <c r="AO208" s="381"/>
      <c r="AP208" s="381"/>
      <c r="AQ208" s="381"/>
      <c r="AR208" s="381"/>
      <c r="AS208" s="381"/>
      <c r="AT208" s="381"/>
      <c r="AU208" s="381"/>
      <c r="AV208" s="381"/>
      <c r="AW208" s="381"/>
      <c r="AX208" s="381"/>
      <c r="AY208" s="381"/>
      <c r="AZ208" s="381"/>
    </row>
    <row r="209" spans="1:52" s="371" customFormat="1" x14ac:dyDescent="0.2">
      <c r="A209" s="395"/>
      <c r="B209" s="395"/>
      <c r="C209" s="18"/>
      <c r="D209" s="381"/>
      <c r="E209" s="381"/>
      <c r="F209" s="381"/>
      <c r="G209" s="381"/>
      <c r="H209" s="381"/>
      <c r="I209" s="381"/>
      <c r="J209" s="381"/>
      <c r="K209" s="381"/>
      <c r="L209" s="381"/>
      <c r="M209" s="381"/>
      <c r="N209" s="381"/>
      <c r="O209" s="381"/>
      <c r="P209" s="381"/>
      <c r="Q209" s="381"/>
      <c r="R209" s="381"/>
      <c r="S209" s="381"/>
      <c r="T209" s="381"/>
      <c r="U209" s="381"/>
      <c r="V209" s="381"/>
      <c r="W209" s="381"/>
      <c r="X209" s="381"/>
      <c r="Y209" s="381"/>
      <c r="Z209" s="381"/>
      <c r="AA209" s="381"/>
      <c r="AB209" s="381"/>
      <c r="AC209" s="381"/>
      <c r="AD209" s="381"/>
      <c r="AE209" s="381"/>
      <c r="AF209" s="381"/>
      <c r="AG209" s="381"/>
      <c r="AH209" s="381"/>
      <c r="AI209" s="381"/>
      <c r="AJ209" s="381"/>
      <c r="AK209" s="381"/>
      <c r="AL209" s="381"/>
      <c r="AM209" s="381"/>
      <c r="AN209" s="381"/>
      <c r="AO209" s="381"/>
      <c r="AP209" s="381"/>
      <c r="AQ209" s="381"/>
      <c r="AR209" s="381"/>
      <c r="AS209" s="381"/>
      <c r="AT209" s="381"/>
      <c r="AU209" s="381"/>
      <c r="AV209" s="381"/>
      <c r="AW209" s="381"/>
      <c r="AX209" s="381"/>
      <c r="AY209" s="381"/>
      <c r="AZ209" s="381"/>
    </row>
    <row r="210" spans="1:52" s="371" customFormat="1" x14ac:dyDescent="0.2">
      <c r="A210" s="395"/>
      <c r="B210" s="395"/>
      <c r="C210" s="18"/>
      <c r="D210" s="381"/>
      <c r="E210" s="381"/>
      <c r="F210" s="381"/>
      <c r="G210" s="381"/>
      <c r="H210" s="381"/>
      <c r="I210" s="381"/>
      <c r="J210" s="381"/>
      <c r="K210" s="381"/>
      <c r="L210" s="381"/>
      <c r="M210" s="381"/>
      <c r="N210" s="381"/>
      <c r="O210" s="381"/>
      <c r="P210" s="381"/>
      <c r="Q210" s="381"/>
      <c r="R210" s="381"/>
      <c r="S210" s="381"/>
      <c r="T210" s="381"/>
      <c r="U210" s="381"/>
      <c r="V210" s="381"/>
      <c r="W210" s="381"/>
      <c r="X210" s="381"/>
      <c r="Y210" s="381"/>
      <c r="Z210" s="381"/>
      <c r="AA210" s="381"/>
      <c r="AB210" s="381"/>
      <c r="AC210" s="381"/>
      <c r="AD210" s="381"/>
      <c r="AE210" s="381"/>
      <c r="AF210" s="381"/>
      <c r="AG210" s="381"/>
      <c r="AH210" s="381"/>
      <c r="AI210" s="381"/>
      <c r="AJ210" s="381"/>
      <c r="AK210" s="381"/>
      <c r="AL210" s="381"/>
      <c r="AM210" s="381"/>
      <c r="AN210" s="381"/>
      <c r="AO210" s="381"/>
      <c r="AP210" s="381"/>
      <c r="AQ210" s="381"/>
      <c r="AR210" s="381"/>
      <c r="AS210" s="381"/>
      <c r="AT210" s="381"/>
      <c r="AU210" s="381"/>
      <c r="AV210" s="381"/>
      <c r="AW210" s="381"/>
      <c r="AX210" s="381"/>
      <c r="AY210" s="381"/>
      <c r="AZ210" s="381"/>
    </row>
    <row r="211" spans="1:52" s="371" customFormat="1" x14ac:dyDescent="0.2">
      <c r="A211" s="395"/>
      <c r="B211" s="395"/>
      <c r="C211" s="18"/>
      <c r="D211" s="381"/>
      <c r="E211" s="381"/>
      <c r="F211" s="381"/>
      <c r="G211" s="381"/>
      <c r="H211" s="381"/>
      <c r="I211" s="381"/>
      <c r="J211" s="381"/>
      <c r="K211" s="381"/>
      <c r="L211" s="381"/>
      <c r="M211" s="381"/>
      <c r="N211" s="381"/>
      <c r="O211" s="381"/>
      <c r="P211" s="381"/>
      <c r="Q211" s="381"/>
      <c r="R211" s="381"/>
      <c r="S211" s="381"/>
      <c r="T211" s="381"/>
      <c r="U211" s="381"/>
      <c r="V211" s="381"/>
      <c r="W211" s="381"/>
      <c r="X211" s="381"/>
      <c r="Y211" s="381"/>
      <c r="Z211" s="381"/>
      <c r="AA211" s="381"/>
      <c r="AB211" s="381"/>
      <c r="AC211" s="381"/>
      <c r="AD211" s="381"/>
      <c r="AE211" s="381"/>
      <c r="AF211" s="381"/>
      <c r="AG211" s="381"/>
      <c r="AH211" s="381"/>
      <c r="AI211" s="381"/>
      <c r="AJ211" s="381"/>
      <c r="AK211" s="381"/>
      <c r="AL211" s="381"/>
      <c r="AM211" s="381"/>
      <c r="AN211" s="381"/>
      <c r="AO211" s="381"/>
      <c r="AP211" s="381"/>
      <c r="AQ211" s="381"/>
      <c r="AR211" s="381"/>
      <c r="AS211" s="381"/>
      <c r="AT211" s="381"/>
      <c r="AU211" s="381"/>
      <c r="AV211" s="381"/>
      <c r="AW211" s="381"/>
      <c r="AX211" s="381"/>
      <c r="AY211" s="381"/>
      <c r="AZ211" s="381"/>
    </row>
    <row r="212" spans="1:52" s="371" customFormat="1" x14ac:dyDescent="0.2">
      <c r="A212" s="395"/>
      <c r="B212" s="395"/>
      <c r="C212" s="18"/>
      <c r="D212" s="381"/>
      <c r="E212" s="381"/>
      <c r="F212" s="381"/>
      <c r="G212" s="381"/>
      <c r="H212" s="381"/>
      <c r="I212" s="381"/>
      <c r="J212" s="381"/>
      <c r="K212" s="381"/>
      <c r="L212" s="381"/>
      <c r="M212" s="381"/>
      <c r="N212" s="381"/>
      <c r="O212" s="381"/>
      <c r="P212" s="381"/>
      <c r="Q212" s="381"/>
      <c r="R212" s="381"/>
      <c r="S212" s="381"/>
      <c r="T212" s="381"/>
      <c r="U212" s="381"/>
      <c r="V212" s="381"/>
      <c r="W212" s="381"/>
      <c r="X212" s="381"/>
      <c r="Y212" s="381"/>
      <c r="Z212" s="381"/>
      <c r="AA212" s="381"/>
      <c r="AB212" s="381"/>
      <c r="AC212" s="381"/>
      <c r="AD212" s="381"/>
      <c r="AE212" s="381"/>
      <c r="AF212" s="381"/>
      <c r="AG212" s="381"/>
      <c r="AH212" s="381"/>
      <c r="AI212" s="381"/>
      <c r="AJ212" s="381"/>
      <c r="AK212" s="381"/>
      <c r="AL212" s="381"/>
      <c r="AM212" s="381"/>
      <c r="AN212" s="381"/>
      <c r="AO212" s="381"/>
      <c r="AP212" s="381"/>
      <c r="AQ212" s="381"/>
      <c r="AR212" s="381"/>
      <c r="AS212" s="381"/>
      <c r="AT212" s="381"/>
      <c r="AU212" s="381"/>
      <c r="AV212" s="381"/>
      <c r="AW212" s="381"/>
      <c r="AX212" s="381"/>
      <c r="AY212" s="381"/>
      <c r="AZ212" s="381"/>
    </row>
    <row r="213" spans="1:52" s="371" customFormat="1" x14ac:dyDescent="0.2">
      <c r="A213" s="395"/>
      <c r="B213" s="395"/>
      <c r="C213" s="18"/>
      <c r="D213" s="381"/>
      <c r="E213" s="381"/>
      <c r="F213" s="381"/>
      <c r="G213" s="381"/>
      <c r="H213" s="381"/>
      <c r="I213" s="381"/>
      <c r="J213" s="381"/>
      <c r="K213" s="381"/>
      <c r="L213" s="381"/>
      <c r="M213" s="381"/>
      <c r="N213" s="381"/>
      <c r="O213" s="381"/>
      <c r="P213" s="381"/>
      <c r="Q213" s="381"/>
      <c r="R213" s="381"/>
      <c r="S213" s="381"/>
      <c r="T213" s="381"/>
      <c r="U213" s="381"/>
      <c r="V213" s="381"/>
      <c r="W213" s="381"/>
      <c r="X213" s="381"/>
      <c r="Y213" s="381"/>
      <c r="Z213" s="381"/>
      <c r="AA213" s="381"/>
      <c r="AB213" s="381"/>
      <c r="AC213" s="381"/>
      <c r="AD213" s="381"/>
      <c r="AE213" s="381"/>
      <c r="AF213" s="381"/>
      <c r="AG213" s="381"/>
      <c r="AH213" s="381"/>
      <c r="AI213" s="381"/>
      <c r="AJ213" s="381"/>
      <c r="AK213" s="381"/>
      <c r="AL213" s="381"/>
      <c r="AM213" s="381"/>
      <c r="AN213" s="381"/>
      <c r="AO213" s="381"/>
      <c r="AP213" s="381"/>
      <c r="AQ213" s="381"/>
      <c r="AR213" s="381"/>
      <c r="AS213" s="381"/>
      <c r="AT213" s="381"/>
      <c r="AU213" s="381"/>
      <c r="AV213" s="381"/>
      <c r="AW213" s="381"/>
      <c r="AX213" s="381"/>
      <c r="AY213" s="381"/>
      <c r="AZ213" s="381"/>
    </row>
    <row r="214" spans="1:52" s="371" customFormat="1" x14ac:dyDescent="0.2">
      <c r="A214" s="395"/>
      <c r="B214" s="395"/>
      <c r="C214" s="18"/>
      <c r="D214" s="381"/>
      <c r="E214" s="381"/>
      <c r="F214" s="381"/>
      <c r="G214" s="381"/>
      <c r="H214" s="381"/>
      <c r="I214" s="381"/>
      <c r="J214" s="381"/>
      <c r="K214" s="381"/>
      <c r="L214" s="381"/>
      <c r="M214" s="381"/>
      <c r="N214" s="381"/>
      <c r="O214" s="381"/>
      <c r="P214" s="381"/>
      <c r="Q214" s="381"/>
      <c r="R214" s="381"/>
      <c r="S214" s="381"/>
      <c r="T214" s="381"/>
      <c r="U214" s="381"/>
      <c r="V214" s="381"/>
      <c r="W214" s="381"/>
      <c r="X214" s="381"/>
      <c r="Y214" s="381"/>
      <c r="Z214" s="381"/>
      <c r="AA214" s="381"/>
      <c r="AB214" s="381"/>
      <c r="AC214" s="381"/>
      <c r="AD214" s="381"/>
      <c r="AE214" s="381"/>
      <c r="AF214" s="381"/>
      <c r="AG214" s="381"/>
      <c r="AH214" s="381"/>
      <c r="AI214" s="381"/>
      <c r="AJ214" s="381"/>
      <c r="AK214" s="381"/>
      <c r="AL214" s="381"/>
      <c r="AM214" s="381"/>
      <c r="AN214" s="381"/>
      <c r="AO214" s="381"/>
      <c r="AP214" s="381"/>
      <c r="AQ214" s="381"/>
      <c r="AR214" s="381"/>
      <c r="AS214" s="381"/>
      <c r="AT214" s="381"/>
      <c r="AU214" s="381"/>
      <c r="AV214" s="381"/>
      <c r="AW214" s="381"/>
      <c r="AX214" s="381"/>
      <c r="AY214" s="381"/>
      <c r="AZ214" s="381"/>
    </row>
    <row r="215" spans="1:52" s="371" customFormat="1" x14ac:dyDescent="0.2">
      <c r="A215" s="395"/>
      <c r="B215" s="395"/>
      <c r="C215" s="18"/>
      <c r="D215" s="381"/>
      <c r="E215" s="381"/>
      <c r="F215" s="381"/>
      <c r="G215" s="381"/>
      <c r="H215" s="381"/>
      <c r="I215" s="381"/>
      <c r="J215" s="381"/>
      <c r="K215" s="381"/>
      <c r="L215" s="381"/>
      <c r="M215" s="381"/>
      <c r="N215" s="381"/>
      <c r="O215" s="381"/>
      <c r="P215" s="381"/>
      <c r="Q215" s="381"/>
      <c r="R215" s="381"/>
      <c r="S215" s="381"/>
      <c r="T215" s="381"/>
      <c r="U215" s="381"/>
      <c r="V215" s="381"/>
      <c r="W215" s="381"/>
      <c r="X215" s="381"/>
      <c r="Y215" s="381"/>
      <c r="Z215" s="381"/>
      <c r="AA215" s="381"/>
      <c r="AB215" s="381"/>
      <c r="AC215" s="381"/>
      <c r="AD215" s="381"/>
      <c r="AE215" s="381"/>
      <c r="AF215" s="381"/>
      <c r="AG215" s="381"/>
      <c r="AH215" s="381"/>
      <c r="AI215" s="381"/>
      <c r="AJ215" s="381"/>
      <c r="AK215" s="381"/>
      <c r="AL215" s="381"/>
      <c r="AM215" s="381"/>
      <c r="AN215" s="381"/>
      <c r="AO215" s="381"/>
      <c r="AP215" s="381"/>
      <c r="AQ215" s="381"/>
      <c r="AR215" s="381"/>
      <c r="AS215" s="381"/>
      <c r="AT215" s="381"/>
      <c r="AU215" s="381"/>
      <c r="AV215" s="381"/>
      <c r="AW215" s="381"/>
      <c r="AX215" s="381"/>
      <c r="AY215" s="381"/>
      <c r="AZ215" s="381"/>
    </row>
    <row r="216" spans="1:52" s="371" customFormat="1" x14ac:dyDescent="0.2">
      <c r="A216" s="395"/>
      <c r="B216" s="395"/>
      <c r="C216" s="18"/>
      <c r="D216" s="381"/>
      <c r="E216" s="381"/>
      <c r="F216" s="381"/>
      <c r="G216" s="381"/>
      <c r="H216" s="381"/>
      <c r="I216" s="381"/>
      <c r="J216" s="381"/>
      <c r="K216" s="381"/>
      <c r="L216" s="381"/>
      <c r="M216" s="381"/>
      <c r="N216" s="381"/>
      <c r="O216" s="381"/>
      <c r="P216" s="381"/>
      <c r="Q216" s="381"/>
      <c r="R216" s="381"/>
      <c r="S216" s="381"/>
      <c r="T216" s="381"/>
      <c r="U216" s="381"/>
      <c r="V216" s="381"/>
      <c r="W216" s="381"/>
      <c r="X216" s="381"/>
      <c r="Y216" s="381"/>
      <c r="Z216" s="381"/>
      <c r="AA216" s="381"/>
      <c r="AB216" s="381"/>
      <c r="AC216" s="381"/>
      <c r="AD216" s="381"/>
      <c r="AE216" s="381"/>
      <c r="AF216" s="381"/>
      <c r="AG216" s="381"/>
      <c r="AH216" s="381"/>
      <c r="AI216" s="381"/>
      <c r="AJ216" s="381"/>
      <c r="AK216" s="381"/>
      <c r="AL216" s="381"/>
      <c r="AM216" s="381"/>
      <c r="AN216" s="381"/>
      <c r="AO216" s="381"/>
      <c r="AP216" s="381"/>
      <c r="AQ216" s="381"/>
      <c r="AR216" s="381"/>
      <c r="AS216" s="381"/>
      <c r="AT216" s="381"/>
      <c r="AU216" s="381"/>
      <c r="AV216" s="381"/>
      <c r="AW216" s="381"/>
      <c r="AX216" s="381"/>
      <c r="AY216" s="381"/>
      <c r="AZ216" s="38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8:AO313"/>
  <sheetViews>
    <sheetView topLeftCell="E214" zoomScale="85" zoomScaleNormal="85" workbookViewId="0">
      <selection activeCell="J260" sqref="J260"/>
    </sheetView>
  </sheetViews>
  <sheetFormatPr defaultColWidth="8.88671875" defaultRowHeight="15" x14ac:dyDescent="0.2"/>
  <cols>
    <col min="1" max="1" width="4" style="1" customWidth="1"/>
    <col min="2" max="2" width="5.5546875" style="1" customWidth="1"/>
    <col min="3" max="3" width="7.88671875" style="1" customWidth="1"/>
    <col min="4" max="4" width="8.44140625" style="1" customWidth="1"/>
    <col min="5" max="5" width="10.21875" style="1" customWidth="1"/>
    <col min="6" max="6" width="16.21875" style="1" customWidth="1"/>
    <col min="7" max="7" width="11.109375" style="1" customWidth="1"/>
    <col min="8" max="8" width="12.33203125" style="1" customWidth="1"/>
    <col min="9" max="9" width="11.5546875" style="1" customWidth="1"/>
    <col min="10" max="10" width="9.77734375" style="1" bestFit="1" customWidth="1"/>
    <col min="11" max="11" width="11.33203125" style="1" customWidth="1"/>
    <col min="12" max="12" width="11.44140625" style="1" customWidth="1"/>
    <col min="13" max="13" width="12.44140625" style="1" customWidth="1"/>
    <col min="14" max="14" width="12.21875" style="1" bestFit="1" customWidth="1"/>
    <col min="15" max="15" width="12.5546875" style="1" customWidth="1"/>
    <col min="16" max="16" width="9.88671875" style="1" customWidth="1"/>
    <col min="17" max="17" width="10.33203125" style="1" bestFit="1" customWidth="1"/>
    <col min="18" max="18" width="13.5546875" style="1" bestFit="1" customWidth="1"/>
    <col min="19" max="19" width="12.21875" style="1" customWidth="1"/>
    <col min="20" max="20" width="10.88671875" style="1" customWidth="1"/>
    <col min="21" max="21" width="12" style="1" customWidth="1"/>
    <col min="22" max="23" width="10.44140625" style="1" customWidth="1"/>
    <col min="24" max="24" width="11.77734375" style="1" customWidth="1"/>
    <col min="25" max="25" width="10.77734375" style="1" customWidth="1"/>
    <col min="26" max="26" width="10" style="1" customWidth="1"/>
    <col min="27" max="27" width="10.77734375" style="1" customWidth="1"/>
    <col min="28" max="16384" width="8.88671875" style="1"/>
  </cols>
  <sheetData>
    <row r="18" spans="5:28" x14ac:dyDescent="0.2">
      <c r="F18" s="1" t="s">
        <v>450</v>
      </c>
    </row>
    <row r="21" spans="5:28" x14ac:dyDescent="0.2">
      <c r="F21" s="1" t="s">
        <v>238</v>
      </c>
    </row>
    <row r="22" spans="5:28" ht="15.75" x14ac:dyDescent="0.25">
      <c r="F22" s="23" t="s">
        <v>239</v>
      </c>
      <c r="O22" s="23" t="s">
        <v>240</v>
      </c>
    </row>
    <row r="23" spans="5:28" ht="15.75" thickBot="1" x14ac:dyDescent="0.25">
      <c r="F23" s="1">
        <v>1</v>
      </c>
      <c r="O23" s="1">
        <v>2</v>
      </c>
    </row>
    <row r="24" spans="5:28" ht="16.5" thickBot="1" x14ac:dyDescent="0.3">
      <c r="E24" s="493"/>
      <c r="F24" s="494">
        <v>2007</v>
      </c>
      <c r="G24" s="494">
        <v>2008</v>
      </c>
      <c r="H24" s="494">
        <v>2009</v>
      </c>
      <c r="I24" s="494">
        <v>2010</v>
      </c>
      <c r="J24" s="494">
        <v>2011</v>
      </c>
      <c r="K24" s="494">
        <v>2012</v>
      </c>
      <c r="L24" s="494">
        <v>2013</v>
      </c>
      <c r="M24" s="495">
        <v>2014</v>
      </c>
      <c r="O24" s="493"/>
      <c r="P24" s="494">
        <v>2008</v>
      </c>
      <c r="Q24" s="494">
        <v>2009</v>
      </c>
      <c r="R24" s="494">
        <v>2010</v>
      </c>
      <c r="S24" s="494">
        <v>2011</v>
      </c>
      <c r="T24" s="494">
        <v>2012</v>
      </c>
      <c r="U24" s="494">
        <v>2013</v>
      </c>
      <c r="V24" s="495">
        <v>2014</v>
      </c>
    </row>
    <row r="25" spans="5:28" ht="15.75" x14ac:dyDescent="0.25">
      <c r="E25" s="496" t="s">
        <v>8</v>
      </c>
      <c r="F25" s="496"/>
      <c r="G25" s="497">
        <v>14231.372549019608</v>
      </c>
      <c r="H25" s="498">
        <v>13959.45945945946</v>
      </c>
      <c r="I25" s="498">
        <v>14613.715922513582</v>
      </c>
      <c r="J25" s="498">
        <v>14440.573770491803</v>
      </c>
      <c r="K25" s="498">
        <v>16289.063235294119</v>
      </c>
      <c r="L25" s="498">
        <v>16716.386554621848</v>
      </c>
      <c r="M25" s="499"/>
      <c r="O25" s="496" t="s">
        <v>8</v>
      </c>
      <c r="P25" s="500">
        <v>109.803921568627</v>
      </c>
      <c r="Q25" s="501">
        <v>137.06563706563708</v>
      </c>
      <c r="R25" s="501">
        <v>112.44979919678714</v>
      </c>
      <c r="S25" s="501">
        <v>385.24590163934425</v>
      </c>
      <c r="T25" s="501">
        <v>191.66666666666669</v>
      </c>
      <c r="U25" s="501">
        <v>105.04201680672269</v>
      </c>
      <c r="V25" s="499"/>
      <c r="W25" s="219"/>
      <c r="X25" s="219"/>
      <c r="Y25" s="219"/>
      <c r="Z25" s="219"/>
      <c r="AA25" s="219"/>
      <c r="AB25" s="219"/>
    </row>
    <row r="26" spans="5:28" ht="15.75" x14ac:dyDescent="0.25">
      <c r="E26" s="52" t="s">
        <v>9</v>
      </c>
      <c r="F26" s="52"/>
      <c r="G26" s="502">
        <v>11897.074756229686</v>
      </c>
      <c r="H26" s="36">
        <v>11891.422366992399</v>
      </c>
      <c r="I26" s="36">
        <v>12881.417600664177</v>
      </c>
      <c r="J26" s="36">
        <v>13275.715800636268</v>
      </c>
      <c r="K26" s="36">
        <v>13441.957452851626</v>
      </c>
      <c r="L26" s="36">
        <v>14431.25</v>
      </c>
      <c r="M26" s="419"/>
      <c r="O26" s="52" t="s">
        <v>9</v>
      </c>
      <c r="P26" s="503">
        <v>294.69122426868904</v>
      </c>
      <c r="Q26" s="21">
        <v>174.8099891422367</v>
      </c>
      <c r="R26" s="21">
        <v>97.402597402597408</v>
      </c>
      <c r="S26" s="21">
        <v>471.898197242842</v>
      </c>
      <c r="T26" s="21">
        <v>39.877300613496928</v>
      </c>
      <c r="U26" s="21">
        <v>15.625</v>
      </c>
      <c r="V26" s="419"/>
      <c r="W26" s="219"/>
      <c r="X26" s="219"/>
      <c r="Y26" s="219"/>
      <c r="Z26" s="219"/>
      <c r="AA26" s="219"/>
      <c r="AB26" s="219"/>
    </row>
    <row r="27" spans="5:28" ht="15.75" x14ac:dyDescent="0.25">
      <c r="E27" s="52" t="s">
        <v>10</v>
      </c>
      <c r="F27" s="52"/>
      <c r="G27" s="502">
        <v>14016.687016687016</v>
      </c>
      <c r="H27" s="36">
        <v>14001.208215867902</v>
      </c>
      <c r="I27" s="36">
        <v>14859.903521257504</v>
      </c>
      <c r="J27" s="36">
        <v>15019.184652278178</v>
      </c>
      <c r="K27" s="36">
        <v>15260.400434284091</v>
      </c>
      <c r="L27" s="36">
        <v>16204.662188858159</v>
      </c>
      <c r="M27" s="419"/>
      <c r="O27" s="52" t="s">
        <v>10</v>
      </c>
      <c r="P27" s="503">
        <v>88.726088726088719</v>
      </c>
      <c r="Q27" s="21">
        <v>74.506645187273463</v>
      </c>
      <c r="R27" s="21">
        <v>31.777956556717619</v>
      </c>
      <c r="S27" s="21">
        <v>141.08713029576339</v>
      </c>
      <c r="T27" s="21">
        <v>70.043529877324886</v>
      </c>
      <c r="U27" s="21">
        <v>50.572896088502567</v>
      </c>
      <c r="V27" s="419"/>
      <c r="W27" s="219"/>
      <c r="X27" s="219"/>
      <c r="Y27" s="219"/>
      <c r="Z27" s="219"/>
      <c r="AA27" s="219"/>
      <c r="AB27" s="219"/>
    </row>
    <row r="28" spans="5:28" ht="15.75" x14ac:dyDescent="0.25">
      <c r="E28" s="52" t="s">
        <v>11</v>
      </c>
      <c r="F28" s="52"/>
      <c r="G28" s="502">
        <v>13316.151202749141</v>
      </c>
      <c r="H28" s="36">
        <v>12953.125</v>
      </c>
      <c r="I28" s="36">
        <v>14112.415854042154</v>
      </c>
      <c r="J28" s="36">
        <v>14600</v>
      </c>
      <c r="K28" s="36">
        <v>14927.662522291716</v>
      </c>
      <c r="L28" s="36">
        <v>15346.020761245674</v>
      </c>
      <c r="M28" s="419"/>
      <c r="O28" s="52" t="s">
        <v>11</v>
      </c>
      <c r="P28" s="503">
        <v>393.47079037800688</v>
      </c>
      <c r="Q28" s="21">
        <v>329.86111111111109</v>
      </c>
      <c r="R28" s="21">
        <v>149.7326203208556</v>
      </c>
      <c r="S28" s="21">
        <v>494.82758620689657</v>
      </c>
      <c r="T28" s="21">
        <v>239.16811091854422</v>
      </c>
      <c r="U28" s="21">
        <v>186.85121107266437</v>
      </c>
      <c r="V28" s="419"/>
      <c r="W28" s="219"/>
      <c r="X28" s="219"/>
      <c r="Y28" s="219"/>
      <c r="Z28" s="219"/>
      <c r="AA28" s="219"/>
      <c r="AB28" s="219"/>
    </row>
    <row r="29" spans="5:28" ht="15.75" x14ac:dyDescent="0.25">
      <c r="E29" s="52" t="s">
        <v>12</v>
      </c>
      <c r="F29" s="52"/>
      <c r="G29" s="502">
        <v>10261.851015801354</v>
      </c>
      <c r="H29" s="36">
        <v>9967.105263157895</v>
      </c>
      <c r="I29" s="36">
        <v>10696.366077236973</v>
      </c>
      <c r="J29" s="36">
        <v>11656.842105263158</v>
      </c>
      <c r="K29" s="36">
        <v>11553.919976771196</v>
      </c>
      <c r="L29" s="36">
        <v>11638.383838383839</v>
      </c>
      <c r="M29" s="419"/>
      <c r="O29" s="52" t="s">
        <v>12</v>
      </c>
      <c r="P29" s="503">
        <v>15.80135440180587</v>
      </c>
      <c r="Q29" s="21">
        <v>8.7719298245614024</v>
      </c>
      <c r="R29" s="21">
        <v>8.7527352297592991</v>
      </c>
      <c r="S29" s="21">
        <v>27.368421052631579</v>
      </c>
      <c r="T29" s="21">
        <v>8.1300813008130088</v>
      </c>
      <c r="U29" s="21">
        <v>6.0606060606060606</v>
      </c>
      <c r="V29" s="419"/>
      <c r="W29" s="219"/>
      <c r="X29" s="219"/>
      <c r="Y29" s="219"/>
      <c r="Z29" s="219"/>
      <c r="AA29" s="219"/>
      <c r="AB29" s="219"/>
    </row>
    <row r="30" spans="5:28" ht="15.75" x14ac:dyDescent="0.25">
      <c r="E30" s="52" t="s">
        <v>13</v>
      </c>
      <c r="F30" s="52"/>
      <c r="G30" s="502">
        <v>13408.090844570617</v>
      </c>
      <c r="H30" s="36">
        <v>13064.583333333334</v>
      </c>
      <c r="I30" s="36">
        <v>13975.399407609933</v>
      </c>
      <c r="J30" s="36">
        <v>14050.397877984085</v>
      </c>
      <c r="K30" s="36">
        <v>14348.477342229635</v>
      </c>
      <c r="L30" s="36">
        <v>15259.52693823916</v>
      </c>
      <c r="M30" s="419"/>
      <c r="O30" s="52" t="s">
        <v>13</v>
      </c>
      <c r="P30" s="503">
        <v>44.712562100780694</v>
      </c>
      <c r="Q30" s="21">
        <v>34.722222222222221</v>
      </c>
      <c r="R30" s="21">
        <v>20.505809979494192</v>
      </c>
      <c r="S30" s="21">
        <v>112.06896551724138</v>
      </c>
      <c r="T30" s="21">
        <v>68.152031454783753</v>
      </c>
      <c r="U30" s="21">
        <v>34.822601839684623</v>
      </c>
      <c r="V30" s="419"/>
      <c r="W30" s="219"/>
      <c r="X30" s="219"/>
      <c r="Y30" s="219"/>
      <c r="Z30" s="219"/>
      <c r="AA30" s="219"/>
      <c r="AB30" s="219"/>
    </row>
    <row r="31" spans="5:28" ht="15.75" x14ac:dyDescent="0.25">
      <c r="E31" s="52" t="s">
        <v>14</v>
      </c>
      <c r="F31" s="52"/>
      <c r="G31" s="502">
        <v>15005.829358770536</v>
      </c>
      <c r="H31" s="36">
        <v>15106.714322185346</v>
      </c>
      <c r="I31" s="36">
        <v>16073.146181296985</v>
      </c>
      <c r="J31" s="36">
        <v>16800.390434358225</v>
      </c>
      <c r="K31" s="36">
        <v>17314.539601013388</v>
      </c>
      <c r="L31" s="36">
        <v>18337.772675086107</v>
      </c>
      <c r="M31" s="419"/>
      <c r="O31" s="52" t="s">
        <v>14</v>
      </c>
      <c r="P31" s="503">
        <v>155.53789083200849</v>
      </c>
      <c r="Q31" s="21">
        <v>136.3288230788869</v>
      </c>
      <c r="R31" s="21">
        <v>126.80258577821979</v>
      </c>
      <c r="S31" s="21">
        <v>250.85407515861397</v>
      </c>
      <c r="T31" s="21">
        <v>154.15391856907507</v>
      </c>
      <c r="U31" s="21">
        <v>101.49253731343283</v>
      </c>
      <c r="V31" s="419"/>
      <c r="W31" s="219"/>
      <c r="X31" s="219"/>
      <c r="Y31" s="219"/>
      <c r="Z31" s="219"/>
      <c r="AA31" s="219"/>
      <c r="AB31" s="219"/>
    </row>
    <row r="32" spans="5:28" ht="15.75" x14ac:dyDescent="0.25">
      <c r="E32" s="52" t="s">
        <v>15</v>
      </c>
      <c r="F32" s="52"/>
      <c r="G32" s="502">
        <v>14450.819672131147</v>
      </c>
      <c r="H32" s="36">
        <v>14825</v>
      </c>
      <c r="I32" s="36">
        <v>15029.913978494626</v>
      </c>
      <c r="J32" s="36">
        <v>14832.417582417582</v>
      </c>
      <c r="K32" s="36">
        <v>15152.498465224226</v>
      </c>
      <c r="L32" s="36">
        <v>16100.591715976332</v>
      </c>
      <c r="M32" s="419"/>
      <c r="O32" s="52" t="s">
        <v>15</v>
      </c>
      <c r="P32" s="503">
        <v>62.841530054644807</v>
      </c>
      <c r="Q32" s="21">
        <v>75</v>
      </c>
      <c r="R32" s="21">
        <v>32.258064516129032</v>
      </c>
      <c r="S32" s="21">
        <v>87.912087912087912</v>
      </c>
      <c r="T32" s="21">
        <v>19.390581717451521</v>
      </c>
      <c r="U32" s="21">
        <v>14.792899408284024</v>
      </c>
      <c r="V32" s="419"/>
      <c r="W32" s="219"/>
      <c r="X32" s="219"/>
      <c r="Y32" s="219"/>
      <c r="Z32" s="219"/>
      <c r="AA32" s="219"/>
      <c r="AB32" s="219"/>
    </row>
    <row r="33" spans="2:29" ht="15.75" x14ac:dyDescent="0.25">
      <c r="E33" s="52" t="s">
        <v>16</v>
      </c>
      <c r="F33" s="52"/>
      <c r="G33" s="502">
        <v>12242.957746478873</v>
      </c>
      <c r="H33" s="36">
        <v>11961.832061068702</v>
      </c>
      <c r="I33" s="36">
        <v>13401.663042352699</v>
      </c>
      <c r="J33" s="36">
        <v>13501.930501930501</v>
      </c>
      <c r="K33" s="36">
        <v>14523.79281227474</v>
      </c>
      <c r="L33" s="36">
        <v>14771.428571428571</v>
      </c>
      <c r="M33" s="419"/>
      <c r="O33" s="52" t="s">
        <v>16</v>
      </c>
      <c r="P33" s="503">
        <v>14.084507042253522</v>
      </c>
      <c r="Q33" s="21">
        <v>22.900763358778626</v>
      </c>
      <c r="R33" s="21">
        <v>19.157088122605362</v>
      </c>
      <c r="S33" s="21">
        <v>61.776061776061781</v>
      </c>
      <c r="T33" s="21">
        <v>32.128514056224894</v>
      </c>
      <c r="U33" s="21">
        <v>20.408163265306122</v>
      </c>
      <c r="V33" s="419"/>
      <c r="W33" s="219"/>
      <c r="X33" s="219"/>
      <c r="Y33" s="219"/>
      <c r="Z33" s="219"/>
      <c r="AA33" s="219"/>
      <c r="AB33" s="219"/>
    </row>
    <row r="34" spans="2:29" ht="15.75" x14ac:dyDescent="0.25">
      <c r="E34" s="52" t="s">
        <v>17</v>
      </c>
      <c r="F34" s="52"/>
      <c r="G34" s="502">
        <v>14908.065425831923</v>
      </c>
      <c r="H34" s="36">
        <v>14752.66404935502</v>
      </c>
      <c r="I34" s="36">
        <v>16053.454647484947</v>
      </c>
      <c r="J34" s="36">
        <v>16692.943770672548</v>
      </c>
      <c r="K34" s="36">
        <v>16891.604301075269</v>
      </c>
      <c r="L34" s="36">
        <v>18075.94264471588</v>
      </c>
      <c r="M34" s="419"/>
      <c r="O34" s="52" t="s">
        <v>17</v>
      </c>
      <c r="P34" s="503">
        <v>20.304568527918779</v>
      </c>
      <c r="Q34" s="21">
        <v>37.016264722378011</v>
      </c>
      <c r="R34" s="21">
        <v>24.691358024691358</v>
      </c>
      <c r="S34" s="21">
        <v>60.639470782800444</v>
      </c>
      <c r="T34" s="21">
        <v>19.892473118279572</v>
      </c>
      <c r="U34" s="21">
        <v>9.4784917684545942</v>
      </c>
      <c r="V34" s="419"/>
      <c r="W34" s="219"/>
      <c r="X34" s="219"/>
      <c r="Y34" s="219"/>
      <c r="Z34" s="219"/>
      <c r="AA34" s="219"/>
      <c r="AB34" s="219"/>
    </row>
    <row r="35" spans="2:29" ht="15.75" x14ac:dyDescent="0.25">
      <c r="E35" s="52" t="s">
        <v>18</v>
      </c>
      <c r="F35" s="52"/>
      <c r="G35" s="502">
        <v>14235.142118863048</v>
      </c>
      <c r="H35" s="36">
        <v>14160.206718346253</v>
      </c>
      <c r="I35" s="36">
        <v>15475.618027234395</v>
      </c>
      <c r="J35" s="36">
        <v>16149.746192893401</v>
      </c>
      <c r="K35" s="36">
        <v>16875.346880715304</v>
      </c>
      <c r="L35" s="36">
        <v>17619.897959183672</v>
      </c>
      <c r="M35" s="419"/>
      <c r="O35" s="52" t="s">
        <v>18</v>
      </c>
      <c r="P35" s="503">
        <v>170.54263565891472</v>
      </c>
      <c r="Q35" s="21">
        <v>100.77519379844961</v>
      </c>
      <c r="R35" s="21">
        <v>58.823529411764703</v>
      </c>
      <c r="S35" s="21">
        <v>269.03553299492381</v>
      </c>
      <c r="T35" s="21">
        <v>87.719298245614027</v>
      </c>
      <c r="U35" s="21">
        <v>53.571428571428569</v>
      </c>
      <c r="V35" s="419"/>
      <c r="W35" s="219"/>
      <c r="X35" s="219"/>
      <c r="Y35" s="219"/>
      <c r="Z35" s="219"/>
      <c r="AA35" s="219"/>
      <c r="AB35" s="219"/>
    </row>
    <row r="36" spans="2:29" ht="15.75" x14ac:dyDescent="0.25">
      <c r="E36" s="52" t="s">
        <v>19</v>
      </c>
      <c r="F36" s="52"/>
      <c r="G36" s="502">
        <v>13790.294627383015</v>
      </c>
      <c r="H36" s="36">
        <v>13464.346833998859</v>
      </c>
      <c r="I36" s="36">
        <v>14087.736538461539</v>
      </c>
      <c r="J36" s="36">
        <v>14865.149833518313</v>
      </c>
      <c r="K36" s="36">
        <v>15033.088040798981</v>
      </c>
      <c r="L36" s="36">
        <v>15703.236423477783</v>
      </c>
      <c r="M36" s="419"/>
      <c r="O36" s="52" t="s">
        <v>19</v>
      </c>
      <c r="P36" s="503">
        <v>176.19872905834777</v>
      </c>
      <c r="Q36" s="21">
        <v>154.02167712492871</v>
      </c>
      <c r="R36" s="21">
        <v>151.05970982142858</v>
      </c>
      <c r="S36" s="21">
        <v>340.7325194228635</v>
      </c>
      <c r="T36" s="21">
        <v>267.95580110497235</v>
      </c>
      <c r="U36" s="21">
        <v>160.72408118486013</v>
      </c>
      <c r="V36" s="419"/>
      <c r="W36" s="219"/>
      <c r="X36" s="219"/>
      <c r="Y36" s="219"/>
      <c r="Z36" s="219"/>
      <c r="AA36" s="219"/>
      <c r="AB36" s="219"/>
    </row>
    <row r="37" spans="2:29" ht="15.75" x14ac:dyDescent="0.25">
      <c r="E37" s="52" t="s">
        <v>20</v>
      </c>
      <c r="F37" s="52"/>
      <c r="G37" s="502">
        <v>15844.827586206897</v>
      </c>
      <c r="H37" s="36">
        <v>14808.695652173914</v>
      </c>
      <c r="I37" s="36">
        <v>15415.710171428571</v>
      </c>
      <c r="J37" s="36">
        <v>17000</v>
      </c>
      <c r="K37" s="36">
        <v>17202.7427184466</v>
      </c>
      <c r="L37" s="36">
        <v>19049.504950495051</v>
      </c>
      <c r="M37" s="419"/>
      <c r="O37" s="52" t="s">
        <v>20</v>
      </c>
      <c r="P37" s="503">
        <v>17.241379310344826</v>
      </c>
      <c r="Q37" s="21">
        <v>0</v>
      </c>
      <c r="R37" s="21">
        <v>8</v>
      </c>
      <c r="S37" s="21">
        <v>50.420168067226889</v>
      </c>
      <c r="T37" s="21">
        <v>48.543689320388346</v>
      </c>
      <c r="U37" s="21">
        <v>39.603960396039604</v>
      </c>
      <c r="V37" s="419"/>
      <c r="W37" s="219"/>
      <c r="X37" s="219"/>
      <c r="Y37" s="219"/>
      <c r="Z37" s="219"/>
      <c r="AA37" s="219"/>
      <c r="AB37" s="219"/>
    </row>
    <row r="38" spans="2:29" ht="15.75" x14ac:dyDescent="0.25">
      <c r="E38" s="52" t="s">
        <v>21</v>
      </c>
      <c r="F38" s="52"/>
      <c r="G38" s="502">
        <v>13455.323193916351</v>
      </c>
      <c r="H38" s="36">
        <v>13445.198836081474</v>
      </c>
      <c r="I38" s="36">
        <v>14142.106851037084</v>
      </c>
      <c r="J38" s="36">
        <v>14899.90186457311</v>
      </c>
      <c r="K38" s="36">
        <v>14715.752447980418</v>
      </c>
      <c r="L38" s="36">
        <v>15881.159420289856</v>
      </c>
      <c r="M38" s="419"/>
      <c r="O38" s="52" t="s">
        <v>21</v>
      </c>
      <c r="P38" s="503">
        <v>14.258555133079849</v>
      </c>
      <c r="Q38" s="21">
        <v>9.6993210475266736</v>
      </c>
      <c r="R38" s="21">
        <v>3.8759689922480618</v>
      </c>
      <c r="S38" s="21">
        <v>22.571148184494604</v>
      </c>
      <c r="T38" s="21">
        <v>10.870765503875967</v>
      </c>
      <c r="U38" s="21">
        <v>8.695652173913043</v>
      </c>
      <c r="V38" s="419"/>
      <c r="W38" s="219"/>
      <c r="X38" s="219"/>
      <c r="Y38" s="219"/>
      <c r="Z38" s="219"/>
      <c r="AA38" s="219"/>
      <c r="AB38" s="219"/>
    </row>
    <row r="39" spans="2:29" ht="15.75" x14ac:dyDescent="0.25">
      <c r="E39" s="52" t="s">
        <v>22</v>
      </c>
      <c r="F39" s="52"/>
      <c r="G39" s="502">
        <v>12042.792792792792</v>
      </c>
      <c r="H39" s="36">
        <v>11253.897550111358</v>
      </c>
      <c r="I39" s="36">
        <v>11997.971621187802</v>
      </c>
      <c r="J39" s="36">
        <v>12420.353982300885</v>
      </c>
      <c r="K39" s="36">
        <v>12266.160975006187</v>
      </c>
      <c r="L39" s="36">
        <v>13689.573459715641</v>
      </c>
      <c r="M39" s="419"/>
      <c r="O39" s="52" t="s">
        <v>22</v>
      </c>
      <c r="P39" s="503">
        <v>15.765765765765764</v>
      </c>
      <c r="Q39" s="21">
        <v>11.135857461024498</v>
      </c>
      <c r="R39" s="21">
        <v>2.2471910112359552</v>
      </c>
      <c r="S39" s="21">
        <v>22.123893805309734</v>
      </c>
      <c r="T39" s="21">
        <v>8.908685968819599</v>
      </c>
      <c r="U39" s="21">
        <v>9.4786729857819907</v>
      </c>
      <c r="V39" s="419"/>
      <c r="W39" s="219"/>
      <c r="X39" s="219"/>
      <c r="Y39" s="219"/>
      <c r="Z39" s="219"/>
      <c r="AA39" s="219"/>
      <c r="AB39" s="219"/>
    </row>
    <row r="40" spans="2:29" ht="16.5" thickBot="1" x14ac:dyDescent="0.3">
      <c r="E40" s="504" t="s">
        <v>23</v>
      </c>
      <c r="F40" s="504"/>
      <c r="G40" s="505">
        <v>17461.658411300679</v>
      </c>
      <c r="H40" s="506">
        <v>17513.76646978646</v>
      </c>
      <c r="I40" s="506">
        <v>18166.806927496669</v>
      </c>
      <c r="J40" s="506">
        <v>18694.459338695262</v>
      </c>
      <c r="K40" s="506">
        <v>19257.874929710852</v>
      </c>
      <c r="L40" s="506">
        <v>20023.708796051473</v>
      </c>
      <c r="M40" s="507"/>
      <c r="O40" s="504" t="s">
        <v>23</v>
      </c>
      <c r="P40" s="508">
        <v>761.23647037240869</v>
      </c>
      <c r="Q40" s="509">
        <v>752.47614720581555</v>
      </c>
      <c r="R40" s="509">
        <v>413.73730108783604</v>
      </c>
      <c r="S40" s="509">
        <v>880.42895442359247</v>
      </c>
      <c r="T40" s="509">
        <v>429.9920092337743</v>
      </c>
      <c r="U40" s="509">
        <v>215.4944473823374</v>
      </c>
      <c r="V40" s="507"/>
      <c r="W40" s="219"/>
      <c r="X40" s="219"/>
      <c r="Y40" s="219"/>
      <c r="Z40" s="219"/>
      <c r="AA40" s="219"/>
      <c r="AB40" s="219"/>
    </row>
    <row r="41" spans="2:29" ht="16.5" thickBot="1" x14ac:dyDescent="0.3">
      <c r="E41" s="493" t="s">
        <v>81</v>
      </c>
      <c r="F41" s="493"/>
      <c r="G41" s="510">
        <v>15349.500975951092</v>
      </c>
      <c r="H41" s="511">
        <v>15302.884615384615</v>
      </c>
      <c r="I41" s="511">
        <v>16115.302734597</v>
      </c>
      <c r="J41" s="511">
        <v>16621.594601349661</v>
      </c>
      <c r="K41" s="511">
        <v>17037.791059249823</v>
      </c>
      <c r="L41" s="511">
        <v>17911.093958318714</v>
      </c>
      <c r="M41" s="495"/>
      <c r="N41" s="5"/>
      <c r="O41" s="493" t="s">
        <v>81</v>
      </c>
      <c r="P41" s="512">
        <v>375.24398777299012</v>
      </c>
      <c r="Q41" s="513">
        <v>360.54050116550115</v>
      </c>
      <c r="R41" s="513">
        <v>209.69564433547271</v>
      </c>
      <c r="S41" s="513">
        <v>473.16742243010674</v>
      </c>
      <c r="T41" s="513">
        <v>234.32264609416328</v>
      </c>
      <c r="U41" s="513">
        <v>126.40684864220056</v>
      </c>
      <c r="V41" s="495"/>
    </row>
    <row r="42" spans="2:29" x14ac:dyDescent="0.2">
      <c r="F42" s="1" t="s">
        <v>241</v>
      </c>
    </row>
    <row r="43" spans="2:29" x14ac:dyDescent="0.2">
      <c r="O43" s="24" t="s">
        <v>545</v>
      </c>
    </row>
    <row r="45" spans="2:29" ht="15.75" x14ac:dyDescent="0.25">
      <c r="F45" s="23" t="s">
        <v>242</v>
      </c>
      <c r="O45" s="23" t="s">
        <v>347</v>
      </c>
      <c r="X45" s="23" t="s">
        <v>348</v>
      </c>
    </row>
    <row r="46" spans="2:29" ht="15.75" thickBot="1" x14ac:dyDescent="0.25">
      <c r="F46" s="1">
        <v>3</v>
      </c>
      <c r="O46" s="1">
        <v>4</v>
      </c>
      <c r="X46" s="1">
        <v>5</v>
      </c>
    </row>
    <row r="47" spans="2:29" ht="16.5" thickBot="1" x14ac:dyDescent="0.3">
      <c r="B47" s="493"/>
      <c r="C47" s="493">
        <v>2004</v>
      </c>
      <c r="D47" s="493">
        <v>2005</v>
      </c>
      <c r="E47" s="493">
        <v>2006</v>
      </c>
      <c r="F47" s="493">
        <v>2007</v>
      </c>
      <c r="G47" s="494">
        <v>2008</v>
      </c>
      <c r="H47" s="494">
        <v>2009</v>
      </c>
      <c r="I47" s="494">
        <v>2010</v>
      </c>
      <c r="J47" s="494">
        <v>2011</v>
      </c>
      <c r="K47" s="494">
        <v>2012</v>
      </c>
      <c r="L47" s="494">
        <v>2013</v>
      </c>
      <c r="M47" s="495">
        <v>2014</v>
      </c>
      <c r="O47" s="493"/>
      <c r="P47" s="494">
        <v>2008</v>
      </c>
      <c r="Q47" s="494">
        <v>2009</v>
      </c>
      <c r="R47" s="494">
        <v>2010</v>
      </c>
      <c r="S47" s="494">
        <v>2011</v>
      </c>
      <c r="T47" s="494">
        <v>2012</v>
      </c>
      <c r="U47" s="494">
        <v>2013</v>
      </c>
      <c r="V47" s="495">
        <v>2014</v>
      </c>
      <c r="X47" s="493">
        <v>2008</v>
      </c>
      <c r="Y47" s="494">
        <v>2009</v>
      </c>
      <c r="Z47" s="494">
        <v>2010</v>
      </c>
      <c r="AA47" s="494">
        <v>2011</v>
      </c>
      <c r="AB47" s="495">
        <v>2012</v>
      </c>
    </row>
    <row r="48" spans="2:29" ht="15.75" x14ac:dyDescent="0.25">
      <c r="B48" s="496" t="s">
        <v>8</v>
      </c>
      <c r="C48" s="514">
        <v>17.5</v>
      </c>
      <c r="D48" s="515">
        <v>17.5</v>
      </c>
      <c r="E48" s="515">
        <v>18</v>
      </c>
      <c r="F48" s="515">
        <v>18</v>
      </c>
      <c r="G48" s="514">
        <v>17</v>
      </c>
      <c r="H48" s="515">
        <v>17</v>
      </c>
      <c r="I48" s="515">
        <v>17</v>
      </c>
      <c r="J48" s="515">
        <v>17</v>
      </c>
      <c r="K48" s="515">
        <v>17</v>
      </c>
      <c r="L48" s="515">
        <v>16.75</v>
      </c>
      <c r="M48" s="981">
        <v>16.75</v>
      </c>
      <c r="O48" s="496" t="s">
        <v>8</v>
      </c>
      <c r="P48" s="500">
        <v>1302</v>
      </c>
      <c r="Q48" s="501">
        <v>1464</v>
      </c>
      <c r="R48" s="501">
        <v>1360</v>
      </c>
      <c r="S48" s="501">
        <v>1421</v>
      </c>
      <c r="T48" s="501">
        <v>1267</v>
      </c>
      <c r="U48" s="501">
        <v>1536</v>
      </c>
      <c r="V48" s="499"/>
      <c r="X48" s="500">
        <v>2552.9411764705878</v>
      </c>
      <c r="Y48" s="501">
        <v>2826.2548262548262</v>
      </c>
      <c r="Z48" s="501">
        <v>2730.9236947791169</v>
      </c>
      <c r="AA48" s="501">
        <v>2911.8852459016393</v>
      </c>
      <c r="AB48" s="682">
        <v>2639.5833333333335</v>
      </c>
      <c r="AC48" s="682"/>
    </row>
    <row r="49" spans="2:29" ht="15.75" x14ac:dyDescent="0.25">
      <c r="B49" s="52" t="s">
        <v>9</v>
      </c>
      <c r="C49" s="516">
        <v>17.5</v>
      </c>
      <c r="D49" s="517">
        <v>17.5</v>
      </c>
      <c r="E49" s="517">
        <v>18</v>
      </c>
      <c r="F49" s="517">
        <v>18</v>
      </c>
      <c r="G49" s="516">
        <v>18</v>
      </c>
      <c r="H49" s="517">
        <v>18.25</v>
      </c>
      <c r="I49" s="517">
        <v>18.25</v>
      </c>
      <c r="J49" s="517">
        <v>18</v>
      </c>
      <c r="K49" s="517">
        <v>18</v>
      </c>
      <c r="L49" s="517">
        <v>18</v>
      </c>
      <c r="M49" s="982">
        <v>18.5</v>
      </c>
      <c r="O49" s="52" t="s">
        <v>9</v>
      </c>
      <c r="P49" s="503">
        <v>2401</v>
      </c>
      <c r="Q49" s="21">
        <v>2432</v>
      </c>
      <c r="R49" s="21">
        <v>2482</v>
      </c>
      <c r="S49" s="21">
        <v>2916</v>
      </c>
      <c r="T49" s="21">
        <v>2620</v>
      </c>
      <c r="U49" s="21">
        <v>2643</v>
      </c>
      <c r="V49" s="419"/>
      <c r="X49" s="503">
        <v>2601.3001083423619</v>
      </c>
      <c r="Y49" s="21">
        <v>2640.6080347448424</v>
      </c>
      <c r="Z49" s="21">
        <v>2686.1471861471859</v>
      </c>
      <c r="AA49" s="21">
        <v>3092.2587486744433</v>
      </c>
      <c r="AB49" s="683">
        <v>2678.9366053169733</v>
      </c>
      <c r="AC49" s="683"/>
    </row>
    <row r="50" spans="2:29" ht="15.75" x14ac:dyDescent="0.25">
      <c r="B50" s="52" t="s">
        <v>10</v>
      </c>
      <c r="C50" s="516">
        <v>17</v>
      </c>
      <c r="D50" s="517">
        <v>17.5</v>
      </c>
      <c r="E50" s="517">
        <v>18.25</v>
      </c>
      <c r="F50" s="517">
        <v>18.25</v>
      </c>
      <c r="G50" s="516">
        <v>18.5</v>
      </c>
      <c r="H50" s="517">
        <v>19.5</v>
      </c>
      <c r="I50" s="517">
        <v>19.5</v>
      </c>
      <c r="J50" s="517">
        <v>19.5</v>
      </c>
      <c r="K50" s="517">
        <v>19.5</v>
      </c>
      <c r="L50" s="517">
        <v>19.5</v>
      </c>
      <c r="M50" s="982">
        <v>19.5</v>
      </c>
      <c r="O50" s="52" t="s">
        <v>10</v>
      </c>
      <c r="P50" s="503">
        <v>6874</v>
      </c>
      <c r="Q50" s="21">
        <v>7371</v>
      </c>
      <c r="R50" s="21">
        <v>7694</v>
      </c>
      <c r="S50" s="21">
        <v>8010</v>
      </c>
      <c r="T50" s="21">
        <v>7816</v>
      </c>
      <c r="U50" s="21">
        <v>8184</v>
      </c>
      <c r="V50" s="419"/>
      <c r="X50" s="503">
        <v>2797.7207977207977</v>
      </c>
      <c r="Y50" s="21">
        <v>2968.586387434555</v>
      </c>
      <c r="Z50" s="21">
        <v>3094.9316170555112</v>
      </c>
      <c r="AA50" s="21">
        <v>3201.4388489208632</v>
      </c>
      <c r="AB50" s="683">
        <v>3092.9956470122675</v>
      </c>
      <c r="AC50" s="683"/>
    </row>
    <row r="51" spans="2:29" ht="15.75" x14ac:dyDescent="0.25">
      <c r="B51" s="52" t="s">
        <v>11</v>
      </c>
      <c r="C51" s="516">
        <v>16.75</v>
      </c>
      <c r="D51" s="517">
        <v>17</v>
      </c>
      <c r="E51" s="517">
        <v>17</v>
      </c>
      <c r="F51" s="517">
        <v>17</v>
      </c>
      <c r="G51" s="516">
        <v>17</v>
      </c>
      <c r="H51" s="517">
        <v>17</v>
      </c>
      <c r="I51" s="517">
        <v>17</v>
      </c>
      <c r="J51" s="517">
        <v>17.25</v>
      </c>
      <c r="K51" s="517">
        <v>17.25</v>
      </c>
      <c r="L51" s="517">
        <v>17.25</v>
      </c>
      <c r="M51" s="982">
        <v>17.25</v>
      </c>
      <c r="O51" s="52" t="s">
        <v>11</v>
      </c>
      <c r="P51" s="503">
        <v>1852</v>
      </c>
      <c r="Q51" s="21">
        <v>1793</v>
      </c>
      <c r="R51" s="21">
        <v>1596</v>
      </c>
      <c r="S51" s="21">
        <v>1948</v>
      </c>
      <c r="T51" s="21">
        <v>1797</v>
      </c>
      <c r="U51" s="21">
        <v>1755</v>
      </c>
      <c r="V51" s="419"/>
      <c r="X51" s="503">
        <v>3182.1305841924395</v>
      </c>
      <c r="Y51" s="21">
        <v>3112.8472222222222</v>
      </c>
      <c r="Z51" s="21">
        <v>2844.9197860962563</v>
      </c>
      <c r="AA51" s="21">
        <v>3358.6206896551721</v>
      </c>
      <c r="AB51" s="683">
        <v>3114.3847487001731</v>
      </c>
      <c r="AC51" s="683"/>
    </row>
    <row r="52" spans="2:29" ht="15.75" x14ac:dyDescent="0.25">
      <c r="B52" s="52" t="s">
        <v>12</v>
      </c>
      <c r="C52" s="516">
        <v>18.5</v>
      </c>
      <c r="D52" s="517">
        <v>18.5</v>
      </c>
      <c r="E52" s="517">
        <v>18.5</v>
      </c>
      <c r="F52" s="517">
        <v>18.5</v>
      </c>
      <c r="G52" s="516">
        <v>18.5</v>
      </c>
      <c r="H52" s="517">
        <v>18.5</v>
      </c>
      <c r="I52" s="517">
        <v>18.5</v>
      </c>
      <c r="J52" s="517">
        <v>17.75</v>
      </c>
      <c r="K52" s="517">
        <v>17.5</v>
      </c>
      <c r="L52" s="517">
        <v>17.5</v>
      </c>
      <c r="M52" s="982">
        <v>17.5</v>
      </c>
      <c r="O52" s="52" t="s">
        <v>12</v>
      </c>
      <c r="P52" s="503">
        <v>965</v>
      </c>
      <c r="Q52" s="21">
        <v>988</v>
      </c>
      <c r="R52" s="21">
        <v>975</v>
      </c>
      <c r="S52" s="21">
        <v>1009</v>
      </c>
      <c r="T52" s="21">
        <v>1155</v>
      </c>
      <c r="U52" s="21">
        <v>1083</v>
      </c>
      <c r="V52" s="419"/>
      <c r="X52" s="503">
        <v>2178.3295711060946</v>
      </c>
      <c r="Y52" s="21">
        <v>2166.6666666666665</v>
      </c>
      <c r="Z52" s="21">
        <v>2133.4792122538297</v>
      </c>
      <c r="AA52" s="21">
        <v>2124.2105263157891</v>
      </c>
      <c r="AB52" s="683">
        <v>2347.560975609756</v>
      </c>
      <c r="AC52" s="683"/>
    </row>
    <row r="53" spans="2:29" ht="15.75" x14ac:dyDescent="0.25">
      <c r="B53" s="52" t="s">
        <v>13</v>
      </c>
      <c r="C53" s="516">
        <v>16</v>
      </c>
      <c r="D53" s="517">
        <v>16</v>
      </c>
      <c r="E53" s="517">
        <v>17</v>
      </c>
      <c r="F53" s="517">
        <v>17</v>
      </c>
      <c r="G53" s="516">
        <v>16.5</v>
      </c>
      <c r="H53" s="517">
        <v>16.5</v>
      </c>
      <c r="I53" s="517">
        <v>16.5</v>
      </c>
      <c r="J53" s="517">
        <v>16.5</v>
      </c>
      <c r="K53" s="517">
        <v>16.5</v>
      </c>
      <c r="L53" s="517">
        <v>16.5</v>
      </c>
      <c r="M53" s="982">
        <v>17.25</v>
      </c>
      <c r="O53" s="52" t="s">
        <v>13</v>
      </c>
      <c r="P53" s="503">
        <v>3462</v>
      </c>
      <c r="Q53" s="21">
        <v>3349</v>
      </c>
      <c r="R53" s="21">
        <v>3483</v>
      </c>
      <c r="S53" s="21">
        <v>3808</v>
      </c>
      <c r="T53" s="21">
        <v>3715</v>
      </c>
      <c r="U53" s="21">
        <v>3898</v>
      </c>
      <c r="V53" s="419"/>
      <c r="X53" s="503">
        <v>2457.0617459190917</v>
      </c>
      <c r="Y53" s="21">
        <v>2325.6944444444443</v>
      </c>
      <c r="Z53" s="21">
        <v>2380.7245386192753</v>
      </c>
      <c r="AA53" s="21">
        <v>2525.1989389920423</v>
      </c>
      <c r="AB53" s="683">
        <v>2434.4692005242464</v>
      </c>
      <c r="AC53" s="683"/>
    </row>
    <row r="54" spans="2:29" ht="15.75" x14ac:dyDescent="0.25">
      <c r="B54" s="52" t="s">
        <v>14</v>
      </c>
      <c r="C54" s="516">
        <v>17</v>
      </c>
      <c r="D54" s="517">
        <v>17</v>
      </c>
      <c r="E54" s="517">
        <v>17</v>
      </c>
      <c r="F54" s="517">
        <v>17</v>
      </c>
      <c r="G54" s="516">
        <v>17</v>
      </c>
      <c r="H54" s="517">
        <v>17</v>
      </c>
      <c r="I54" s="517">
        <v>17</v>
      </c>
      <c r="J54" s="517">
        <v>17</v>
      </c>
      <c r="K54" s="517">
        <v>17</v>
      </c>
      <c r="L54" s="517">
        <v>17</v>
      </c>
      <c r="M54" s="982">
        <v>17</v>
      </c>
      <c r="O54" s="52" t="s">
        <v>14</v>
      </c>
      <c r="P54" s="503">
        <v>10350</v>
      </c>
      <c r="Q54" s="21">
        <v>11237</v>
      </c>
      <c r="R54" s="21">
        <v>12094</v>
      </c>
      <c r="S54" s="21">
        <v>12838</v>
      </c>
      <c r="T54" s="21">
        <v>13522</v>
      </c>
      <c r="U54" s="21">
        <v>14291</v>
      </c>
      <c r="V54" s="419"/>
      <c r="X54" s="503">
        <v>2742.448330683625</v>
      </c>
      <c r="Y54" s="21">
        <v>2868.7771253510341</v>
      </c>
      <c r="Z54" s="21">
        <v>3006.9617105917455</v>
      </c>
      <c r="AA54" s="21">
        <v>3132.7476817959982</v>
      </c>
      <c r="AB54" s="683">
        <v>3182.395857848906</v>
      </c>
      <c r="AC54" s="683"/>
    </row>
    <row r="55" spans="2:29" ht="15.75" x14ac:dyDescent="0.25">
      <c r="B55" s="52" t="s">
        <v>15</v>
      </c>
      <c r="C55" s="516">
        <v>18.5</v>
      </c>
      <c r="D55" s="517">
        <v>18.5</v>
      </c>
      <c r="E55" s="517">
        <v>18.5</v>
      </c>
      <c r="F55" s="517">
        <v>18.5</v>
      </c>
      <c r="G55" s="516">
        <v>18.5</v>
      </c>
      <c r="H55" s="517">
        <v>18.5</v>
      </c>
      <c r="I55" s="517">
        <v>18.5</v>
      </c>
      <c r="J55" s="517">
        <v>18.5</v>
      </c>
      <c r="K55" s="517">
        <v>18.5</v>
      </c>
      <c r="L55" s="517">
        <v>18.5</v>
      </c>
      <c r="M55" s="982">
        <v>18.5</v>
      </c>
      <c r="O55" s="52" t="s">
        <v>15</v>
      </c>
      <c r="P55" s="503">
        <v>1129</v>
      </c>
      <c r="Q55" s="21">
        <v>1042</v>
      </c>
      <c r="R55" s="21">
        <v>1179</v>
      </c>
      <c r="S55" s="21">
        <v>1055</v>
      </c>
      <c r="T55" s="21">
        <v>1014</v>
      </c>
      <c r="U55" s="21">
        <v>1030</v>
      </c>
      <c r="V55" s="419"/>
      <c r="X55" s="503">
        <v>3084.6994535519125</v>
      </c>
      <c r="Y55" s="21">
        <v>2894.4444444444443</v>
      </c>
      <c r="Z55" s="21">
        <v>3169.3548387096776</v>
      </c>
      <c r="AA55" s="21">
        <v>2898.3516483516482</v>
      </c>
      <c r="AB55" s="683">
        <v>2808.8642659279776</v>
      </c>
      <c r="AC55" s="683"/>
    </row>
    <row r="56" spans="2:29" ht="15.75" x14ac:dyDescent="0.25">
      <c r="B56" s="52" t="s">
        <v>16</v>
      </c>
      <c r="C56" s="516">
        <v>18.5</v>
      </c>
      <c r="D56" s="517">
        <v>18.5</v>
      </c>
      <c r="E56" s="517">
        <v>18.5</v>
      </c>
      <c r="F56" s="517">
        <v>18.5</v>
      </c>
      <c r="G56" s="516">
        <v>18.5</v>
      </c>
      <c r="H56" s="517">
        <v>18.5</v>
      </c>
      <c r="I56" s="517">
        <v>18.5</v>
      </c>
      <c r="J56" s="517">
        <v>18.5</v>
      </c>
      <c r="K56" s="517">
        <v>19.5</v>
      </c>
      <c r="L56" s="517">
        <v>19.5</v>
      </c>
      <c r="M56" s="982">
        <v>19.75</v>
      </c>
      <c r="O56" s="52" t="s">
        <v>16</v>
      </c>
      <c r="P56" s="503">
        <v>762</v>
      </c>
      <c r="Q56" s="21">
        <v>663</v>
      </c>
      <c r="R56" s="21">
        <v>671</v>
      </c>
      <c r="S56" s="21">
        <v>705</v>
      </c>
      <c r="T56" s="21">
        <v>710</v>
      </c>
      <c r="U56" s="21">
        <v>818</v>
      </c>
      <c r="V56" s="419"/>
      <c r="X56" s="503">
        <v>2683.0985915492961</v>
      </c>
      <c r="Y56" s="21">
        <v>2530.5343511450383</v>
      </c>
      <c r="Z56" s="21">
        <v>2570.8812260536397</v>
      </c>
      <c r="AA56" s="21">
        <v>2722.0077220077219</v>
      </c>
      <c r="AB56" s="683">
        <v>2851.4056224899596</v>
      </c>
      <c r="AC56" s="683"/>
    </row>
    <row r="57" spans="2:29" ht="15.75" x14ac:dyDescent="0.25">
      <c r="B57" s="52" t="s">
        <v>17</v>
      </c>
      <c r="C57" s="516">
        <v>17</v>
      </c>
      <c r="D57" s="517">
        <v>17</v>
      </c>
      <c r="E57" s="517">
        <v>17</v>
      </c>
      <c r="F57" s="517">
        <v>17</v>
      </c>
      <c r="G57" s="516">
        <v>17</v>
      </c>
      <c r="H57" s="517">
        <v>16.5</v>
      </c>
      <c r="I57" s="517">
        <v>16.5</v>
      </c>
      <c r="J57" s="517">
        <v>16.5</v>
      </c>
      <c r="K57" s="517">
        <v>16.25</v>
      </c>
      <c r="L57" s="517">
        <v>16.25</v>
      </c>
      <c r="M57" s="982">
        <v>16.75</v>
      </c>
      <c r="O57" s="52" t="s">
        <v>17</v>
      </c>
      <c r="P57" s="503">
        <v>4677</v>
      </c>
      <c r="Q57" s="21">
        <v>4750</v>
      </c>
      <c r="R57" s="21">
        <v>4836</v>
      </c>
      <c r="S57" s="21">
        <v>5226</v>
      </c>
      <c r="T57" s="21">
        <v>5346</v>
      </c>
      <c r="U57" s="21">
        <v>5508</v>
      </c>
      <c r="V57" s="419"/>
      <c r="X57" s="503">
        <v>2637.9018612521154</v>
      </c>
      <c r="Y57" s="21">
        <v>2664.0493550196302</v>
      </c>
      <c r="Z57" s="21">
        <v>2713.8047138047136</v>
      </c>
      <c r="AA57" s="21">
        <v>2880.9261300992284</v>
      </c>
      <c r="AB57" s="683">
        <v>2874.1935483870966</v>
      </c>
      <c r="AC57" s="683"/>
    </row>
    <row r="58" spans="2:29" ht="15.75" x14ac:dyDescent="0.25">
      <c r="B58" s="52" t="s">
        <v>18</v>
      </c>
      <c r="C58" s="516">
        <v>18.5</v>
      </c>
      <c r="D58" s="517">
        <v>18.5</v>
      </c>
      <c r="E58" s="517">
        <v>18.5</v>
      </c>
      <c r="F58" s="517">
        <v>18.5</v>
      </c>
      <c r="G58" s="516">
        <v>18.5</v>
      </c>
      <c r="H58" s="517">
        <v>18.5</v>
      </c>
      <c r="I58" s="517">
        <v>18.5</v>
      </c>
      <c r="J58" s="517">
        <v>18.5</v>
      </c>
      <c r="K58" s="517">
        <v>18.5</v>
      </c>
      <c r="L58" s="517">
        <v>18.5</v>
      </c>
      <c r="M58" s="982">
        <v>19.5</v>
      </c>
      <c r="O58" s="52" t="s">
        <v>18</v>
      </c>
      <c r="P58" s="503">
        <v>1158</v>
      </c>
      <c r="Q58" s="21">
        <v>1111</v>
      </c>
      <c r="R58" s="21">
        <v>1179</v>
      </c>
      <c r="S58" s="21">
        <v>1326</v>
      </c>
      <c r="T58" s="21">
        <v>1302</v>
      </c>
      <c r="U58" s="21">
        <v>1376</v>
      </c>
      <c r="V58" s="419"/>
      <c r="X58" s="503">
        <v>2992.2480620155038</v>
      </c>
      <c r="Y58" s="21">
        <v>2870.8010335917315</v>
      </c>
      <c r="Z58" s="21">
        <v>3015.3452685421994</v>
      </c>
      <c r="AA58" s="21">
        <v>3365.4822335025383</v>
      </c>
      <c r="AB58" s="683">
        <v>3263.1578947368421</v>
      </c>
      <c r="AC58" s="683"/>
    </row>
    <row r="59" spans="2:29" ht="15.75" x14ac:dyDescent="0.25">
      <c r="B59" s="52" t="s">
        <v>19</v>
      </c>
      <c r="C59" s="516">
        <v>17</v>
      </c>
      <c r="D59" s="517">
        <v>17.25</v>
      </c>
      <c r="E59" s="517">
        <v>17.5</v>
      </c>
      <c r="F59" s="517">
        <v>17</v>
      </c>
      <c r="G59" s="516">
        <v>16.75</v>
      </c>
      <c r="H59" s="517">
        <v>16.5</v>
      </c>
      <c r="I59" s="517">
        <v>16.25</v>
      </c>
      <c r="J59" s="517">
        <v>16.25</v>
      </c>
      <c r="K59" s="517">
        <v>16.25</v>
      </c>
      <c r="L59" s="517">
        <v>16.25</v>
      </c>
      <c r="M59" s="982">
        <v>16.75</v>
      </c>
      <c r="O59" s="52" t="s">
        <v>19</v>
      </c>
      <c r="P59" s="503">
        <v>4778</v>
      </c>
      <c r="Q59" s="21">
        <v>4317</v>
      </c>
      <c r="R59" s="21">
        <v>4487</v>
      </c>
      <c r="S59" s="21">
        <v>4843</v>
      </c>
      <c r="T59" s="21">
        <v>5109</v>
      </c>
      <c r="U59" s="21">
        <v>4999</v>
      </c>
      <c r="V59" s="419"/>
      <c r="X59" s="503">
        <v>2760.2541883304448</v>
      </c>
      <c r="Y59" s="21">
        <v>2462.6354820308043</v>
      </c>
      <c r="Z59" s="21">
        <v>2503.90625</v>
      </c>
      <c r="AA59" s="21">
        <v>2687.5693673695891</v>
      </c>
      <c r="AB59" s="683">
        <v>2822.6519337016575</v>
      </c>
      <c r="AC59" s="683"/>
    </row>
    <row r="60" spans="2:29" ht="15.75" x14ac:dyDescent="0.25">
      <c r="B60" s="52" t="s">
        <v>20</v>
      </c>
      <c r="C60" s="516">
        <v>17.5</v>
      </c>
      <c r="D60" s="517">
        <v>17.5</v>
      </c>
      <c r="E60" s="517">
        <v>17.5</v>
      </c>
      <c r="F60" s="517">
        <v>17.5</v>
      </c>
      <c r="G60" s="516">
        <v>17.5</v>
      </c>
      <c r="H60" s="517">
        <v>17.5</v>
      </c>
      <c r="I60" s="517">
        <v>17.5</v>
      </c>
      <c r="J60" s="517">
        <v>18</v>
      </c>
      <c r="K60" s="517">
        <v>18</v>
      </c>
      <c r="L60" s="517">
        <v>18</v>
      </c>
      <c r="M60" s="982">
        <v>18</v>
      </c>
      <c r="O60" s="52" t="s">
        <v>20</v>
      </c>
      <c r="P60" s="503">
        <v>379</v>
      </c>
      <c r="Q60" s="21">
        <v>297</v>
      </c>
      <c r="R60" s="21">
        <v>349</v>
      </c>
      <c r="S60" s="21">
        <v>361</v>
      </c>
      <c r="T60" s="21">
        <v>381</v>
      </c>
      <c r="U60" s="21">
        <v>360</v>
      </c>
      <c r="V60" s="419"/>
      <c r="X60" s="503">
        <v>3267.2413793103447</v>
      </c>
      <c r="Y60" s="21">
        <v>2582.608695652174</v>
      </c>
      <c r="Z60" s="21">
        <v>2792</v>
      </c>
      <c r="AA60" s="21">
        <v>3033.613445378151</v>
      </c>
      <c r="AB60" s="683">
        <v>3699.0291262135925</v>
      </c>
      <c r="AC60" s="683"/>
    </row>
    <row r="61" spans="2:29" ht="15.75" x14ac:dyDescent="0.25">
      <c r="B61" s="52" t="s">
        <v>21</v>
      </c>
      <c r="C61" s="516">
        <v>18.5</v>
      </c>
      <c r="D61" s="517">
        <v>18.5</v>
      </c>
      <c r="E61" s="517">
        <v>18.5</v>
      </c>
      <c r="F61" s="517">
        <v>18.5</v>
      </c>
      <c r="G61" s="516">
        <v>18.5</v>
      </c>
      <c r="H61" s="517">
        <v>18.5</v>
      </c>
      <c r="I61" s="517">
        <v>18.5</v>
      </c>
      <c r="J61" s="517">
        <v>18.5</v>
      </c>
      <c r="K61" s="517">
        <v>19</v>
      </c>
      <c r="L61" s="517">
        <v>19</v>
      </c>
      <c r="M61" s="982">
        <v>19.5</v>
      </c>
      <c r="O61" s="52" t="s">
        <v>21</v>
      </c>
      <c r="P61" s="503">
        <v>2639</v>
      </c>
      <c r="Q61" s="21">
        <v>2749</v>
      </c>
      <c r="R61" s="21">
        <v>2852</v>
      </c>
      <c r="S61" s="21">
        <v>2803</v>
      </c>
      <c r="T61" s="21">
        <v>3127.4774200000002</v>
      </c>
      <c r="U61" s="21">
        <v>3036</v>
      </c>
      <c r="V61" s="419"/>
      <c r="X61" s="503">
        <v>2508.555133079848</v>
      </c>
      <c r="Y61" s="21">
        <v>2666.3433559650825</v>
      </c>
      <c r="Z61" s="21">
        <v>2763.5658914728683</v>
      </c>
      <c r="AA61" s="21">
        <v>2750.7360157016683</v>
      </c>
      <c r="AB61" s="683">
        <v>3030.5013759689923</v>
      </c>
      <c r="AC61" s="683"/>
    </row>
    <row r="62" spans="2:29" ht="15.75" x14ac:dyDescent="0.25">
      <c r="B62" s="52" t="s">
        <v>22</v>
      </c>
      <c r="C62" s="516">
        <v>17.5</v>
      </c>
      <c r="D62" s="517">
        <v>17.5</v>
      </c>
      <c r="E62" s="517">
        <v>17.5</v>
      </c>
      <c r="F62" s="517">
        <v>17.5</v>
      </c>
      <c r="G62" s="516">
        <v>17.5</v>
      </c>
      <c r="H62" s="517">
        <v>17.5</v>
      </c>
      <c r="I62" s="517">
        <v>17.5</v>
      </c>
      <c r="J62" s="517">
        <v>17.5</v>
      </c>
      <c r="K62" s="517">
        <v>18</v>
      </c>
      <c r="L62" s="517">
        <v>18</v>
      </c>
      <c r="M62" s="982">
        <v>18.5</v>
      </c>
      <c r="O62" s="52" t="s">
        <v>22</v>
      </c>
      <c r="P62" s="503">
        <v>1075</v>
      </c>
      <c r="Q62" s="21">
        <v>992</v>
      </c>
      <c r="R62" s="21">
        <v>919</v>
      </c>
      <c r="S62" s="21">
        <v>1037</v>
      </c>
      <c r="T62" s="21">
        <v>1087</v>
      </c>
      <c r="U62" s="21">
        <v>1019</v>
      </c>
      <c r="V62" s="419"/>
      <c r="X62" s="503">
        <v>2421.1711711711714</v>
      </c>
      <c r="Y62" s="21">
        <v>2209.3541202672604</v>
      </c>
      <c r="Z62" s="21">
        <v>2065.1685393258426</v>
      </c>
      <c r="AA62" s="21">
        <v>2294.2477876106195</v>
      </c>
      <c r="AB62" s="683">
        <v>2420.9354120267262</v>
      </c>
      <c r="AC62" s="683"/>
    </row>
    <row r="63" spans="2:29" ht="16.5" thickBot="1" x14ac:dyDescent="0.3">
      <c r="B63" s="504" t="s">
        <v>23</v>
      </c>
      <c r="C63" s="518">
        <v>16</v>
      </c>
      <c r="D63" s="519">
        <v>16</v>
      </c>
      <c r="E63" s="519">
        <v>16</v>
      </c>
      <c r="F63" s="519">
        <v>16</v>
      </c>
      <c r="G63" s="518">
        <v>16</v>
      </c>
      <c r="H63" s="519">
        <v>16.5</v>
      </c>
      <c r="I63" s="519">
        <v>16.5</v>
      </c>
      <c r="J63" s="519">
        <v>16.5</v>
      </c>
      <c r="K63" s="519">
        <v>16.5</v>
      </c>
      <c r="L63" s="519">
        <v>16.5</v>
      </c>
      <c r="M63" s="983">
        <v>17.25</v>
      </c>
      <c r="O63" s="504" t="s">
        <v>23</v>
      </c>
      <c r="P63" s="508">
        <v>40414</v>
      </c>
      <c r="Q63" s="509">
        <v>40367</v>
      </c>
      <c r="R63" s="509">
        <v>39943</v>
      </c>
      <c r="S63" s="509">
        <v>43683</v>
      </c>
      <c r="T63" s="509">
        <v>40480</v>
      </c>
      <c r="U63" s="509">
        <v>40669</v>
      </c>
      <c r="V63" s="507"/>
      <c r="X63" s="508">
        <v>3707.0262337185836</v>
      </c>
      <c r="Y63" s="509">
        <v>3668.0599727396639</v>
      </c>
      <c r="Z63" s="509">
        <v>3591.0276004674997</v>
      </c>
      <c r="AA63" s="509">
        <v>3903.7533512064342</v>
      </c>
      <c r="AB63" s="684">
        <v>3594.0690757347065</v>
      </c>
      <c r="AC63" s="684"/>
    </row>
    <row r="64" spans="2:29" ht="16.5" thickBot="1" x14ac:dyDescent="0.3">
      <c r="B64" s="493" t="s">
        <v>81</v>
      </c>
      <c r="C64" s="990">
        <v>16.635221058300111</v>
      </c>
      <c r="D64" s="991">
        <v>16.691771669588999</v>
      </c>
      <c r="E64" s="991">
        <v>16.839161121538613</v>
      </c>
      <c r="F64" s="991">
        <v>16.807932304608453</v>
      </c>
      <c r="G64" s="990">
        <v>16.783858188705608</v>
      </c>
      <c r="H64" s="991">
        <v>17.0518530729804</v>
      </c>
      <c r="I64" s="991">
        <v>17.037808667410477</v>
      </c>
      <c r="J64" s="991">
        <v>17.02964471081135</v>
      </c>
      <c r="K64" s="991">
        <v>17.03</v>
      </c>
      <c r="L64" s="991">
        <v>17.030243232124764</v>
      </c>
      <c r="M64" s="992">
        <v>17.510000000000002</v>
      </c>
      <c r="O64" s="493" t="s">
        <v>81</v>
      </c>
      <c r="P64" s="512">
        <v>84217</v>
      </c>
      <c r="Q64" s="513">
        <v>84922</v>
      </c>
      <c r="R64" s="513">
        <v>86099</v>
      </c>
      <c r="S64" s="513">
        <v>92989</v>
      </c>
      <c r="T64" s="513">
        <v>90448.47742000001</v>
      </c>
      <c r="U64" s="513">
        <v>92205</v>
      </c>
      <c r="V64" s="495"/>
      <c r="X64" s="512">
        <v>3101.5725702500645</v>
      </c>
      <c r="Y64" s="513">
        <v>3093.0215617715621</v>
      </c>
      <c r="Z64" s="513">
        <v>3104.4566236388546</v>
      </c>
      <c r="AA64" s="513">
        <v>3320.2056628699966</v>
      </c>
      <c r="AB64" s="513">
        <v>3189.8598984306122</v>
      </c>
      <c r="AC64" s="513"/>
    </row>
    <row r="65" spans="2:41" x14ac:dyDescent="0.2">
      <c r="G65" s="218">
        <v>16.783858188705608</v>
      </c>
      <c r="H65" s="218">
        <v>17.0518530729804</v>
      </c>
      <c r="I65" s="218">
        <v>17.037808667410477</v>
      </c>
      <c r="J65" s="218">
        <v>17.02964471081135</v>
      </c>
      <c r="K65" s="218">
        <v>17.03</v>
      </c>
      <c r="L65" s="218">
        <v>17.030243232124764</v>
      </c>
      <c r="M65" s="218">
        <v>17.510000000000002</v>
      </c>
      <c r="N65" s="218"/>
      <c r="O65" s="1" t="s">
        <v>542</v>
      </c>
    </row>
    <row r="66" spans="2:41" x14ac:dyDescent="0.2">
      <c r="F66" s="1" t="s">
        <v>542</v>
      </c>
      <c r="O66" s="291" t="s">
        <v>294</v>
      </c>
      <c r="P66" s="985">
        <f t="shared" ref="P66:U66" si="0">SUM(P48:P63)</f>
        <v>84217</v>
      </c>
      <c r="Q66" s="985">
        <f t="shared" si="0"/>
        <v>84922</v>
      </c>
      <c r="R66" s="985">
        <f t="shared" si="0"/>
        <v>86099</v>
      </c>
      <c r="S66" s="985">
        <f t="shared" si="0"/>
        <v>92989</v>
      </c>
      <c r="T66" s="985">
        <f t="shared" si="0"/>
        <v>90448.47742000001</v>
      </c>
      <c r="U66" s="985">
        <f t="shared" si="0"/>
        <v>92205</v>
      </c>
    </row>
    <row r="67" spans="2:41" x14ac:dyDescent="0.2">
      <c r="F67" s="1" t="s">
        <v>632</v>
      </c>
      <c r="O67" s="291" t="s">
        <v>541</v>
      </c>
      <c r="P67" s="291">
        <v>84217</v>
      </c>
      <c r="Q67" s="291">
        <v>84922</v>
      </c>
      <c r="R67" s="291">
        <v>86099</v>
      </c>
      <c r="S67" s="291">
        <v>92989</v>
      </c>
      <c r="T67" s="291">
        <v>90448</v>
      </c>
      <c r="U67" s="291">
        <v>92205</v>
      </c>
      <c r="Y67" s="685"/>
      <c r="Z67" s="685"/>
      <c r="AA67" s="685"/>
      <c r="AB67" s="685"/>
      <c r="AC67" s="685"/>
      <c r="AD67" s="685"/>
      <c r="AE67" s="685"/>
      <c r="AF67" s="685"/>
      <c r="AG67" s="686"/>
      <c r="AH67" s="685"/>
      <c r="AI67" s="685"/>
      <c r="AJ67" s="685"/>
      <c r="AK67" s="686"/>
      <c r="AL67" s="685"/>
      <c r="AM67" s="685"/>
      <c r="AN67" s="685"/>
      <c r="AO67" s="685"/>
    </row>
    <row r="68" spans="2:41" x14ac:dyDescent="0.2">
      <c r="F68" s="520">
        <v>6</v>
      </c>
      <c r="G68" s="521"/>
      <c r="H68" s="521"/>
      <c r="I68" s="520"/>
      <c r="J68" s="520"/>
      <c r="K68" s="520"/>
      <c r="L68" s="520"/>
      <c r="M68" s="520"/>
      <c r="O68" s="1">
        <v>7</v>
      </c>
    </row>
    <row r="69" spans="2:41" ht="15.75" thickBot="1" x14ac:dyDescent="0.25">
      <c r="B69" s="1" t="s">
        <v>449</v>
      </c>
      <c r="C69" s="1" t="s">
        <v>338</v>
      </c>
      <c r="G69" s="522"/>
      <c r="H69" s="522"/>
      <c r="O69" s="1" t="s">
        <v>391</v>
      </c>
      <c r="T69" s="522"/>
      <c r="U69" s="522"/>
    </row>
    <row r="70" spans="2:41" ht="19.5" thickBot="1" x14ac:dyDescent="0.35">
      <c r="B70" s="603" t="s">
        <v>336</v>
      </c>
      <c r="E70" s="604">
        <v>2006</v>
      </c>
      <c r="F70" s="604">
        <v>2007</v>
      </c>
      <c r="G70" s="604">
        <v>2008</v>
      </c>
      <c r="H70" s="604">
        <v>2009</v>
      </c>
      <c r="I70" s="604">
        <v>2010</v>
      </c>
      <c r="J70" s="604">
        <v>2011</v>
      </c>
      <c r="K70" s="604">
        <v>2012</v>
      </c>
      <c r="L70" s="604">
        <v>2013</v>
      </c>
      <c r="M70" s="604">
        <v>2014</v>
      </c>
      <c r="O70" s="603" t="s">
        <v>393</v>
      </c>
      <c r="P70" s="604">
        <v>2005</v>
      </c>
      <c r="Q70" s="604">
        <v>2006</v>
      </c>
      <c r="R70" s="604">
        <v>2007</v>
      </c>
      <c r="S70" s="604">
        <v>2008</v>
      </c>
      <c r="T70" s="604">
        <v>2009</v>
      </c>
      <c r="U70" s="604">
        <v>2010</v>
      </c>
      <c r="V70" s="604">
        <v>2011</v>
      </c>
      <c r="W70" s="604">
        <v>2012</v>
      </c>
      <c r="X70" s="604">
        <v>2013</v>
      </c>
      <c r="Y70" s="604">
        <v>2014</v>
      </c>
    </row>
    <row r="71" spans="2:41" ht="15.75" x14ac:dyDescent="0.25">
      <c r="B71" s="592" t="s">
        <v>8</v>
      </c>
      <c r="E71" s="1">
        <v>520</v>
      </c>
      <c r="F71" s="1">
        <v>510</v>
      </c>
      <c r="G71" s="1">
        <v>518</v>
      </c>
      <c r="H71" s="1">
        <v>498</v>
      </c>
      <c r="I71" s="1">
        <v>488</v>
      </c>
      <c r="J71" s="620">
        <v>480</v>
      </c>
      <c r="K71" s="620">
        <v>476</v>
      </c>
      <c r="L71" s="620">
        <v>475</v>
      </c>
      <c r="M71" s="625">
        <v>474</v>
      </c>
      <c r="O71" s="592" t="s">
        <v>8</v>
      </c>
      <c r="P71" s="498">
        <v>65610.520980894027</v>
      </c>
      <c r="Q71" s="498">
        <v>44281.7</v>
      </c>
      <c r="R71" s="498">
        <v>50415.88</v>
      </c>
      <c r="S71" s="498">
        <v>30029.93</v>
      </c>
      <c r="T71" s="498">
        <v>81321.240000000005</v>
      </c>
      <c r="U71" s="498">
        <v>102003.11</v>
      </c>
      <c r="V71" s="498">
        <v>116183.19</v>
      </c>
      <c r="W71" s="498">
        <v>82262.649999999994</v>
      </c>
      <c r="X71" s="498">
        <v>76005.789999999994</v>
      </c>
      <c r="Y71" s="498">
        <v>85659.71</v>
      </c>
    </row>
    <row r="72" spans="2:41" ht="15.75" x14ac:dyDescent="0.25">
      <c r="B72" s="562" t="s">
        <v>9</v>
      </c>
      <c r="E72" s="1">
        <v>929</v>
      </c>
      <c r="F72" s="1">
        <v>923</v>
      </c>
      <c r="G72" s="1">
        <v>921</v>
      </c>
      <c r="H72" s="1">
        <v>924</v>
      </c>
      <c r="I72" s="1">
        <v>943</v>
      </c>
      <c r="J72" s="621">
        <v>978</v>
      </c>
      <c r="K72" s="621">
        <v>960</v>
      </c>
      <c r="L72" s="621">
        <v>947</v>
      </c>
      <c r="M72" s="626">
        <v>932</v>
      </c>
      <c r="N72" s="771"/>
      <c r="O72" s="562" t="s">
        <v>9</v>
      </c>
      <c r="P72" s="36">
        <v>421364.90404303197</v>
      </c>
      <c r="Q72" s="36">
        <v>395524.16</v>
      </c>
      <c r="R72" s="36">
        <v>342737.7</v>
      </c>
      <c r="S72" s="36">
        <v>134983.38999999998</v>
      </c>
      <c r="T72" s="36">
        <v>211251.25</v>
      </c>
      <c r="U72" s="36">
        <v>201892.09</v>
      </c>
      <c r="V72" s="36">
        <v>91779.75</v>
      </c>
      <c r="W72" s="36">
        <v>33160.93</v>
      </c>
      <c r="X72" s="36">
        <v>30864.22</v>
      </c>
      <c r="Y72" s="36">
        <v>44006.11</v>
      </c>
    </row>
    <row r="73" spans="2:41" ht="15.75" x14ac:dyDescent="0.25">
      <c r="B73" s="562" t="s">
        <v>10</v>
      </c>
      <c r="E73" s="1">
        <v>2464</v>
      </c>
      <c r="F73" s="1">
        <v>2457</v>
      </c>
      <c r="G73" s="1">
        <v>2483</v>
      </c>
      <c r="H73" s="1">
        <v>2486</v>
      </c>
      <c r="I73" s="1">
        <v>2502</v>
      </c>
      <c r="J73" s="621">
        <v>2527</v>
      </c>
      <c r="K73" s="621">
        <v>2531</v>
      </c>
      <c r="L73" s="621">
        <v>2520</v>
      </c>
      <c r="M73" s="626">
        <v>2534</v>
      </c>
      <c r="O73" s="562" t="s">
        <v>10</v>
      </c>
      <c r="P73" s="36">
        <v>214556.31677795097</v>
      </c>
      <c r="Q73" s="36">
        <v>234764.24</v>
      </c>
      <c r="R73" s="36">
        <v>227622.41</v>
      </c>
      <c r="S73" s="36">
        <v>113688.56999999999</v>
      </c>
      <c r="T73" s="36">
        <v>225026.62</v>
      </c>
      <c r="U73" s="36">
        <v>168202.21</v>
      </c>
      <c r="V73" s="36">
        <v>118430.2</v>
      </c>
      <c r="W73" s="36">
        <v>164328.98000000001</v>
      </c>
      <c r="X73" s="36">
        <v>174074.21</v>
      </c>
      <c r="Y73" s="36">
        <v>296455.96000000002</v>
      </c>
    </row>
    <row r="74" spans="2:41" ht="15.75" x14ac:dyDescent="0.25">
      <c r="B74" s="562" t="s">
        <v>11</v>
      </c>
      <c r="E74" s="1">
        <v>583</v>
      </c>
      <c r="F74" s="1">
        <v>582</v>
      </c>
      <c r="G74" s="1">
        <v>576</v>
      </c>
      <c r="H74" s="1">
        <v>561</v>
      </c>
      <c r="I74" s="1">
        <v>580</v>
      </c>
      <c r="J74" s="621">
        <v>577</v>
      </c>
      <c r="K74" s="621">
        <v>578</v>
      </c>
      <c r="L74" s="621">
        <v>572</v>
      </c>
      <c r="M74" s="626">
        <v>568</v>
      </c>
      <c r="O74" s="562" t="s">
        <v>11</v>
      </c>
      <c r="P74" s="36">
        <v>211410.27060806344</v>
      </c>
      <c r="Q74" s="36">
        <v>120586.52</v>
      </c>
      <c r="R74" s="36">
        <v>190500.14</v>
      </c>
      <c r="S74" s="36">
        <v>123793.71</v>
      </c>
      <c r="T74" s="36">
        <v>230586.18</v>
      </c>
      <c r="U74" s="36">
        <v>179764.1</v>
      </c>
      <c r="V74" s="36">
        <v>107773.96</v>
      </c>
      <c r="W74" s="36">
        <v>127690.03</v>
      </c>
      <c r="X74" s="36">
        <v>147121.51999999999</v>
      </c>
      <c r="Y74" s="36">
        <v>198279.13</v>
      </c>
    </row>
    <row r="75" spans="2:41" ht="15.75" x14ac:dyDescent="0.25">
      <c r="B75" s="562" t="s">
        <v>12</v>
      </c>
      <c r="E75" s="1">
        <v>448</v>
      </c>
      <c r="F75" s="1">
        <v>443</v>
      </c>
      <c r="G75" s="1">
        <v>456</v>
      </c>
      <c r="H75" s="1">
        <v>457</v>
      </c>
      <c r="I75" s="1">
        <v>475</v>
      </c>
      <c r="J75" s="621">
        <v>492</v>
      </c>
      <c r="K75" s="621">
        <v>495</v>
      </c>
      <c r="L75" s="621">
        <v>500</v>
      </c>
      <c r="M75" s="626">
        <v>494</v>
      </c>
      <c r="O75" s="562" t="s">
        <v>12</v>
      </c>
      <c r="P75" s="36">
        <v>8912.8939927851097</v>
      </c>
      <c r="Q75" s="36">
        <v>5374.59</v>
      </c>
      <c r="R75" s="36">
        <v>5403.59</v>
      </c>
      <c r="S75" s="36">
        <v>2499.63</v>
      </c>
      <c r="T75" s="36">
        <v>4833.5600000000004</v>
      </c>
      <c r="U75" s="36">
        <v>8075.81</v>
      </c>
      <c r="V75" s="36">
        <v>5729.07</v>
      </c>
      <c r="W75" s="36">
        <v>3990.84</v>
      </c>
      <c r="X75" s="36">
        <v>3528.61</v>
      </c>
      <c r="Y75" s="36">
        <v>5519.64</v>
      </c>
    </row>
    <row r="76" spans="2:41" ht="15.75" x14ac:dyDescent="0.25">
      <c r="B76" s="562" t="s">
        <v>13</v>
      </c>
      <c r="E76" s="1">
        <v>1423</v>
      </c>
      <c r="F76" s="1">
        <v>1409</v>
      </c>
      <c r="G76" s="1">
        <v>1440</v>
      </c>
      <c r="H76" s="1">
        <v>1463</v>
      </c>
      <c r="I76" s="1">
        <v>1508</v>
      </c>
      <c r="J76" s="621">
        <v>1526</v>
      </c>
      <c r="K76" s="621">
        <v>1522</v>
      </c>
      <c r="L76" s="621">
        <v>1540</v>
      </c>
      <c r="M76" s="626">
        <v>1532</v>
      </c>
      <c r="O76" s="562" t="s">
        <v>13</v>
      </c>
      <c r="P76" s="36">
        <v>43028.3116009242</v>
      </c>
      <c r="Q76" s="36">
        <v>65747.009999999995</v>
      </c>
      <c r="R76" s="36">
        <v>77273.539999999994</v>
      </c>
      <c r="S76" s="36">
        <v>31520.239999999998</v>
      </c>
      <c r="T76" s="36">
        <v>61258.53</v>
      </c>
      <c r="U76" s="36">
        <v>59736.82</v>
      </c>
      <c r="V76" s="36">
        <v>99653.75</v>
      </c>
      <c r="W76" s="36">
        <v>93632.71</v>
      </c>
      <c r="X76" s="36">
        <v>79555.42</v>
      </c>
      <c r="Y76" s="36">
        <v>87945.23</v>
      </c>
    </row>
    <row r="77" spans="2:41" ht="15.75" x14ac:dyDescent="0.25">
      <c r="B77" s="562" t="s">
        <v>14</v>
      </c>
      <c r="E77" s="1">
        <v>3664</v>
      </c>
      <c r="F77" s="1">
        <v>3774</v>
      </c>
      <c r="G77" s="1">
        <v>3917</v>
      </c>
      <c r="H77" s="1">
        <v>4022</v>
      </c>
      <c r="I77" s="1">
        <v>4098</v>
      </c>
      <c r="J77" s="621">
        <v>4249</v>
      </c>
      <c r="K77" s="621">
        <v>4355</v>
      </c>
      <c r="L77" s="621">
        <v>4424</v>
      </c>
      <c r="M77" s="626">
        <v>4560</v>
      </c>
      <c r="O77" s="562" t="s">
        <v>14</v>
      </c>
      <c r="P77" s="36">
        <v>288608.35625013954</v>
      </c>
      <c r="Q77" s="36">
        <v>385575.99</v>
      </c>
      <c r="R77" s="36">
        <v>628558.85</v>
      </c>
      <c r="S77" s="36">
        <v>303876.73</v>
      </c>
      <c r="T77" s="36">
        <v>640446.56000000006</v>
      </c>
      <c r="U77" s="36">
        <v>681604.15</v>
      </c>
      <c r="V77" s="36">
        <v>713716.77</v>
      </c>
      <c r="W77" s="36">
        <v>591525.92000000004</v>
      </c>
      <c r="X77" s="36">
        <v>633517.21</v>
      </c>
      <c r="Y77" s="36">
        <v>932338.45</v>
      </c>
    </row>
    <row r="78" spans="2:41" ht="15.75" x14ac:dyDescent="0.25">
      <c r="B78" s="562" t="s">
        <v>15</v>
      </c>
      <c r="E78" s="1">
        <v>359</v>
      </c>
      <c r="F78" s="1">
        <v>366</v>
      </c>
      <c r="G78" s="1">
        <v>360</v>
      </c>
      <c r="H78" s="1">
        <v>372</v>
      </c>
      <c r="I78" s="1">
        <v>364</v>
      </c>
      <c r="J78" s="621">
        <v>361</v>
      </c>
      <c r="K78" s="621">
        <v>338</v>
      </c>
      <c r="L78" s="621">
        <v>330</v>
      </c>
      <c r="M78" s="626">
        <v>328</v>
      </c>
      <c r="O78" s="562" t="s">
        <v>15</v>
      </c>
      <c r="P78" s="36">
        <v>18132.843441926092</v>
      </c>
      <c r="Q78" s="36">
        <v>11117.09</v>
      </c>
      <c r="R78" s="36">
        <v>18106.29</v>
      </c>
      <c r="S78" s="36">
        <v>12351.64</v>
      </c>
      <c r="T78" s="36">
        <v>31256.57</v>
      </c>
      <c r="U78" s="36">
        <v>24207.64</v>
      </c>
      <c r="V78" s="36">
        <v>12490.93</v>
      </c>
      <c r="W78" s="36">
        <v>6184.55</v>
      </c>
      <c r="X78" s="36">
        <v>8182.98</v>
      </c>
      <c r="Y78" s="36">
        <v>12112.73</v>
      </c>
    </row>
    <row r="79" spans="2:41" ht="15.75" x14ac:dyDescent="0.25">
      <c r="B79" s="562" t="s">
        <v>16</v>
      </c>
      <c r="E79" s="1">
        <v>298</v>
      </c>
      <c r="F79" s="1">
        <v>284</v>
      </c>
      <c r="G79" s="1">
        <v>262</v>
      </c>
      <c r="H79" s="1">
        <v>261</v>
      </c>
      <c r="I79" s="1">
        <v>259</v>
      </c>
      <c r="J79" s="621">
        <v>249</v>
      </c>
      <c r="K79" s="621">
        <v>245</v>
      </c>
      <c r="L79" s="621">
        <v>251</v>
      </c>
      <c r="M79" s="626">
        <v>253</v>
      </c>
      <c r="O79" s="562" t="s">
        <v>16</v>
      </c>
      <c r="P79" s="36">
        <v>3284.9443698272407</v>
      </c>
      <c r="Q79" s="36">
        <v>4496.3599999999997</v>
      </c>
      <c r="R79" s="36">
        <v>4845.67</v>
      </c>
      <c r="S79" s="36">
        <v>2331.4800000000005</v>
      </c>
      <c r="T79" s="36">
        <v>6850.79</v>
      </c>
      <c r="U79" s="36">
        <v>9196.25</v>
      </c>
      <c r="V79" s="36">
        <v>9115.4500000000007</v>
      </c>
      <c r="W79" s="36">
        <v>6836.75</v>
      </c>
      <c r="X79" s="36">
        <v>7057.38</v>
      </c>
      <c r="Y79" s="36">
        <v>10905.57</v>
      </c>
    </row>
    <row r="80" spans="2:41" ht="15.75" x14ac:dyDescent="0.25">
      <c r="B80" s="562" t="s">
        <v>17</v>
      </c>
      <c r="E80" s="1">
        <v>1731</v>
      </c>
      <c r="F80" s="1">
        <v>1773</v>
      </c>
      <c r="G80" s="1">
        <v>1783</v>
      </c>
      <c r="H80" s="1">
        <v>1782</v>
      </c>
      <c r="I80" s="1">
        <v>1814</v>
      </c>
      <c r="J80" s="621">
        <v>1860</v>
      </c>
      <c r="K80" s="621">
        <v>1883</v>
      </c>
      <c r="L80" s="621">
        <v>1926</v>
      </c>
      <c r="M80" s="626">
        <v>1943</v>
      </c>
      <c r="O80" s="562" t="s">
        <v>17</v>
      </c>
      <c r="P80" s="36">
        <v>13296.89478312237</v>
      </c>
      <c r="Q80" s="36">
        <v>15685.47</v>
      </c>
      <c r="R80" s="36">
        <v>29504.04</v>
      </c>
      <c r="S80" s="36">
        <v>19987.2</v>
      </c>
      <c r="T80" s="36">
        <v>72667.45</v>
      </c>
      <c r="U80" s="36">
        <v>77975.37</v>
      </c>
      <c r="V80" s="36">
        <v>65709.399999999994</v>
      </c>
      <c r="W80" s="36">
        <v>32351.53</v>
      </c>
      <c r="X80" s="36">
        <v>30052.1</v>
      </c>
      <c r="Y80" s="36">
        <v>50634.879999999997</v>
      </c>
    </row>
    <row r="81" spans="2:25" ht="15.75" x14ac:dyDescent="0.25">
      <c r="B81" s="562" t="s">
        <v>18</v>
      </c>
      <c r="E81" s="1">
        <v>387</v>
      </c>
      <c r="F81" s="1">
        <v>387</v>
      </c>
      <c r="G81" s="1">
        <v>387</v>
      </c>
      <c r="H81" s="1">
        <v>391</v>
      </c>
      <c r="I81" s="1">
        <v>394</v>
      </c>
      <c r="J81" s="621">
        <v>399</v>
      </c>
      <c r="K81" s="621">
        <v>392</v>
      </c>
      <c r="L81" s="621">
        <v>413</v>
      </c>
      <c r="M81" s="626">
        <v>418</v>
      </c>
      <c r="O81" s="562" t="s">
        <v>18</v>
      </c>
      <c r="P81" s="36">
        <v>48231.195243690461</v>
      </c>
      <c r="Q81" s="36">
        <v>60395.24</v>
      </c>
      <c r="R81" s="36">
        <v>73928.600000000006</v>
      </c>
      <c r="S81" s="36">
        <v>33657.539999999994</v>
      </c>
      <c r="T81" s="36">
        <v>51474.77</v>
      </c>
      <c r="U81" s="36">
        <v>50376.36</v>
      </c>
      <c r="V81" s="36">
        <v>39922.160000000003</v>
      </c>
      <c r="W81" s="36">
        <v>31210.880000000001</v>
      </c>
      <c r="X81" s="36">
        <v>31596.14</v>
      </c>
      <c r="Y81" s="36">
        <v>45145.440000000002</v>
      </c>
    </row>
    <row r="82" spans="2:25" ht="15.75" x14ac:dyDescent="0.25">
      <c r="B82" s="562" t="s">
        <v>19</v>
      </c>
      <c r="E82" s="1">
        <v>1706</v>
      </c>
      <c r="F82" s="1">
        <v>1731</v>
      </c>
      <c r="G82" s="1">
        <v>1753</v>
      </c>
      <c r="H82" s="1">
        <v>1792</v>
      </c>
      <c r="I82" s="1">
        <v>1802</v>
      </c>
      <c r="J82" s="621">
        <v>1810</v>
      </c>
      <c r="K82" s="621">
        <v>1823</v>
      </c>
      <c r="L82" s="621">
        <v>1813</v>
      </c>
      <c r="M82" s="626">
        <v>1825</v>
      </c>
      <c r="O82" s="562" t="s">
        <v>19</v>
      </c>
      <c r="P82" s="36">
        <v>371508.10015766177</v>
      </c>
      <c r="Q82" s="36">
        <v>413803.49</v>
      </c>
      <c r="R82" s="36">
        <v>458553.47</v>
      </c>
      <c r="S82" s="36">
        <v>140733.82</v>
      </c>
      <c r="T82" s="36">
        <v>328500.18</v>
      </c>
      <c r="U82" s="36">
        <v>487437.67</v>
      </c>
      <c r="V82" s="36">
        <v>549176.93000000005</v>
      </c>
      <c r="W82" s="36">
        <v>438529.56</v>
      </c>
      <c r="X82" s="36">
        <v>430115.87</v>
      </c>
      <c r="Y82" s="36">
        <v>591330.37</v>
      </c>
    </row>
    <row r="83" spans="2:25" ht="15.75" x14ac:dyDescent="0.25">
      <c r="B83" s="562" t="s">
        <v>20</v>
      </c>
      <c r="E83" s="1">
        <v>120</v>
      </c>
      <c r="F83" s="1">
        <v>116</v>
      </c>
      <c r="G83" s="1">
        <v>115</v>
      </c>
      <c r="H83" s="1">
        <v>125</v>
      </c>
      <c r="I83" s="1">
        <v>119</v>
      </c>
      <c r="J83" s="621">
        <v>103</v>
      </c>
      <c r="K83" s="621">
        <v>101</v>
      </c>
      <c r="L83" s="621">
        <v>100</v>
      </c>
      <c r="M83" s="626">
        <v>101</v>
      </c>
      <c r="O83" s="562" t="s">
        <v>20</v>
      </c>
      <c r="P83" s="36">
        <v>2124.9530953588978</v>
      </c>
      <c r="Q83" s="36">
        <v>2134.39</v>
      </c>
      <c r="R83" s="36">
        <v>2267.88</v>
      </c>
      <c r="S83" s="36">
        <v>769.29</v>
      </c>
      <c r="T83" s="36">
        <v>1455.66</v>
      </c>
      <c r="U83" s="36">
        <v>1226.75</v>
      </c>
      <c r="V83" s="36">
        <v>4180.95</v>
      </c>
      <c r="W83" s="36">
        <v>4992.46</v>
      </c>
      <c r="X83" s="36">
        <v>5599.93</v>
      </c>
      <c r="Y83" s="36">
        <v>6929.59</v>
      </c>
    </row>
    <row r="84" spans="2:25" ht="15.75" x14ac:dyDescent="0.25">
      <c r="B84" s="562" t="s">
        <v>21</v>
      </c>
      <c r="E84" s="1">
        <v>1033</v>
      </c>
      <c r="F84" s="1">
        <v>1052</v>
      </c>
      <c r="G84" s="1">
        <v>1031</v>
      </c>
      <c r="H84" s="1">
        <v>1032</v>
      </c>
      <c r="I84" s="1">
        <v>1019</v>
      </c>
      <c r="J84" s="621">
        <v>1032</v>
      </c>
      <c r="K84" s="621">
        <v>1035</v>
      </c>
      <c r="L84" s="621">
        <v>1029</v>
      </c>
      <c r="M84" s="626">
        <v>1035</v>
      </c>
      <c r="O84" s="562" t="s">
        <v>21</v>
      </c>
      <c r="P84" s="36">
        <v>8155.4412300376453</v>
      </c>
      <c r="Q84" s="36">
        <v>12373.98</v>
      </c>
      <c r="R84" s="36">
        <v>16178.12</v>
      </c>
      <c r="S84" s="36">
        <v>7874.2300000000005</v>
      </c>
      <c r="T84" s="36">
        <v>12805.48</v>
      </c>
      <c r="U84" s="36">
        <v>8951.25</v>
      </c>
      <c r="V84" s="36">
        <v>9650.2999999999993</v>
      </c>
      <c r="W84" s="36">
        <v>10117.56</v>
      </c>
      <c r="X84" s="36">
        <v>12099.48</v>
      </c>
      <c r="Y84" s="36">
        <v>20575.03</v>
      </c>
    </row>
    <row r="85" spans="2:25" ht="15.75" x14ac:dyDescent="0.25">
      <c r="B85" s="562" t="s">
        <v>22</v>
      </c>
      <c r="E85" s="1">
        <v>434</v>
      </c>
      <c r="F85" s="1">
        <v>444</v>
      </c>
      <c r="G85" s="1">
        <v>449</v>
      </c>
      <c r="H85" s="1">
        <v>445</v>
      </c>
      <c r="I85" s="1">
        <v>452</v>
      </c>
      <c r="J85" s="621">
        <v>449</v>
      </c>
      <c r="K85" s="621">
        <v>422</v>
      </c>
      <c r="L85" s="621">
        <v>433</v>
      </c>
      <c r="M85" s="626">
        <v>439</v>
      </c>
      <c r="O85" s="562" t="s">
        <v>22</v>
      </c>
      <c r="P85" s="36">
        <v>4400.3779627674248</v>
      </c>
      <c r="Q85" s="36">
        <v>4750.6499999999996</v>
      </c>
      <c r="R85" s="36">
        <v>7581.48</v>
      </c>
      <c r="S85" s="36">
        <v>3209.87</v>
      </c>
      <c r="T85" s="36">
        <v>6135.26</v>
      </c>
      <c r="U85" s="36">
        <v>4266.38</v>
      </c>
      <c r="V85" s="36">
        <v>4220.3900000000003</v>
      </c>
      <c r="W85" s="36">
        <v>3964.83</v>
      </c>
      <c r="X85" s="36">
        <v>5026.93</v>
      </c>
      <c r="Y85" s="36">
        <v>7747.31</v>
      </c>
    </row>
    <row r="86" spans="2:25" ht="16.5" thickBot="1" x14ac:dyDescent="0.3">
      <c r="B86" s="593" t="s">
        <v>23</v>
      </c>
      <c r="E86" s="1">
        <v>10824</v>
      </c>
      <c r="F86" s="1">
        <v>10902</v>
      </c>
      <c r="G86" s="1">
        <v>11005</v>
      </c>
      <c r="H86" s="1">
        <v>11123</v>
      </c>
      <c r="I86" s="1">
        <v>11190</v>
      </c>
      <c r="J86" s="622">
        <v>11263</v>
      </c>
      <c r="K86" s="622">
        <v>11346</v>
      </c>
      <c r="L86" s="622">
        <v>11393</v>
      </c>
      <c r="M86" s="627">
        <v>11480</v>
      </c>
      <c r="O86" s="593" t="s">
        <v>23</v>
      </c>
      <c r="P86" s="506">
        <v>7300978.4854618171</v>
      </c>
      <c r="Q86" s="506">
        <v>8451929.7400000002</v>
      </c>
      <c r="R86" s="506">
        <v>9243461.9199999999</v>
      </c>
      <c r="S86" s="506">
        <v>4265635.5199999996</v>
      </c>
      <c r="T86" s="506">
        <v>9804634.3300000001</v>
      </c>
      <c r="U86" s="506">
        <v>8985874.8000000007</v>
      </c>
      <c r="V86" s="506">
        <v>7442181.0700000003</v>
      </c>
      <c r="W86" s="506">
        <v>4228020.12</v>
      </c>
      <c r="X86" s="506">
        <v>3962625.54</v>
      </c>
      <c r="Y86" s="506">
        <v>4532547.21</v>
      </c>
    </row>
    <row r="87" spans="2:25" ht="19.5" thickBot="1" x14ac:dyDescent="0.35">
      <c r="B87" s="594" t="s">
        <v>24</v>
      </c>
      <c r="E87" s="1">
        <v>26923</v>
      </c>
      <c r="F87" s="1">
        <v>27153</v>
      </c>
      <c r="G87" s="623">
        <v>27456</v>
      </c>
      <c r="H87" s="623">
        <v>27734</v>
      </c>
      <c r="I87" s="623">
        <v>28007</v>
      </c>
      <c r="J87" s="623">
        <v>28355</v>
      </c>
      <c r="K87" s="623">
        <v>28502</v>
      </c>
      <c r="L87" s="623">
        <v>28666</v>
      </c>
      <c r="M87" s="624">
        <v>28916</v>
      </c>
      <c r="O87" s="594" t="s">
        <v>247</v>
      </c>
      <c r="P87" s="511">
        <v>9023604.8100000005</v>
      </c>
      <c r="Q87" s="511">
        <v>10228540.620000001</v>
      </c>
      <c r="R87" s="511">
        <v>11376939.58</v>
      </c>
      <c r="S87" s="511">
        <v>5226942.7899999991</v>
      </c>
      <c r="T87" s="511">
        <v>11770504.43</v>
      </c>
      <c r="U87" s="511">
        <v>11050790.76</v>
      </c>
      <c r="V87" s="511">
        <v>9389914.2699999996</v>
      </c>
      <c r="W87" s="511">
        <v>5858800.3000000007</v>
      </c>
      <c r="X87" s="511">
        <v>5637023.3300000001</v>
      </c>
      <c r="Y87" s="511">
        <v>6928132.3599999994</v>
      </c>
    </row>
    <row r="88" spans="2:25" x14ac:dyDescent="0.2">
      <c r="F88" s="524" t="s">
        <v>543</v>
      </c>
      <c r="G88" s="524"/>
      <c r="H88" s="524"/>
      <c r="I88" s="524"/>
      <c r="J88" s="524"/>
      <c r="K88" s="524"/>
      <c r="L88" s="524"/>
      <c r="M88" s="524"/>
      <c r="P88" s="1195">
        <f>SUM(P71:P86)</f>
        <v>9023604.8099999987</v>
      </c>
      <c r="Q88" s="1195">
        <f t="shared" ref="Q88:Y88" si="1">SUM(Q71:Q86)</f>
        <v>10228540.620000001</v>
      </c>
      <c r="R88" s="1195">
        <f t="shared" si="1"/>
        <v>11376939.58</v>
      </c>
      <c r="S88" s="1195">
        <f t="shared" si="1"/>
        <v>5226942.7899999991</v>
      </c>
      <c r="T88" s="1195">
        <f t="shared" si="1"/>
        <v>11770504.43</v>
      </c>
      <c r="U88" s="1195">
        <f t="shared" si="1"/>
        <v>11050790.76</v>
      </c>
      <c r="V88" s="1195">
        <f t="shared" si="1"/>
        <v>9389914.2699999996</v>
      </c>
      <c r="W88" s="1195">
        <f>SUM(W71:W86)</f>
        <v>5858800.3000000007</v>
      </c>
      <c r="X88" s="1195">
        <f t="shared" si="1"/>
        <v>5637023.3300000001</v>
      </c>
      <c r="Y88" s="1195">
        <f t="shared" si="1"/>
        <v>6928132.3599999994</v>
      </c>
    </row>
    <row r="89" spans="2:25" x14ac:dyDescent="0.2">
      <c r="E89" s="523">
        <f t="shared" ref="E89:M89" si="2">SUM(E71:E86)</f>
        <v>26923</v>
      </c>
      <c r="F89" s="523" t="s">
        <v>544</v>
      </c>
      <c r="G89" s="523">
        <f t="shared" si="2"/>
        <v>27456</v>
      </c>
      <c r="H89" s="523">
        <f t="shared" si="2"/>
        <v>27734</v>
      </c>
      <c r="I89" s="523">
        <f t="shared" si="2"/>
        <v>28007</v>
      </c>
      <c r="J89" s="523">
        <f t="shared" si="2"/>
        <v>28355</v>
      </c>
      <c r="K89" s="523">
        <f t="shared" si="2"/>
        <v>28502</v>
      </c>
      <c r="L89" s="523">
        <f t="shared" si="2"/>
        <v>28666</v>
      </c>
      <c r="M89" s="523">
        <f t="shared" si="2"/>
        <v>28916</v>
      </c>
      <c r="P89" s="24"/>
    </row>
    <row r="90" spans="2:25" x14ac:dyDescent="0.2">
      <c r="F90" s="523">
        <f>SUM(F71:F86)</f>
        <v>27153</v>
      </c>
      <c r="G90" s="524"/>
      <c r="H90" s="524"/>
      <c r="I90" s="524"/>
      <c r="J90" s="524"/>
      <c r="K90" s="524"/>
      <c r="P90" s="24" t="s">
        <v>548</v>
      </c>
    </row>
    <row r="91" spans="2:25" x14ac:dyDescent="0.2">
      <c r="F91" s="523"/>
      <c r="G91" s="523"/>
      <c r="H91" s="523"/>
      <c r="I91" s="523"/>
      <c r="J91" s="523"/>
      <c r="K91" s="523"/>
      <c r="L91" s="523"/>
      <c r="M91" s="523"/>
      <c r="P91" s="1" t="s">
        <v>631</v>
      </c>
    </row>
    <row r="92" spans="2:25" x14ac:dyDescent="0.2">
      <c r="F92" s="524"/>
      <c r="G92" s="524"/>
      <c r="H92" s="524"/>
      <c r="I92" s="524"/>
      <c r="J92" s="524"/>
      <c r="K92" s="22">
        <v>1267000</v>
      </c>
      <c r="L92" s="524"/>
      <c r="M92" s="524"/>
    </row>
    <row r="93" spans="2:25" x14ac:dyDescent="0.2">
      <c r="K93" s="22">
        <f>K97*K48/100</f>
        <v>1329.1875599999998</v>
      </c>
      <c r="L93" s="22">
        <f>K93*1000</f>
        <v>1329187.5599999998</v>
      </c>
    </row>
    <row r="94" spans="2:25" ht="15.75" x14ac:dyDescent="0.25">
      <c r="F94" s="23" t="s">
        <v>562</v>
      </c>
      <c r="K94" s="989">
        <f>T64/K113</f>
        <v>0.18722262101570003</v>
      </c>
      <c r="R94" s="1" t="s">
        <v>553</v>
      </c>
    </row>
    <row r="95" spans="2:25" ht="15.75" thickBot="1" x14ac:dyDescent="0.25">
      <c r="F95" s="1">
        <v>8</v>
      </c>
      <c r="Q95" s="1">
        <v>9</v>
      </c>
    </row>
    <row r="96" spans="2:25" ht="16.5" thickBot="1" x14ac:dyDescent="0.3">
      <c r="E96" s="493"/>
      <c r="F96" s="738">
        <v>2007</v>
      </c>
      <c r="G96" s="738">
        <v>2008</v>
      </c>
      <c r="H96" s="738">
        <v>2009</v>
      </c>
      <c r="I96" s="738">
        <v>2010</v>
      </c>
      <c r="J96" s="738">
        <v>2011</v>
      </c>
      <c r="K96" s="738">
        <v>2012</v>
      </c>
      <c r="L96" s="738">
        <v>2013</v>
      </c>
      <c r="M96" s="738">
        <v>2014</v>
      </c>
      <c r="N96" s="738" t="s">
        <v>452</v>
      </c>
      <c r="P96" s="494">
        <v>2007</v>
      </c>
      <c r="Q96" s="494">
        <v>2008</v>
      </c>
      <c r="R96" s="494">
        <v>2009</v>
      </c>
      <c r="S96" s="494">
        <v>2010</v>
      </c>
      <c r="T96" s="494">
        <v>2011</v>
      </c>
      <c r="U96" s="494">
        <v>2012</v>
      </c>
      <c r="V96" s="494">
        <v>2013</v>
      </c>
      <c r="W96" s="494">
        <v>2014</v>
      </c>
      <c r="X96" s="494"/>
    </row>
    <row r="97" spans="5:24" ht="16.5" thickBot="1" x14ac:dyDescent="0.3">
      <c r="E97" s="496" t="s">
        <v>8</v>
      </c>
      <c r="F97" s="497">
        <v>6518.9345000000003</v>
      </c>
      <c r="G97" s="498">
        <v>7258.088941176472</v>
      </c>
      <c r="H97" s="498">
        <v>7230.8345294117662</v>
      </c>
      <c r="I97" s="498">
        <v>7277.6305294117637</v>
      </c>
      <c r="J97" s="498">
        <v>7046.7445882352949</v>
      </c>
      <c r="K97" s="498">
        <v>7818.750352941177</v>
      </c>
      <c r="L97" s="498">
        <v>7957.3315820895514</v>
      </c>
      <c r="M97" s="498">
        <v>7987.2093134328361</v>
      </c>
      <c r="N97" s="525">
        <v>8366.6763080808996</v>
      </c>
      <c r="P97" s="498">
        <f t="shared" ref="P97:R113" si="3">F97*1000/E71</f>
        <v>12536.4125</v>
      </c>
      <c r="Q97" s="498">
        <f t="shared" si="3"/>
        <v>14231.546943483279</v>
      </c>
      <c r="R97" s="498">
        <f t="shared" si="3"/>
        <v>13959.140018169432</v>
      </c>
      <c r="S97" s="498">
        <f t="shared" ref="S97:S113" si="4">I97*1000/H71</f>
        <v>14613.715922513582</v>
      </c>
      <c r="T97" s="498">
        <f t="shared" ref="T97:T113" si="5">J97*1000/I71</f>
        <v>14440.050385728064</v>
      </c>
      <c r="U97" s="498">
        <f t="shared" ref="U97:U113" si="6">K97*1000/J71</f>
        <v>16289.063235294119</v>
      </c>
      <c r="V97" s="498">
        <f>L97*1000/K71</f>
        <v>16717.083155650318</v>
      </c>
      <c r="W97" s="498">
        <f>M97*1000/L71</f>
        <v>16815.177501963866</v>
      </c>
      <c r="X97" s="498"/>
    </row>
    <row r="98" spans="5:24" ht="16.5" thickBot="1" x14ac:dyDescent="0.3">
      <c r="E98" s="52" t="s">
        <v>9</v>
      </c>
      <c r="F98" s="502">
        <v>10137.236777777778</v>
      </c>
      <c r="G98" s="36">
        <v>10980.728611111112</v>
      </c>
      <c r="H98" s="36">
        <v>10951.74991780822</v>
      </c>
      <c r="I98" s="36">
        <v>11902.4298630137</v>
      </c>
      <c r="J98" s="36">
        <v>12519.075222222222</v>
      </c>
      <c r="K98" s="36">
        <v>13146.234388888888</v>
      </c>
      <c r="L98" s="36">
        <v>13854.314333333336</v>
      </c>
      <c r="M98" s="36">
        <v>13890.439081081082</v>
      </c>
      <c r="N98" s="531">
        <v>13648.992846246772</v>
      </c>
      <c r="P98" s="498">
        <f t="shared" si="3"/>
        <v>10911.98792010525</v>
      </c>
      <c r="Q98" s="498">
        <f t="shared" si="3"/>
        <v>11896.78072709763</v>
      </c>
      <c r="R98" s="36">
        <f t="shared" si="3"/>
        <v>11891.150833667991</v>
      </c>
      <c r="S98" s="36">
        <f t="shared" si="4"/>
        <v>12881.417600664177</v>
      </c>
      <c r="T98" s="36">
        <f t="shared" si="5"/>
        <v>13275.795569694827</v>
      </c>
      <c r="U98" s="36">
        <f t="shared" si="6"/>
        <v>13441.957452851624</v>
      </c>
      <c r="V98" s="36">
        <f t="shared" ref="V98:W113" si="7">L98*1000/K72</f>
        <v>14431.577430555559</v>
      </c>
      <c r="W98" s="36">
        <f t="shared" si="7"/>
        <v>14667.834298924055</v>
      </c>
      <c r="X98" s="36"/>
    </row>
    <row r="99" spans="5:24" ht="16.5" thickBot="1" x14ac:dyDescent="0.3">
      <c r="E99" s="52" t="s">
        <v>10</v>
      </c>
      <c r="F99" s="502">
        <v>32506.372767123288</v>
      </c>
      <c r="G99" s="36">
        <v>34438.850756756758</v>
      </c>
      <c r="H99" s="36">
        <v>34765.093179487187</v>
      </c>
      <c r="I99" s="36">
        <v>36941.720153846152</v>
      </c>
      <c r="J99" s="36">
        <v>37577.740461538466</v>
      </c>
      <c r="K99" s="36">
        <v>38563.031897435903</v>
      </c>
      <c r="L99" s="36">
        <v>41014.450205128211</v>
      </c>
      <c r="M99" s="36">
        <v>41699.54800000001</v>
      </c>
      <c r="N99" s="531">
        <v>41772.977265191628</v>
      </c>
      <c r="P99" s="498">
        <f t="shared" si="3"/>
        <v>13192.521415228608</v>
      </c>
      <c r="Q99" s="498">
        <f t="shared" si="3"/>
        <v>14016.626274626276</v>
      </c>
      <c r="R99" s="36">
        <f t="shared" si="3"/>
        <v>14001.245742846228</v>
      </c>
      <c r="S99" s="36">
        <f t="shared" si="4"/>
        <v>14859.903521257504</v>
      </c>
      <c r="T99" s="36">
        <f t="shared" si="5"/>
        <v>15019.080919879481</v>
      </c>
      <c r="U99" s="36">
        <f t="shared" si="6"/>
        <v>15260.400434284093</v>
      </c>
      <c r="V99" s="36">
        <f t="shared" si="7"/>
        <v>16204.840065242279</v>
      </c>
      <c r="W99" s="36">
        <f t="shared" si="7"/>
        <v>16547.439682539687</v>
      </c>
      <c r="X99" s="36"/>
    </row>
    <row r="100" spans="5:24" ht="16.5" thickBot="1" x14ac:dyDescent="0.3">
      <c r="E100" s="52" t="s">
        <v>11</v>
      </c>
      <c r="F100" s="502">
        <v>7424.134352941177</v>
      </c>
      <c r="G100" s="36">
        <v>7749.5084705882346</v>
      </c>
      <c r="H100" s="36">
        <v>7460.9083529411764</v>
      </c>
      <c r="I100" s="36">
        <v>7917.0652941176468</v>
      </c>
      <c r="J100" s="36">
        <v>8468.351130434783</v>
      </c>
      <c r="K100" s="36">
        <v>8613.2612753623198</v>
      </c>
      <c r="L100" s="36">
        <v>8870.0992463768125</v>
      </c>
      <c r="M100" s="36">
        <v>8678.5706086956525</v>
      </c>
      <c r="N100" s="531">
        <v>8989.7589420500371</v>
      </c>
      <c r="P100" s="498">
        <f t="shared" si="3"/>
        <v>12734.364241751589</v>
      </c>
      <c r="Q100" s="498">
        <f t="shared" si="3"/>
        <v>13315.306650495248</v>
      </c>
      <c r="R100" s="36">
        <f t="shared" si="3"/>
        <v>12952.965890522877</v>
      </c>
      <c r="S100" s="36">
        <f t="shared" si="4"/>
        <v>14112.415854042152</v>
      </c>
      <c r="T100" s="36">
        <f t="shared" si="5"/>
        <v>14600.60539730135</v>
      </c>
      <c r="U100" s="36">
        <f t="shared" si="6"/>
        <v>14927.662522291716</v>
      </c>
      <c r="V100" s="36">
        <f t="shared" si="7"/>
        <v>15346.192467779952</v>
      </c>
      <c r="W100" s="36">
        <f t="shared" si="7"/>
        <v>15172.326238978414</v>
      </c>
      <c r="X100" s="36"/>
    </row>
    <row r="101" spans="5:24" ht="16.5" thickBot="1" x14ac:dyDescent="0.3">
      <c r="E101" s="52" t="s">
        <v>12</v>
      </c>
      <c r="F101" s="502">
        <v>4193.2595675675675</v>
      </c>
      <c r="G101" s="36">
        <v>4546.0510810810811</v>
      </c>
      <c r="H101" s="36">
        <v>4544.9665405405412</v>
      </c>
      <c r="I101" s="36">
        <v>4888.2392972972975</v>
      </c>
      <c r="J101" s="36">
        <v>5536.5169014084504</v>
      </c>
      <c r="K101" s="36">
        <v>5684.5286285714292</v>
      </c>
      <c r="L101" s="36">
        <v>5760.8207428571432</v>
      </c>
      <c r="M101" s="36">
        <v>5989.8233714285716</v>
      </c>
      <c r="N101" s="531">
        <v>6083.6951432865872</v>
      </c>
      <c r="P101" s="498">
        <f t="shared" si="3"/>
        <v>9359.9543918918916</v>
      </c>
      <c r="Q101" s="498">
        <f t="shared" si="3"/>
        <v>10261.966322982125</v>
      </c>
      <c r="R101" s="36">
        <f t="shared" si="3"/>
        <v>9967.0318871503096</v>
      </c>
      <c r="S101" s="36">
        <f t="shared" si="4"/>
        <v>10696.366077236977</v>
      </c>
      <c r="T101" s="36">
        <f t="shared" si="5"/>
        <v>11655.825055596739</v>
      </c>
      <c r="U101" s="36">
        <f t="shared" si="6"/>
        <v>11553.919976771198</v>
      </c>
      <c r="V101" s="36">
        <f t="shared" si="7"/>
        <v>11638.021702741704</v>
      </c>
      <c r="W101" s="36">
        <f t="shared" si="7"/>
        <v>11979.646742857143</v>
      </c>
      <c r="X101" s="36"/>
    </row>
    <row r="102" spans="5:24" ht="16.5" thickBot="1" x14ac:dyDescent="0.3">
      <c r="E102" s="52" t="s">
        <v>13</v>
      </c>
      <c r="F102" s="502">
        <v>18209.496705882353</v>
      </c>
      <c r="G102" s="36">
        <v>18892.142242424245</v>
      </c>
      <c r="H102" s="36">
        <v>18813.435757575757</v>
      </c>
      <c r="I102" s="36">
        <v>20446.009333333332</v>
      </c>
      <c r="J102" s="36">
        <v>21188.124666666667</v>
      </c>
      <c r="K102" s="36">
        <v>21895.776424242424</v>
      </c>
      <c r="L102" s="36">
        <v>23224.892606060603</v>
      </c>
      <c r="M102" s="36">
        <v>23387.249217391305</v>
      </c>
      <c r="N102" s="531">
        <v>24134.077942813339</v>
      </c>
      <c r="P102" s="498">
        <f t="shared" si="3"/>
        <v>12796.554255714935</v>
      </c>
      <c r="Q102" s="498">
        <f t="shared" si="3"/>
        <v>13408.19179732026</v>
      </c>
      <c r="R102" s="36">
        <f t="shared" si="3"/>
        <v>13064.885942760942</v>
      </c>
      <c r="S102" s="36">
        <f t="shared" si="4"/>
        <v>13975.399407609933</v>
      </c>
      <c r="T102" s="36">
        <f t="shared" si="5"/>
        <v>14050.480548187446</v>
      </c>
      <c r="U102" s="36">
        <f t="shared" si="6"/>
        <v>14348.477342229635</v>
      </c>
      <c r="V102" s="36">
        <f t="shared" si="7"/>
        <v>15259.456377175165</v>
      </c>
      <c r="W102" s="36">
        <f t="shared" si="7"/>
        <v>15186.525465838509</v>
      </c>
      <c r="X102" s="36"/>
    </row>
    <row r="103" spans="5:24" ht="16.5" thickBot="1" x14ac:dyDescent="0.3">
      <c r="E103" s="52" t="s">
        <v>14</v>
      </c>
      <c r="F103" s="502">
        <v>50671.853882352938</v>
      </c>
      <c r="G103" s="36">
        <v>56632.374176470592</v>
      </c>
      <c r="H103" s="36">
        <v>59173.458529411757</v>
      </c>
      <c r="I103" s="36">
        <v>64646.193941176476</v>
      </c>
      <c r="J103" s="36">
        <v>68847.818705882353</v>
      </c>
      <c r="K103" s="36">
        <v>73569.478764705884</v>
      </c>
      <c r="L103" s="36">
        <v>79861.476176470591</v>
      </c>
      <c r="M103" s="36">
        <v>84153.479176470588</v>
      </c>
      <c r="N103" s="531">
        <v>86334.549331967835</v>
      </c>
      <c r="P103" s="498">
        <f t="shared" si="3"/>
        <v>13829.65444387362</v>
      </c>
      <c r="Q103" s="498">
        <f t="shared" si="3"/>
        <v>15005.928504629197</v>
      </c>
      <c r="R103" s="36">
        <f t="shared" si="3"/>
        <v>15106.831383561846</v>
      </c>
      <c r="S103" s="36">
        <f t="shared" si="4"/>
        <v>16073.146181296985</v>
      </c>
      <c r="T103" s="36">
        <f t="shared" si="5"/>
        <v>16800.346194700429</v>
      </c>
      <c r="U103" s="36">
        <f t="shared" si="6"/>
        <v>17314.539601013388</v>
      </c>
      <c r="V103" s="36">
        <f t="shared" si="7"/>
        <v>18337.882015263051</v>
      </c>
      <c r="W103" s="36">
        <f t="shared" si="7"/>
        <v>19022.034171896608</v>
      </c>
      <c r="X103" s="36"/>
    </row>
    <row r="104" spans="5:24" ht="16.5" thickBot="1" x14ac:dyDescent="0.3">
      <c r="E104" s="52" t="s">
        <v>15</v>
      </c>
      <c r="F104" s="502">
        <v>4972.9383783783778</v>
      </c>
      <c r="G104" s="36">
        <v>5289.3951891891884</v>
      </c>
      <c r="H104" s="36">
        <v>5336.6727027027027</v>
      </c>
      <c r="I104" s="36">
        <v>5591.1280000000006</v>
      </c>
      <c r="J104" s="36">
        <v>5398.8011891891892</v>
      </c>
      <c r="K104" s="36">
        <v>5470.0519459459456</v>
      </c>
      <c r="L104" s="36">
        <v>5442.0692432432434</v>
      </c>
      <c r="M104" s="36">
        <v>5315.03</v>
      </c>
      <c r="N104" s="531">
        <v>5654.349106572492</v>
      </c>
      <c r="P104" s="498">
        <f t="shared" si="3"/>
        <v>13852.196040051193</v>
      </c>
      <c r="Q104" s="498">
        <f t="shared" si="3"/>
        <v>14451.899424014175</v>
      </c>
      <c r="R104" s="36">
        <f t="shared" si="3"/>
        <v>14824.090840840841</v>
      </c>
      <c r="S104" s="36">
        <f t="shared" si="4"/>
        <v>15029.913978494626</v>
      </c>
      <c r="T104" s="36">
        <f t="shared" si="5"/>
        <v>14831.871398871399</v>
      </c>
      <c r="U104" s="36">
        <f t="shared" si="6"/>
        <v>15152.498465224226</v>
      </c>
      <c r="V104" s="36">
        <f t="shared" si="7"/>
        <v>16100.796577642732</v>
      </c>
      <c r="W104" s="36">
        <f t="shared" si="7"/>
        <v>16106.151515151516</v>
      </c>
      <c r="X104" s="36"/>
    </row>
    <row r="105" spans="5:24" ht="16.5" thickBot="1" x14ac:dyDescent="0.3">
      <c r="E105" s="52" t="s">
        <v>16</v>
      </c>
      <c r="F105" s="502">
        <v>3479.0596216216218</v>
      </c>
      <c r="G105" s="36">
        <v>3477.0404324324327</v>
      </c>
      <c r="H105" s="36">
        <v>3133.8509729729735</v>
      </c>
      <c r="I105" s="36">
        <v>3497.8340540540544</v>
      </c>
      <c r="J105" s="36">
        <v>3497.0882162162161</v>
      </c>
      <c r="K105" s="36">
        <v>3616.4244102564103</v>
      </c>
      <c r="L105" s="36">
        <v>3618.7479487179489</v>
      </c>
      <c r="M105" s="36">
        <v>3932.2195949367087</v>
      </c>
      <c r="N105" s="531">
        <v>3858.1258503315412</v>
      </c>
      <c r="P105" s="498">
        <f t="shared" si="3"/>
        <v>11674.69671685108</v>
      </c>
      <c r="Q105" s="498">
        <f t="shared" si="3"/>
        <v>12243.100114198707</v>
      </c>
      <c r="R105" s="36">
        <f t="shared" si="3"/>
        <v>11961.263255622038</v>
      </c>
      <c r="S105" s="36">
        <f t="shared" si="4"/>
        <v>13401.663042352699</v>
      </c>
      <c r="T105" s="36">
        <f t="shared" si="5"/>
        <v>13502.271105081914</v>
      </c>
      <c r="U105" s="36">
        <f t="shared" si="6"/>
        <v>14523.792812274742</v>
      </c>
      <c r="V105" s="36">
        <f t="shared" si="7"/>
        <v>14770.399790685506</v>
      </c>
      <c r="W105" s="36">
        <f t="shared" si="7"/>
        <v>15666.213525644258</v>
      </c>
      <c r="X105" s="36"/>
    </row>
    <row r="106" spans="5:24" ht="16.5" thickBot="1" x14ac:dyDescent="0.3">
      <c r="E106" s="52" t="s">
        <v>17</v>
      </c>
      <c r="F106" s="502">
        <v>23927.144764705881</v>
      </c>
      <c r="G106" s="36">
        <v>26432.452176470586</v>
      </c>
      <c r="H106" s="36">
        <v>26304.223212121211</v>
      </c>
      <c r="I106" s="36">
        <v>28607.256181818178</v>
      </c>
      <c r="J106" s="36">
        <v>30280.77133333333</v>
      </c>
      <c r="K106" s="36">
        <v>31418.384000000002</v>
      </c>
      <c r="L106" s="36">
        <v>34036.600676923081</v>
      </c>
      <c r="M106" s="36">
        <v>34637.166567164182</v>
      </c>
      <c r="N106" s="531">
        <v>36412.894396656491</v>
      </c>
      <c r="P106" s="498">
        <f t="shared" si="3"/>
        <v>13822.729500118938</v>
      </c>
      <c r="Q106" s="498">
        <f t="shared" si="3"/>
        <v>14908.320460502304</v>
      </c>
      <c r="R106" s="36">
        <f t="shared" si="3"/>
        <v>14752.789238430292</v>
      </c>
      <c r="S106" s="36">
        <f t="shared" si="4"/>
        <v>16053.454647484949</v>
      </c>
      <c r="T106" s="36">
        <f t="shared" si="5"/>
        <v>16692.817714075707</v>
      </c>
      <c r="U106" s="36">
        <f t="shared" si="6"/>
        <v>16891.604301075269</v>
      </c>
      <c r="V106" s="36">
        <f t="shared" si="7"/>
        <v>18075.730577229464</v>
      </c>
      <c r="W106" s="36">
        <f t="shared" si="7"/>
        <v>17983.990948683375</v>
      </c>
      <c r="X106" s="36"/>
    </row>
    <row r="107" spans="5:24" ht="16.5" thickBot="1" x14ac:dyDescent="0.3">
      <c r="E107" s="52" t="s">
        <v>18</v>
      </c>
      <c r="F107" s="502">
        <v>5257.6626486486484</v>
      </c>
      <c r="G107" s="36">
        <v>5509.1761081081086</v>
      </c>
      <c r="H107" s="36">
        <v>5480.2475135135137</v>
      </c>
      <c r="I107" s="36">
        <v>6050.9666486486485</v>
      </c>
      <c r="J107" s="36">
        <v>6363.2155675675676</v>
      </c>
      <c r="K107" s="36">
        <v>6733.2634054054051</v>
      </c>
      <c r="L107" s="36">
        <v>6906.7232432432429</v>
      </c>
      <c r="M107" s="36">
        <v>7036.0956410256404</v>
      </c>
      <c r="N107" s="531">
        <v>7516.4536546648351</v>
      </c>
      <c r="P107" s="498">
        <f t="shared" si="3"/>
        <v>13585.691598575318</v>
      </c>
      <c r="Q107" s="498">
        <f t="shared" si="3"/>
        <v>14235.597178573924</v>
      </c>
      <c r="R107" s="36">
        <f t="shared" si="3"/>
        <v>14160.846288148614</v>
      </c>
      <c r="S107" s="36">
        <f t="shared" si="4"/>
        <v>15475.618027234395</v>
      </c>
      <c r="T107" s="36">
        <f t="shared" si="5"/>
        <v>16150.293318699409</v>
      </c>
      <c r="U107" s="36">
        <f t="shared" si="6"/>
        <v>16875.3468807153</v>
      </c>
      <c r="V107" s="36">
        <f t="shared" si="7"/>
        <v>17619.191947049087</v>
      </c>
      <c r="W107" s="36">
        <f t="shared" si="7"/>
        <v>17036.55118892407</v>
      </c>
      <c r="X107" s="36"/>
    </row>
    <row r="108" spans="5:24" ht="16.5" thickBot="1" x14ac:dyDescent="0.3">
      <c r="E108" s="52" t="s">
        <v>19</v>
      </c>
      <c r="F108" s="502">
        <v>23013.213823529411</v>
      </c>
      <c r="G108" s="36">
        <v>23871.11552238806</v>
      </c>
      <c r="H108" s="36">
        <v>23603.345636363636</v>
      </c>
      <c r="I108" s="36">
        <v>25245.223876923075</v>
      </c>
      <c r="J108" s="36">
        <v>26786.53163076923</v>
      </c>
      <c r="K108" s="36">
        <v>27209.889353846149</v>
      </c>
      <c r="L108" s="36">
        <v>28627.32861538462</v>
      </c>
      <c r="M108" s="36">
        <v>29314.642865671642</v>
      </c>
      <c r="N108" s="531">
        <v>29172.4663926455</v>
      </c>
      <c r="P108" s="498">
        <f t="shared" si="3"/>
        <v>13489.57433970071</v>
      </c>
      <c r="Q108" s="498">
        <f t="shared" si="3"/>
        <v>13790.361364753357</v>
      </c>
      <c r="R108" s="36">
        <f t="shared" si="3"/>
        <v>13464.54400248924</v>
      </c>
      <c r="S108" s="36">
        <f t="shared" si="4"/>
        <v>14087.736538461539</v>
      </c>
      <c r="T108" s="36">
        <f t="shared" si="5"/>
        <v>14864.889917186032</v>
      </c>
      <c r="U108" s="36">
        <f t="shared" si="6"/>
        <v>15033.088040798977</v>
      </c>
      <c r="V108" s="36">
        <f t="shared" si="7"/>
        <v>15703.416684248283</v>
      </c>
      <c r="W108" s="36">
        <f t="shared" si="7"/>
        <v>16169.135612615357</v>
      </c>
      <c r="X108" s="36"/>
    </row>
    <row r="109" spans="5:24" ht="16.5" thickBot="1" x14ac:dyDescent="0.3">
      <c r="E109" s="52" t="s">
        <v>20</v>
      </c>
      <c r="F109" s="502">
        <v>1834.2602857142856</v>
      </c>
      <c r="G109" s="36">
        <v>1838.4849142857142</v>
      </c>
      <c r="H109" s="36">
        <v>1702.6055428571428</v>
      </c>
      <c r="I109" s="36">
        <v>1926.9637714285714</v>
      </c>
      <c r="J109" s="36">
        <v>2023.2193888888887</v>
      </c>
      <c r="K109" s="36">
        <v>1771.8824999999999</v>
      </c>
      <c r="L109" s="36">
        <v>1924.2052222222223</v>
      </c>
      <c r="M109" s="36">
        <v>1930.6344444444446</v>
      </c>
      <c r="N109" s="531">
        <v>2022.7435341140203</v>
      </c>
      <c r="P109" s="498">
        <f t="shared" si="3"/>
        <v>15285.502380952381</v>
      </c>
      <c r="Q109" s="498">
        <f t="shared" si="3"/>
        <v>15849.007881773399</v>
      </c>
      <c r="R109" s="36">
        <f t="shared" si="3"/>
        <v>14805.265590062112</v>
      </c>
      <c r="S109" s="36">
        <f t="shared" si="4"/>
        <v>15415.710171428571</v>
      </c>
      <c r="T109" s="36">
        <f t="shared" si="5"/>
        <v>17001.843604108308</v>
      </c>
      <c r="U109" s="36">
        <f t="shared" si="6"/>
        <v>17202.742718446603</v>
      </c>
      <c r="V109" s="36">
        <f t="shared" si="7"/>
        <v>19051.536853685368</v>
      </c>
      <c r="W109" s="36">
        <f t="shared" si="7"/>
        <v>19306.344444444447</v>
      </c>
      <c r="X109" s="36"/>
    </row>
    <row r="110" spans="5:24" ht="16.5" thickBot="1" x14ac:dyDescent="0.3">
      <c r="E110" s="52" t="s">
        <v>21</v>
      </c>
      <c r="F110" s="502">
        <v>12807.521405405407</v>
      </c>
      <c r="G110" s="36">
        <v>14154.960702702703</v>
      </c>
      <c r="H110" s="36">
        <v>13861.702486486487</v>
      </c>
      <c r="I110" s="36">
        <v>14594.654270270268</v>
      </c>
      <c r="J110" s="36">
        <v>15182.545351351353</v>
      </c>
      <c r="K110" s="36">
        <v>15186.656526315792</v>
      </c>
      <c r="L110" s="36">
        <v>16437.12252631579</v>
      </c>
      <c r="M110" s="36">
        <v>16284.963589743587</v>
      </c>
      <c r="N110" s="531">
        <v>17160.912205350371</v>
      </c>
      <c r="P110" s="498">
        <f t="shared" si="3"/>
        <v>12398.375029434081</v>
      </c>
      <c r="Q110" s="498">
        <f t="shared" si="3"/>
        <v>13455.28583907101</v>
      </c>
      <c r="R110" s="36">
        <f t="shared" si="3"/>
        <v>13444.91026817312</v>
      </c>
      <c r="S110" s="36">
        <f t="shared" si="4"/>
        <v>14142.106851037081</v>
      </c>
      <c r="T110" s="36">
        <f t="shared" si="5"/>
        <v>14899.455693180915</v>
      </c>
      <c r="U110" s="36">
        <f t="shared" si="6"/>
        <v>14715.752447980418</v>
      </c>
      <c r="V110" s="36">
        <f t="shared" si="7"/>
        <v>15881.277803203662</v>
      </c>
      <c r="W110" s="36">
        <f t="shared" si="7"/>
        <v>15826.009319478706</v>
      </c>
      <c r="X110" s="36"/>
    </row>
    <row r="111" spans="5:24" ht="16.5" thickBot="1" x14ac:dyDescent="0.3">
      <c r="E111" s="52" t="s">
        <v>22</v>
      </c>
      <c r="F111" s="502">
        <v>5195.3557714285707</v>
      </c>
      <c r="G111" s="36">
        <v>5346.9261714285713</v>
      </c>
      <c r="H111" s="36">
        <v>5053.2602857142856</v>
      </c>
      <c r="I111" s="36">
        <v>5339.0973714285719</v>
      </c>
      <c r="J111" s="36">
        <v>5613.7724000000007</v>
      </c>
      <c r="K111" s="36">
        <v>5507.5062777777785</v>
      </c>
      <c r="L111" s="36">
        <v>5776.7311666666665</v>
      </c>
      <c r="M111" s="36">
        <v>6054.6460540540538</v>
      </c>
      <c r="N111" s="531">
        <v>6455.9286953033197</v>
      </c>
      <c r="P111" s="498">
        <f t="shared" si="3"/>
        <v>11970.865832784726</v>
      </c>
      <c r="Q111" s="498">
        <f t="shared" si="3"/>
        <v>12042.626512226512</v>
      </c>
      <c r="R111" s="36">
        <f t="shared" si="3"/>
        <v>11254.477251034043</v>
      </c>
      <c r="S111" s="36">
        <f t="shared" si="4"/>
        <v>11997.971621187802</v>
      </c>
      <c r="T111" s="36">
        <f t="shared" si="5"/>
        <v>12419.850442477877</v>
      </c>
      <c r="U111" s="36">
        <f t="shared" si="6"/>
        <v>12266.160975006187</v>
      </c>
      <c r="V111" s="36">
        <f t="shared" si="7"/>
        <v>13688.936413902053</v>
      </c>
      <c r="W111" s="36">
        <f t="shared" si="7"/>
        <v>13983.016291117907</v>
      </c>
      <c r="X111" s="36"/>
    </row>
    <row r="112" spans="5:24" ht="16.5" thickBot="1" x14ac:dyDescent="0.3">
      <c r="E112" s="504" t="s">
        <v>23</v>
      </c>
      <c r="F112" s="505">
        <v>182233.50450000001</v>
      </c>
      <c r="G112" s="506">
        <v>190367.39306250002</v>
      </c>
      <c r="H112" s="506">
        <v>192739.29896969697</v>
      </c>
      <c r="I112" s="506">
        <v>202069.39345454547</v>
      </c>
      <c r="J112" s="506">
        <v>209191.0993939394</v>
      </c>
      <c r="K112" s="506">
        <v>216901.44533333334</v>
      </c>
      <c r="L112" s="506">
        <v>227189.30369696973</v>
      </c>
      <c r="M112" s="506">
        <v>230742.69507246374</v>
      </c>
      <c r="N112" s="571">
        <v>236263.59173110977</v>
      </c>
      <c r="P112" s="498">
        <f t="shared" si="3"/>
        <v>16836.059174057649</v>
      </c>
      <c r="Q112" s="498">
        <f t="shared" si="3"/>
        <v>17461.694465465054</v>
      </c>
      <c r="R112" s="506">
        <f t="shared" si="3"/>
        <v>17513.793636501316</v>
      </c>
      <c r="S112" s="506">
        <f t="shared" si="4"/>
        <v>18166.806927496669</v>
      </c>
      <c r="T112" s="506">
        <f t="shared" si="5"/>
        <v>18694.468221084844</v>
      </c>
      <c r="U112" s="506">
        <f t="shared" si="6"/>
        <v>19257.874929710855</v>
      </c>
      <c r="V112" s="506">
        <f t="shared" si="7"/>
        <v>20023.735562926999</v>
      </c>
      <c r="W112" s="506">
        <f t="shared" si="7"/>
        <v>20253.023354029996</v>
      </c>
      <c r="X112" s="506"/>
    </row>
    <row r="113" spans="5:24" ht="16.5" thickBot="1" x14ac:dyDescent="0.3">
      <c r="E113" s="493" t="s">
        <v>81</v>
      </c>
      <c r="F113" s="1247">
        <v>392381.94975307735</v>
      </c>
      <c r="G113" s="489">
        <v>416784.68855911389</v>
      </c>
      <c r="H113" s="1247">
        <v>420155.65412960527</v>
      </c>
      <c r="I113" s="1247">
        <v>446941.80604131316</v>
      </c>
      <c r="J113" s="1247">
        <v>465521.41614764353</v>
      </c>
      <c r="K113" s="1247">
        <v>483106.56548502878</v>
      </c>
      <c r="L113" s="1247">
        <v>510502.21723200282</v>
      </c>
      <c r="M113" s="1247">
        <v>521034.41259800404</v>
      </c>
      <c r="N113" s="1247">
        <v>533848.19334638538</v>
      </c>
      <c r="O113" s="9"/>
      <c r="P113" s="511">
        <f t="shared" ref="P113" si="8">F113*1000/E87</f>
        <v>14574.228345766718</v>
      </c>
      <c r="Q113" s="511">
        <f t="shared" ref="Q113" si="9">G113*1000/F87</f>
        <v>15349.489506099284</v>
      </c>
      <c r="R113" s="511">
        <f t="shared" si="3"/>
        <v>15302.872018123737</v>
      </c>
      <c r="S113" s="511">
        <f t="shared" si="4"/>
        <v>16115.302734596999</v>
      </c>
      <c r="T113" s="511">
        <f t="shared" si="5"/>
        <v>16621.609460050826</v>
      </c>
      <c r="U113" s="511">
        <f t="shared" si="6"/>
        <v>17037.791059249827</v>
      </c>
      <c r="V113" s="511">
        <f t="shared" si="7"/>
        <v>17911.101579959399</v>
      </c>
      <c r="W113" s="511">
        <f t="shared" si="7"/>
        <v>18176.041742761601</v>
      </c>
      <c r="X113" s="511"/>
    </row>
    <row r="114" spans="5:24" x14ac:dyDescent="0.2">
      <c r="F114" s="291" t="s">
        <v>294</v>
      </c>
      <c r="G114" s="809">
        <f>SUM(G97:G112)</f>
        <v>416784.68855911389</v>
      </c>
      <c r="H114" s="809">
        <f t="shared" ref="H114:N114" si="10">SUM(H97:H112)</f>
        <v>420155.65412960533</v>
      </c>
      <c r="I114" s="809">
        <f t="shared" si="10"/>
        <v>446941.80604131316</v>
      </c>
      <c r="J114" s="809">
        <f t="shared" si="10"/>
        <v>465521.41614764341</v>
      </c>
      <c r="K114" s="809">
        <f t="shared" si="10"/>
        <v>483106.56548502878</v>
      </c>
      <c r="L114" s="809">
        <f t="shared" si="10"/>
        <v>510502.21723200276</v>
      </c>
      <c r="M114" s="809">
        <f t="shared" si="10"/>
        <v>521034.41259800398</v>
      </c>
      <c r="N114" s="809">
        <f t="shared" si="10"/>
        <v>533848.19334638538</v>
      </c>
    </row>
    <row r="116" spans="5:24" x14ac:dyDescent="0.2">
      <c r="F116" s="24" t="s">
        <v>547</v>
      </c>
      <c r="R116" s="810">
        <f>R97-H25</f>
        <v>-0.31944129002840782</v>
      </c>
      <c r="S116" s="810">
        <f t="shared" ref="S116:V131" si="11">S97-I25</f>
        <v>0</v>
      </c>
      <c r="T116" s="810">
        <f t="shared" si="11"/>
        <v>-0.5233847637391591</v>
      </c>
      <c r="U116" s="810">
        <f t="shared" si="11"/>
        <v>0</v>
      </c>
      <c r="V116" s="810">
        <f t="shared" si="11"/>
        <v>0.69660102847046801</v>
      </c>
    </row>
    <row r="117" spans="5:24" x14ac:dyDescent="0.2">
      <c r="F117" s="24" t="s">
        <v>546</v>
      </c>
      <c r="R117" s="810">
        <f t="shared" ref="R117:R132" si="12">R98-H26</f>
        <v>-0.27153332440866507</v>
      </c>
      <c r="S117" s="810">
        <f t="shared" si="11"/>
        <v>0</v>
      </c>
      <c r="T117" s="810">
        <f t="shared" si="11"/>
        <v>7.9769058558667894E-2</v>
      </c>
      <c r="U117" s="810">
        <f t="shared" si="11"/>
        <v>0</v>
      </c>
      <c r="V117" s="810">
        <f t="shared" si="11"/>
        <v>0.32743055555874889</v>
      </c>
    </row>
    <row r="118" spans="5:24" x14ac:dyDescent="0.2">
      <c r="G118" s="22"/>
      <c r="H118" s="22"/>
      <c r="I118" s="22"/>
      <c r="J118" s="22"/>
      <c r="K118" s="22"/>
      <c r="L118" s="22"/>
      <c r="M118" s="22"/>
      <c r="N118" s="22"/>
      <c r="R118" s="810">
        <f t="shared" si="12"/>
        <v>3.7526978325331584E-2</v>
      </c>
      <c r="S118" s="810">
        <f t="shared" si="11"/>
        <v>0</v>
      </c>
      <c r="T118" s="810">
        <f t="shared" si="11"/>
        <v>-0.10373239869659301</v>
      </c>
      <c r="U118" s="810">
        <f t="shared" si="11"/>
        <v>0</v>
      </c>
      <c r="V118" s="810">
        <f t="shared" si="11"/>
        <v>0.17787638411937223</v>
      </c>
    </row>
    <row r="119" spans="5:24" x14ac:dyDescent="0.2">
      <c r="G119" s="22"/>
      <c r="H119" s="22"/>
      <c r="I119" s="22"/>
      <c r="J119" s="22"/>
      <c r="K119" s="22"/>
      <c r="L119" s="22">
        <v>13959.140018169432</v>
      </c>
      <c r="M119" s="22"/>
      <c r="N119" s="22"/>
      <c r="R119" s="810">
        <f t="shared" si="12"/>
        <v>-0.1591094771229109</v>
      </c>
      <c r="S119" s="810">
        <f t="shared" si="11"/>
        <v>0</v>
      </c>
      <c r="T119" s="810">
        <f t="shared" si="11"/>
        <v>0.60539730134951242</v>
      </c>
      <c r="U119" s="810">
        <f t="shared" si="11"/>
        <v>0</v>
      </c>
      <c r="V119" s="810">
        <f t="shared" si="11"/>
        <v>0.17170653427820071</v>
      </c>
    </row>
    <row r="120" spans="5:24" x14ac:dyDescent="0.2">
      <c r="G120" s="22"/>
      <c r="H120" s="22"/>
      <c r="I120" s="22"/>
      <c r="J120" s="22"/>
      <c r="K120" s="22"/>
      <c r="L120" s="22">
        <v>13959.45945945946</v>
      </c>
      <c r="M120" s="22"/>
      <c r="N120" s="22"/>
      <c r="R120" s="810">
        <f t="shared" si="12"/>
        <v>-7.3376007585466141E-2</v>
      </c>
      <c r="S120" s="810">
        <f t="shared" si="11"/>
        <v>0</v>
      </c>
      <c r="T120" s="810">
        <f t="shared" si="11"/>
        <v>-1.0170496664195525</v>
      </c>
      <c r="U120" s="810">
        <f t="shared" si="11"/>
        <v>0</v>
      </c>
      <c r="V120" s="810">
        <f t="shared" si="11"/>
        <v>-0.36213564213539939</v>
      </c>
    </row>
    <row r="121" spans="5:24" ht="15.75" x14ac:dyDescent="0.25">
      <c r="F121" s="23" t="s">
        <v>562</v>
      </c>
      <c r="G121" s="22"/>
      <c r="H121" s="22"/>
      <c r="I121" s="22"/>
      <c r="J121" s="22"/>
      <c r="K121" s="22"/>
      <c r="L121" s="22"/>
      <c r="M121" s="22"/>
      <c r="N121" s="22"/>
      <c r="R121" s="810">
        <f t="shared" si="12"/>
        <v>0.30260942760833132</v>
      </c>
      <c r="S121" s="810">
        <f t="shared" si="11"/>
        <v>0</v>
      </c>
      <c r="T121" s="810">
        <f t="shared" si="11"/>
        <v>8.2670203360976302E-2</v>
      </c>
      <c r="U121" s="810">
        <f t="shared" si="11"/>
        <v>0</v>
      </c>
      <c r="V121" s="810">
        <f t="shared" si="11"/>
        <v>-7.0561063994318829E-2</v>
      </c>
    </row>
    <row r="122" spans="5:24" ht="15.75" thickBot="1" x14ac:dyDescent="0.25">
      <c r="G122" s="22"/>
      <c r="H122" s="22"/>
      <c r="I122" s="22"/>
      <c r="J122" s="22"/>
      <c r="K122" s="22"/>
      <c r="L122" s="22"/>
      <c r="M122" s="22"/>
      <c r="N122" s="22"/>
      <c r="R122" s="810">
        <f t="shared" si="12"/>
        <v>0.11706137650071469</v>
      </c>
      <c r="S122" s="810">
        <f t="shared" si="11"/>
        <v>0</v>
      </c>
      <c r="T122" s="810">
        <f t="shared" si="11"/>
        <v>-4.4239657796424581E-2</v>
      </c>
      <c r="U122" s="810">
        <f t="shared" si="11"/>
        <v>0</v>
      </c>
      <c r="V122" s="810">
        <f t="shared" si="11"/>
        <v>0.1093401769430784</v>
      </c>
    </row>
    <row r="123" spans="5:24" ht="16.5" thickBot="1" x14ac:dyDescent="0.3">
      <c r="F123" s="493"/>
      <c r="G123" s="494">
        <v>2008</v>
      </c>
      <c r="H123" s="494">
        <v>2009</v>
      </c>
      <c r="I123" s="494">
        <v>2010</v>
      </c>
      <c r="J123" s="494">
        <v>2011</v>
      </c>
      <c r="K123" s="494">
        <v>2012</v>
      </c>
      <c r="L123" s="494">
        <v>2013</v>
      </c>
      <c r="M123" s="494" t="s">
        <v>451</v>
      </c>
      <c r="N123" s="494" t="s">
        <v>452</v>
      </c>
      <c r="R123" s="810">
        <f t="shared" si="12"/>
        <v>-0.90915915915866208</v>
      </c>
      <c r="S123" s="810">
        <f t="shared" si="11"/>
        <v>0</v>
      </c>
      <c r="T123" s="810">
        <f t="shared" si="11"/>
        <v>-0.54618354618287412</v>
      </c>
      <c r="U123" s="810">
        <f t="shared" si="11"/>
        <v>0</v>
      </c>
      <c r="V123" s="810">
        <f t="shared" si="11"/>
        <v>0.20486166639966541</v>
      </c>
    </row>
    <row r="124" spans="5:24" ht="15.75" x14ac:dyDescent="0.25">
      <c r="F124" s="496" t="s">
        <v>8</v>
      </c>
      <c r="G124" s="497">
        <v>7258.088941176472</v>
      </c>
      <c r="H124" s="498">
        <v>7230.8345294117662</v>
      </c>
      <c r="I124" s="498">
        <v>7277.6305294117637</v>
      </c>
      <c r="J124" s="498">
        <v>7046.7445882352949</v>
      </c>
      <c r="K124" s="498">
        <v>7818.750352941177</v>
      </c>
      <c r="L124" s="498">
        <v>7957.3315820895514</v>
      </c>
      <c r="M124" s="498">
        <v>8193.5663110186833</v>
      </c>
      <c r="N124" s="498">
        <v>8366.6763080808996</v>
      </c>
      <c r="R124" s="810">
        <f t="shared" si="12"/>
        <v>-0.56880544666455535</v>
      </c>
      <c r="S124" s="810">
        <f t="shared" si="11"/>
        <v>0</v>
      </c>
      <c r="T124" s="810">
        <f t="shared" si="11"/>
        <v>0.34060315141323372</v>
      </c>
      <c r="U124" s="810">
        <f t="shared" si="11"/>
        <v>0</v>
      </c>
      <c r="V124" s="810">
        <f t="shared" si="11"/>
        <v>-1.0287807430649991</v>
      </c>
    </row>
    <row r="125" spans="5:24" ht="15.75" x14ac:dyDescent="0.25">
      <c r="F125" s="52" t="s">
        <v>9</v>
      </c>
      <c r="G125" s="502">
        <v>10980.728611111112</v>
      </c>
      <c r="H125" s="36">
        <v>10951.74991780822</v>
      </c>
      <c r="I125" s="36">
        <v>11902.4298630137</v>
      </c>
      <c r="J125" s="36">
        <v>12519.075222222222</v>
      </c>
      <c r="K125" s="36">
        <v>13146.234388888888</v>
      </c>
      <c r="L125" s="36">
        <v>13854.314333333336</v>
      </c>
      <c r="M125" s="36">
        <v>13795.257501527214</v>
      </c>
      <c r="N125" s="36">
        <v>13648.992846246772</v>
      </c>
      <c r="R125" s="810">
        <f t="shared" si="12"/>
        <v>0.12518907527191914</v>
      </c>
      <c r="S125" s="810">
        <f t="shared" si="11"/>
        <v>0</v>
      </c>
      <c r="T125" s="810">
        <f t="shared" si="11"/>
        <v>-0.12605659684049897</v>
      </c>
      <c r="U125" s="810">
        <f t="shared" si="11"/>
        <v>0</v>
      </c>
      <c r="V125" s="810">
        <f t="shared" si="11"/>
        <v>-0.21206748641634476</v>
      </c>
    </row>
    <row r="126" spans="5:24" ht="15.75" x14ac:dyDescent="0.25">
      <c r="F126" s="52" t="s">
        <v>10</v>
      </c>
      <c r="G126" s="502">
        <v>34438.850756756758</v>
      </c>
      <c r="H126" s="36">
        <v>34765.093179487187</v>
      </c>
      <c r="I126" s="36">
        <v>36941.720153846152</v>
      </c>
      <c r="J126" s="36">
        <v>37577.740461538466</v>
      </c>
      <c r="K126" s="36">
        <v>38563.031897435903</v>
      </c>
      <c r="L126" s="36">
        <v>41014.450205128211</v>
      </c>
      <c r="M126" s="36">
        <v>41199.222885559415</v>
      </c>
      <c r="N126" s="36">
        <v>41772.977265191628</v>
      </c>
      <c r="R126" s="810">
        <f t="shared" si="12"/>
        <v>0.63956980236071104</v>
      </c>
      <c r="S126" s="810">
        <f t="shared" si="11"/>
        <v>0</v>
      </c>
      <c r="T126" s="810">
        <f t="shared" si="11"/>
        <v>0.54712580600789806</v>
      </c>
      <c r="U126" s="810">
        <f t="shared" si="11"/>
        <v>0</v>
      </c>
      <c r="V126" s="810">
        <f t="shared" si="11"/>
        <v>-0.7060121345857624</v>
      </c>
    </row>
    <row r="127" spans="5:24" ht="15.75" x14ac:dyDescent="0.25">
      <c r="F127" s="52" t="s">
        <v>11</v>
      </c>
      <c r="G127" s="502">
        <v>7749.5084705882346</v>
      </c>
      <c r="H127" s="36">
        <v>7460.9083529411764</v>
      </c>
      <c r="I127" s="36">
        <v>7917.0652941176468</v>
      </c>
      <c r="J127" s="36">
        <v>8468.351130434783</v>
      </c>
      <c r="K127" s="36">
        <v>8613.2612753623198</v>
      </c>
      <c r="L127" s="36">
        <v>8870.0992463768125</v>
      </c>
      <c r="M127" s="36">
        <v>8916.4012868969839</v>
      </c>
      <c r="N127" s="36">
        <v>8989.7589420500371</v>
      </c>
      <c r="R127" s="810">
        <f t="shared" si="12"/>
        <v>0.19716849038013606</v>
      </c>
      <c r="S127" s="810">
        <f t="shared" si="11"/>
        <v>0</v>
      </c>
      <c r="T127" s="810">
        <f t="shared" si="11"/>
        <v>-0.25991633228113642</v>
      </c>
      <c r="U127" s="810">
        <f t="shared" si="11"/>
        <v>0</v>
      </c>
      <c r="V127" s="810">
        <f t="shared" si="11"/>
        <v>0.18026077049944433</v>
      </c>
    </row>
    <row r="128" spans="5:24" ht="15.75" x14ac:dyDescent="0.25">
      <c r="F128" s="52" t="s">
        <v>12</v>
      </c>
      <c r="G128" s="502">
        <v>4546.0510810810811</v>
      </c>
      <c r="H128" s="36">
        <v>4544.9665405405412</v>
      </c>
      <c r="I128" s="36">
        <v>4888.2392972972975</v>
      </c>
      <c r="J128" s="36">
        <v>5536.5169014084504</v>
      </c>
      <c r="K128" s="36">
        <v>5684.5286285714292</v>
      </c>
      <c r="L128" s="36">
        <v>5760.8207428571432</v>
      </c>
      <c r="M128" s="36">
        <v>6004.4703616526458</v>
      </c>
      <c r="N128" s="36">
        <v>6083.6951432865872</v>
      </c>
      <c r="R128" s="810">
        <f t="shared" si="12"/>
        <v>-3.4300621118018171</v>
      </c>
      <c r="S128" s="810">
        <f t="shared" si="11"/>
        <v>0</v>
      </c>
      <c r="T128" s="810">
        <f t="shared" si="11"/>
        <v>1.8436041083077725</v>
      </c>
      <c r="U128" s="810">
        <f t="shared" si="11"/>
        <v>0</v>
      </c>
      <c r="V128" s="810">
        <f t="shared" si="11"/>
        <v>2.0319031903163705</v>
      </c>
    </row>
    <row r="129" spans="6:22" ht="15.75" x14ac:dyDescent="0.25">
      <c r="F129" s="52" t="s">
        <v>13</v>
      </c>
      <c r="G129" s="502">
        <v>18892.142242424245</v>
      </c>
      <c r="H129" s="36">
        <v>18813.435757575757</v>
      </c>
      <c r="I129" s="36">
        <v>20446.009333333332</v>
      </c>
      <c r="J129" s="36">
        <v>21188.124666666667</v>
      </c>
      <c r="K129" s="36">
        <v>21895.776424242424</v>
      </c>
      <c r="L129" s="36">
        <v>23224.892606060603</v>
      </c>
      <c r="M129" s="36">
        <v>24036.537718693555</v>
      </c>
      <c r="N129" s="36">
        <v>24134.077942813339</v>
      </c>
      <c r="R129" s="810">
        <f t="shared" si="12"/>
        <v>-0.28856790835379797</v>
      </c>
      <c r="S129" s="810">
        <f t="shared" si="11"/>
        <v>0</v>
      </c>
      <c r="T129" s="810">
        <f t="shared" si="11"/>
        <v>-0.44617139219553792</v>
      </c>
      <c r="U129" s="810">
        <f t="shared" si="11"/>
        <v>0</v>
      </c>
      <c r="V129" s="810">
        <f t="shared" si="11"/>
        <v>0.11838291380627197</v>
      </c>
    </row>
    <row r="130" spans="6:22" ht="15.75" x14ac:dyDescent="0.25">
      <c r="F130" s="52" t="s">
        <v>14</v>
      </c>
      <c r="G130" s="502">
        <v>56632.374176470592</v>
      </c>
      <c r="H130" s="36">
        <v>59173.458529411757</v>
      </c>
      <c r="I130" s="36">
        <v>64646.193941176476</v>
      </c>
      <c r="J130" s="36">
        <v>68847.818705882353</v>
      </c>
      <c r="K130" s="36">
        <v>73569.478764705884</v>
      </c>
      <c r="L130" s="36">
        <v>79861.476176470591</v>
      </c>
      <c r="M130" s="36">
        <v>82286.420507319301</v>
      </c>
      <c r="N130" s="36">
        <v>86334.549331967835</v>
      </c>
      <c r="R130" s="810">
        <f t="shared" si="12"/>
        <v>0.57970092268442386</v>
      </c>
      <c r="S130" s="810">
        <f t="shared" si="11"/>
        <v>0</v>
      </c>
      <c r="T130" s="810">
        <f t="shared" si="11"/>
        <v>-0.50353982300839562</v>
      </c>
      <c r="U130" s="810">
        <f t="shared" si="11"/>
        <v>0</v>
      </c>
      <c r="V130" s="810">
        <f t="shared" si="11"/>
        <v>-0.63704581358797441</v>
      </c>
    </row>
    <row r="131" spans="6:22" ht="15.75" x14ac:dyDescent="0.25">
      <c r="F131" s="52" t="s">
        <v>15</v>
      </c>
      <c r="G131" s="502">
        <v>5289.3951891891884</v>
      </c>
      <c r="H131" s="36">
        <v>5336.6727027027027</v>
      </c>
      <c r="I131" s="36">
        <v>5591.1280000000006</v>
      </c>
      <c r="J131" s="36">
        <v>5398.8011891891892</v>
      </c>
      <c r="K131" s="36">
        <v>5470.0519459459456</v>
      </c>
      <c r="L131" s="36">
        <v>5442.0692432432434</v>
      </c>
      <c r="M131" s="36">
        <v>5504.595849696685</v>
      </c>
      <c r="N131" s="36">
        <v>5654.349106572492</v>
      </c>
      <c r="R131" s="810">
        <f t="shared" si="12"/>
        <v>2.7166714855411556E-2</v>
      </c>
      <c r="S131" s="810">
        <f t="shared" si="11"/>
        <v>0</v>
      </c>
      <c r="T131" s="810">
        <f t="shared" si="11"/>
        <v>8.882389582140604E-3</v>
      </c>
      <c r="U131" s="810">
        <f t="shared" si="11"/>
        <v>0</v>
      </c>
      <c r="V131" s="810">
        <f t="shared" si="11"/>
        <v>2.6766875525936484E-2</v>
      </c>
    </row>
    <row r="132" spans="6:22" ht="15.75" x14ac:dyDescent="0.25">
      <c r="F132" s="52" t="s">
        <v>16</v>
      </c>
      <c r="G132" s="502">
        <v>3477.0404324324327</v>
      </c>
      <c r="H132" s="36">
        <v>3133.8509729729735</v>
      </c>
      <c r="I132" s="36">
        <v>3497.8340540540544</v>
      </c>
      <c r="J132" s="36">
        <v>3497.0882162162161</v>
      </c>
      <c r="K132" s="36">
        <v>3616.4244102564103</v>
      </c>
      <c r="L132" s="36">
        <v>3618.7479487179489</v>
      </c>
      <c r="M132" s="36">
        <v>3815.0571524863176</v>
      </c>
      <c r="N132" s="36">
        <v>3858.1258503315412</v>
      </c>
      <c r="R132" s="810">
        <f t="shared" si="12"/>
        <v>-1.2597260878465022E-2</v>
      </c>
      <c r="S132" s="810">
        <f>S113-I41</f>
        <v>0</v>
      </c>
      <c r="T132" s="810">
        <f>T113-J41</f>
        <v>1.4858701164484955E-2</v>
      </c>
      <c r="U132" s="810">
        <f>U113-K41</f>
        <v>0</v>
      </c>
      <c r="V132" s="810">
        <f>V113-L41</f>
        <v>7.6216406851017382E-3</v>
      </c>
    </row>
    <row r="133" spans="6:22" ht="15.75" x14ac:dyDescent="0.25">
      <c r="F133" s="52" t="s">
        <v>17</v>
      </c>
      <c r="G133" s="502">
        <v>26432.452176470586</v>
      </c>
      <c r="H133" s="36">
        <v>26304.223212121211</v>
      </c>
      <c r="I133" s="36">
        <v>28607.256181818178</v>
      </c>
      <c r="J133" s="36">
        <v>30280.77133333333</v>
      </c>
      <c r="K133" s="36">
        <v>31418.384000000002</v>
      </c>
      <c r="L133" s="36">
        <v>34036.600676923081</v>
      </c>
      <c r="M133" s="36">
        <v>35651.771405925341</v>
      </c>
      <c r="N133" s="36">
        <v>36412.894396656491</v>
      </c>
      <c r="R133" s="22"/>
    </row>
    <row r="134" spans="6:22" ht="15.75" x14ac:dyDescent="0.25">
      <c r="F134" s="52" t="s">
        <v>18</v>
      </c>
      <c r="G134" s="502">
        <v>5509.1761081081086</v>
      </c>
      <c r="H134" s="36">
        <v>5480.2475135135137</v>
      </c>
      <c r="I134" s="36">
        <v>6050.9666486486485</v>
      </c>
      <c r="J134" s="36">
        <v>6363.2155675675676</v>
      </c>
      <c r="K134" s="36">
        <v>6733.2634054054051</v>
      </c>
      <c r="L134" s="36">
        <v>6906.7232432432429</v>
      </c>
      <c r="M134" s="36">
        <v>7305.9247217030888</v>
      </c>
      <c r="N134" s="36">
        <v>7516.4536546648351</v>
      </c>
      <c r="R134" s="22"/>
    </row>
    <row r="135" spans="6:22" ht="15.75" x14ac:dyDescent="0.25">
      <c r="F135" s="52" t="s">
        <v>19</v>
      </c>
      <c r="G135" s="502">
        <v>23871.11552238806</v>
      </c>
      <c r="H135" s="36">
        <v>23603.345636363636</v>
      </c>
      <c r="I135" s="36">
        <v>25245.223876923075</v>
      </c>
      <c r="J135" s="36">
        <v>26786.53163076923</v>
      </c>
      <c r="K135" s="36">
        <v>27209.889353846149</v>
      </c>
      <c r="L135" s="36">
        <v>28627.32861538462</v>
      </c>
      <c r="M135" s="36">
        <v>28922.719977990262</v>
      </c>
      <c r="N135" s="36">
        <v>29172.4663926455</v>
      </c>
      <c r="R135" s="22"/>
    </row>
    <row r="136" spans="6:22" ht="15.75" x14ac:dyDescent="0.25">
      <c r="F136" s="52" t="s">
        <v>20</v>
      </c>
      <c r="G136" s="502">
        <v>1838.4849142857142</v>
      </c>
      <c r="H136" s="36">
        <v>1702.6055428571428</v>
      </c>
      <c r="I136" s="36">
        <v>1926.9637714285714</v>
      </c>
      <c r="J136" s="36">
        <v>2023.2193888888887</v>
      </c>
      <c r="K136" s="36">
        <v>1771.8824999999999</v>
      </c>
      <c r="L136" s="36">
        <v>1924.2052222222223</v>
      </c>
      <c r="M136" s="36">
        <v>1968.8151563767206</v>
      </c>
      <c r="N136" s="36">
        <v>2022.7435341140203</v>
      </c>
    </row>
    <row r="137" spans="6:22" ht="15.75" x14ac:dyDescent="0.25">
      <c r="F137" s="52" t="s">
        <v>21</v>
      </c>
      <c r="G137" s="502">
        <v>14154.960702702703</v>
      </c>
      <c r="H137" s="36">
        <v>13861.702486486487</v>
      </c>
      <c r="I137" s="36">
        <v>14594.654270270268</v>
      </c>
      <c r="J137" s="36">
        <v>15182.545351351353</v>
      </c>
      <c r="K137" s="36">
        <v>15186.656526315792</v>
      </c>
      <c r="L137" s="36">
        <v>16437.12252631579</v>
      </c>
      <c r="M137" s="36">
        <v>16645.496316517041</v>
      </c>
      <c r="N137" s="36">
        <v>17160.912205350371</v>
      </c>
    </row>
    <row r="138" spans="6:22" ht="15.75" x14ac:dyDescent="0.25">
      <c r="F138" s="52" t="s">
        <v>22</v>
      </c>
      <c r="G138" s="502">
        <v>5346.9261714285713</v>
      </c>
      <c r="H138" s="36">
        <v>5053.2602857142856</v>
      </c>
      <c r="I138" s="36">
        <v>5339.0973714285719</v>
      </c>
      <c r="J138" s="36">
        <v>5613.7724000000007</v>
      </c>
      <c r="K138" s="36">
        <v>5507.5062777777785</v>
      </c>
      <c r="L138" s="36">
        <v>5776.7311666666665</v>
      </c>
      <c r="M138" s="36">
        <v>6166.2492559518487</v>
      </c>
      <c r="N138" s="36">
        <v>6455.9286953033197</v>
      </c>
    </row>
    <row r="139" spans="6:22" ht="16.5" thickBot="1" x14ac:dyDescent="0.3">
      <c r="F139" s="504" t="s">
        <v>23</v>
      </c>
      <c r="G139" s="505">
        <v>190367.39306250002</v>
      </c>
      <c r="H139" s="506">
        <v>192739.29896969697</v>
      </c>
      <c r="I139" s="506">
        <v>202069.39345454547</v>
      </c>
      <c r="J139" s="506">
        <v>209191.0993939394</v>
      </c>
      <c r="K139" s="506">
        <v>216901.44533333334</v>
      </c>
      <c r="L139" s="506">
        <v>227189.30369696973</v>
      </c>
      <c r="M139" s="506">
        <v>232385.93927028851</v>
      </c>
      <c r="N139" s="506">
        <v>236263.59173110977</v>
      </c>
    </row>
    <row r="140" spans="6:22" ht="16.5" thickBot="1" x14ac:dyDescent="0.3">
      <c r="F140" s="493" t="s">
        <v>81</v>
      </c>
      <c r="G140" s="510">
        <v>416784.68855911389</v>
      </c>
      <c r="H140" s="511">
        <v>420155.65412960527</v>
      </c>
      <c r="I140" s="511">
        <v>446941.80604131316</v>
      </c>
      <c r="J140" s="511">
        <v>465521.41614764353</v>
      </c>
      <c r="K140" s="511">
        <v>483106.56548502878</v>
      </c>
      <c r="L140" s="511">
        <v>510502.21723200282</v>
      </c>
      <c r="M140" s="511">
        <v>522798.44567960361</v>
      </c>
      <c r="N140" s="511">
        <v>533848.19334638538</v>
      </c>
    </row>
    <row r="143" spans="6:22" ht="15.75" x14ac:dyDescent="0.25">
      <c r="F143" s="23" t="s">
        <v>561</v>
      </c>
      <c r="G143" s="22"/>
      <c r="H143" s="22"/>
      <c r="I143" s="22"/>
      <c r="J143" s="22"/>
      <c r="K143" s="22"/>
      <c r="L143" s="22"/>
      <c r="M143" s="22"/>
      <c r="N143" s="22"/>
    </row>
    <row r="144" spans="6:22" ht="15.75" thickBot="1" x14ac:dyDescent="0.25">
      <c r="G144" s="22"/>
      <c r="H144" s="22"/>
      <c r="I144" s="22"/>
      <c r="J144" s="22"/>
      <c r="K144" s="22"/>
      <c r="L144" s="22"/>
      <c r="M144" s="22"/>
      <c r="N144" s="22"/>
    </row>
    <row r="145" spans="6:14" ht="16.5" thickBot="1" x14ac:dyDescent="0.3">
      <c r="F145" s="493"/>
      <c r="G145" s="494">
        <v>2008</v>
      </c>
      <c r="H145" s="494">
        <v>2009</v>
      </c>
      <c r="I145" s="494">
        <v>2010</v>
      </c>
      <c r="J145" s="494">
        <v>2011</v>
      </c>
      <c r="K145" s="494">
        <v>2012</v>
      </c>
      <c r="L145" s="494">
        <v>2013</v>
      </c>
      <c r="M145" s="494" t="s">
        <v>451</v>
      </c>
      <c r="N145" s="494" t="s">
        <v>452</v>
      </c>
    </row>
    <row r="146" spans="6:14" ht="15.75" x14ac:dyDescent="0.25">
      <c r="F146" s="496" t="s">
        <v>8</v>
      </c>
      <c r="G146" s="497">
        <v>7821</v>
      </c>
      <c r="H146" s="498">
        <v>8151</v>
      </c>
      <c r="I146" s="498">
        <v>8245</v>
      </c>
      <c r="J146" s="498">
        <v>8147</v>
      </c>
      <c r="K146" s="498">
        <v>8958</v>
      </c>
      <c r="L146" s="498">
        <v>9242</v>
      </c>
      <c r="M146" s="498">
        <v>9490.6526393768927</v>
      </c>
      <c r="N146" s="498">
        <v>9676.6772633047804</v>
      </c>
    </row>
    <row r="147" spans="6:14" ht="15.75" x14ac:dyDescent="0.25">
      <c r="F147" s="52" t="s">
        <v>9</v>
      </c>
      <c r="G147" s="502">
        <v>12113</v>
      </c>
      <c r="H147" s="36">
        <v>12531</v>
      </c>
      <c r="I147" s="36">
        <v>13671</v>
      </c>
      <c r="J147" s="36">
        <v>14677</v>
      </c>
      <c r="K147" s="36">
        <v>15284</v>
      </c>
      <c r="L147" s="36">
        <v>16160</v>
      </c>
      <c r="M147" s="36">
        <v>16089.979956662351</v>
      </c>
      <c r="N147" s="36">
        <v>15997.316579987315</v>
      </c>
    </row>
    <row r="148" spans="6:14" ht="15.75" x14ac:dyDescent="0.25">
      <c r="F148" s="52" t="s">
        <v>10</v>
      </c>
      <c r="G148" s="502">
        <v>37119</v>
      </c>
      <c r="H148" s="36">
        <v>38056</v>
      </c>
      <c r="I148" s="36">
        <v>40748</v>
      </c>
      <c r="J148" s="36">
        <v>42333</v>
      </c>
      <c r="K148" s="36">
        <v>43306</v>
      </c>
      <c r="L148" s="36">
        <v>46000</v>
      </c>
      <c r="M148" s="36">
        <v>46365.026353764537</v>
      </c>
      <c r="N148" s="36">
        <v>47137.776991289065</v>
      </c>
    </row>
    <row r="149" spans="6:14" ht="15.75" x14ac:dyDescent="0.25">
      <c r="F149" s="52" t="s">
        <v>11</v>
      </c>
      <c r="G149" s="502">
        <v>8363</v>
      </c>
      <c r="H149" s="36">
        <v>8157</v>
      </c>
      <c r="I149" s="36">
        <v>8751</v>
      </c>
      <c r="J149" s="36">
        <v>9578</v>
      </c>
      <c r="K149" s="36">
        <v>9838</v>
      </c>
      <c r="L149" s="36">
        <v>10168</v>
      </c>
      <c r="M149" s="36">
        <v>10240.260055592633</v>
      </c>
      <c r="N149" s="36">
        <v>10340.094886119601</v>
      </c>
    </row>
    <row r="150" spans="6:14" ht="15.75" x14ac:dyDescent="0.25">
      <c r="F150" s="52" t="s">
        <v>12</v>
      </c>
      <c r="G150" s="502">
        <v>5190</v>
      </c>
      <c r="H150" s="36">
        <v>5629</v>
      </c>
      <c r="I150" s="36">
        <v>6221</v>
      </c>
      <c r="J150" s="36">
        <v>6915</v>
      </c>
      <c r="K150" s="36">
        <v>6970</v>
      </c>
      <c r="L150" s="36">
        <v>6978</v>
      </c>
      <c r="M150" s="36">
        <v>7241.8781902240753</v>
      </c>
      <c r="N150" s="36">
        <v>7342.5452575723029</v>
      </c>
    </row>
    <row r="151" spans="6:14" ht="15.75" x14ac:dyDescent="0.25">
      <c r="F151" s="52" t="s">
        <v>13</v>
      </c>
      <c r="G151" s="502">
        <v>20717</v>
      </c>
      <c r="H151" s="36">
        <v>21527</v>
      </c>
      <c r="I151" s="36">
        <v>23664</v>
      </c>
      <c r="J151" s="36">
        <v>24971</v>
      </c>
      <c r="K151" s="36">
        <v>26103</v>
      </c>
      <c r="L151" s="36">
        <v>27141</v>
      </c>
      <c r="M151" s="36">
        <v>27886.513802171816</v>
      </c>
      <c r="N151" s="36">
        <v>28101.957895787258</v>
      </c>
    </row>
    <row r="152" spans="6:14" ht="15.75" x14ac:dyDescent="0.25">
      <c r="F152" s="52" t="s">
        <v>14</v>
      </c>
      <c r="G152" s="502">
        <v>60775</v>
      </c>
      <c r="H152" s="36">
        <v>64500</v>
      </c>
      <c r="I152" s="36">
        <v>71111</v>
      </c>
      <c r="J152" s="36">
        <v>76448</v>
      </c>
      <c r="K152" s="36">
        <v>81817</v>
      </c>
      <c r="L152" s="36">
        <v>88070</v>
      </c>
      <c r="M152" s="36">
        <v>90975.279289672239</v>
      </c>
      <c r="N152" s="36">
        <v>95544.739641261942</v>
      </c>
    </row>
    <row r="153" spans="6:14" ht="15.75" x14ac:dyDescent="0.25">
      <c r="F153" s="52" t="s">
        <v>15</v>
      </c>
      <c r="G153" s="502">
        <v>5709</v>
      </c>
      <c r="H153" s="36">
        <v>5990</v>
      </c>
      <c r="I153" s="36">
        <v>6398</v>
      </c>
      <c r="J153" s="36">
        <v>6261</v>
      </c>
      <c r="K153" s="36">
        <v>6430</v>
      </c>
      <c r="L153" s="36">
        <v>6422</v>
      </c>
      <c r="M153" s="36">
        <v>6484.5266064534408</v>
      </c>
      <c r="N153" s="36">
        <v>6634.2798633292477</v>
      </c>
    </row>
    <row r="154" spans="6:14" ht="15.75" x14ac:dyDescent="0.25">
      <c r="F154" s="52" t="s">
        <v>16</v>
      </c>
      <c r="G154" s="502">
        <v>4024</v>
      </c>
      <c r="H154" s="36">
        <v>3695</v>
      </c>
      <c r="I154" s="36">
        <v>4212</v>
      </c>
      <c r="J154" s="36">
        <v>4305</v>
      </c>
      <c r="K154" s="36">
        <v>4532</v>
      </c>
      <c r="L154" s="36">
        <v>4548</v>
      </c>
      <c r="M154" s="36">
        <v>4736.6023208407478</v>
      </c>
      <c r="N154" s="36">
        <v>4783.7470989581234</v>
      </c>
    </row>
    <row r="155" spans="6:14" ht="15.75" x14ac:dyDescent="0.25">
      <c r="F155" s="52" t="s">
        <v>17</v>
      </c>
      <c r="G155" s="502">
        <v>28711</v>
      </c>
      <c r="H155" s="36">
        <v>29368</v>
      </c>
      <c r="I155" s="36">
        <v>32048</v>
      </c>
      <c r="J155" s="36">
        <v>34349</v>
      </c>
      <c r="K155" s="36">
        <v>35413</v>
      </c>
      <c r="L155" s="36">
        <v>38149</v>
      </c>
      <c r="M155" s="36">
        <v>39815.774305029816</v>
      </c>
      <c r="N155" s="36">
        <v>40764.242486352014</v>
      </c>
    </row>
    <row r="156" spans="6:14" ht="15.75" x14ac:dyDescent="0.25">
      <c r="F156" s="52" t="s">
        <v>18</v>
      </c>
      <c r="G156" s="502">
        <v>5974</v>
      </c>
      <c r="H156" s="36">
        <v>6108</v>
      </c>
      <c r="I156" s="36">
        <v>6606</v>
      </c>
      <c r="J156" s="36">
        <v>7152</v>
      </c>
      <c r="K156" s="36">
        <v>7609</v>
      </c>
      <c r="L156" s="36">
        <v>7830</v>
      </c>
      <c r="M156" s="36">
        <v>8211.5164447800125</v>
      </c>
      <c r="N156" s="36">
        <v>8453.6554371263737</v>
      </c>
    </row>
    <row r="157" spans="6:14" ht="15.75" x14ac:dyDescent="0.25">
      <c r="F157" s="52" t="s">
        <v>19</v>
      </c>
      <c r="G157" s="502">
        <v>25897</v>
      </c>
      <c r="H157" s="36">
        <v>26221</v>
      </c>
      <c r="I157" s="36">
        <v>28353</v>
      </c>
      <c r="J157" s="36">
        <v>30452</v>
      </c>
      <c r="K157" s="36">
        <v>31196</v>
      </c>
      <c r="L157" s="36">
        <v>32575</v>
      </c>
      <c r="M157" s="36">
        <v>32916.072001870853</v>
      </c>
      <c r="N157" s="36">
        <v>33341.819661660411</v>
      </c>
    </row>
    <row r="158" spans="6:14" ht="15.75" x14ac:dyDescent="0.25">
      <c r="F158" s="52" t="s">
        <v>20</v>
      </c>
      <c r="G158" s="502">
        <v>1870</v>
      </c>
      <c r="H158" s="36">
        <v>1793</v>
      </c>
      <c r="I158" s="36">
        <v>2013</v>
      </c>
      <c r="J158" s="36">
        <v>2088</v>
      </c>
      <c r="K158" s="36">
        <v>1852</v>
      </c>
      <c r="L158" s="36">
        <v>2000</v>
      </c>
      <c r="M158" s="36">
        <v>2047.9432674878317</v>
      </c>
      <c r="N158" s="36">
        <v>2105.3716452251315</v>
      </c>
    </row>
    <row r="159" spans="6:14" ht="15.75" x14ac:dyDescent="0.25">
      <c r="F159" s="52" t="s">
        <v>21</v>
      </c>
      <c r="G159" s="502">
        <v>15459</v>
      </c>
      <c r="H159" s="36">
        <v>15507</v>
      </c>
      <c r="I159" s="36">
        <v>16504</v>
      </c>
      <c r="J159" s="36">
        <v>17138</v>
      </c>
      <c r="K159" s="36">
        <v>17313</v>
      </c>
      <c r="L159" s="36">
        <v>18852</v>
      </c>
      <c r="M159" s="36">
        <v>19030.607701132431</v>
      </c>
      <c r="N159" s="36">
        <v>19579.945897658064</v>
      </c>
    </row>
    <row r="160" spans="6:14" ht="15.75" x14ac:dyDescent="0.25">
      <c r="F160" s="52" t="s">
        <v>22</v>
      </c>
      <c r="G160" s="502">
        <v>5872</v>
      </c>
      <c r="H160" s="36">
        <v>5777</v>
      </c>
      <c r="I160" s="36">
        <v>6371</v>
      </c>
      <c r="J160" s="36">
        <v>6709</v>
      </c>
      <c r="K160" s="36">
        <v>6603</v>
      </c>
      <c r="L160" s="36">
        <v>6947</v>
      </c>
      <c r="M160" s="36">
        <v>7323.3756883842816</v>
      </c>
      <c r="N160" s="36">
        <v>7632.6508034114286</v>
      </c>
    </row>
    <row r="161" spans="6:23" ht="16.5" thickBot="1" x14ac:dyDescent="0.3">
      <c r="F161" s="504" t="s">
        <v>23</v>
      </c>
      <c r="G161" s="505">
        <v>204705</v>
      </c>
      <c r="H161" s="506">
        <v>210939</v>
      </c>
      <c r="I161" s="506">
        <v>224602</v>
      </c>
      <c r="J161" s="506">
        <v>234491</v>
      </c>
      <c r="K161" s="506">
        <v>242628</v>
      </c>
      <c r="L161" s="506">
        <v>253690</v>
      </c>
      <c r="M161" s="506">
        <v>258666.48035260732</v>
      </c>
      <c r="N161" s="506">
        <v>262781.16207928438</v>
      </c>
    </row>
    <row r="162" spans="6:23" ht="16.5" thickBot="1" x14ac:dyDescent="0.3">
      <c r="F162" s="493" t="s">
        <v>81</v>
      </c>
      <c r="G162" s="510">
        <v>450319</v>
      </c>
      <c r="H162" s="511">
        <v>463949</v>
      </c>
      <c r="I162" s="511">
        <v>499518</v>
      </c>
      <c r="J162" s="511">
        <v>526014</v>
      </c>
      <c r="K162" s="511">
        <v>545852</v>
      </c>
      <c r="L162" s="511">
        <v>574772</v>
      </c>
      <c r="M162" s="511">
        <v>587522.48897605122</v>
      </c>
      <c r="N162" s="511">
        <v>600217.98348832736</v>
      </c>
    </row>
    <row r="163" spans="6:23" x14ac:dyDescent="0.2">
      <c r="N163" s="987"/>
    </row>
    <row r="164" spans="6:23" ht="15.75" x14ac:dyDescent="0.25">
      <c r="F164" s="23" t="s">
        <v>563</v>
      </c>
      <c r="G164" s="22"/>
      <c r="H164" s="22"/>
      <c r="I164" s="22"/>
      <c r="J164" s="22"/>
      <c r="K164" s="22"/>
      <c r="L164" s="22"/>
      <c r="M164" s="22"/>
      <c r="N164" s="22"/>
    </row>
    <row r="165" spans="6:23" ht="15.75" thickBot="1" x14ac:dyDescent="0.25">
      <c r="G165" s="22"/>
      <c r="H165" s="22"/>
      <c r="I165" s="22"/>
      <c r="J165" s="22"/>
      <c r="K165" s="22"/>
      <c r="L165" s="22"/>
      <c r="M165" s="22"/>
      <c r="N165" s="22"/>
    </row>
    <row r="166" spans="6:23" ht="16.5" thickBot="1" x14ac:dyDescent="0.3">
      <c r="F166" s="493"/>
      <c r="G166" s="494">
        <v>2008</v>
      </c>
      <c r="H166" s="494">
        <v>2009</v>
      </c>
      <c r="I166" s="494">
        <v>2010</v>
      </c>
      <c r="J166" s="494">
        <v>2011</v>
      </c>
      <c r="K166" s="494">
        <v>2012</v>
      </c>
      <c r="L166" s="494">
        <v>2013</v>
      </c>
      <c r="M166" s="494" t="s">
        <v>451</v>
      </c>
      <c r="N166" s="494" t="s">
        <v>452</v>
      </c>
    </row>
    <row r="167" spans="6:23" ht="15.75" x14ac:dyDescent="0.25">
      <c r="F167" s="496" t="s">
        <v>8</v>
      </c>
      <c r="G167" s="497">
        <v>1329.57</v>
      </c>
      <c r="H167" s="498">
        <v>1385.67</v>
      </c>
      <c r="I167" s="498">
        <v>1401.65</v>
      </c>
      <c r="J167" s="498">
        <v>1384.99</v>
      </c>
      <c r="K167" s="498">
        <v>1522.86</v>
      </c>
      <c r="L167" s="498">
        <v>1548.0350000000001</v>
      </c>
      <c r="M167" s="498">
        <v>1589.6843170956295</v>
      </c>
      <c r="N167" s="498">
        <v>1620.8434416035507</v>
      </c>
      <c r="P167" s="36">
        <f>G146*G48/100</f>
        <v>1329.57</v>
      </c>
      <c r="Q167" s="36">
        <f t="shared" ref="Q167:V167" si="13">H146*H48/100</f>
        <v>1385.67</v>
      </c>
      <c r="R167" s="36">
        <f t="shared" si="13"/>
        <v>1401.65</v>
      </c>
      <c r="S167" s="36">
        <f t="shared" si="13"/>
        <v>1384.99</v>
      </c>
      <c r="T167" s="36">
        <f t="shared" si="13"/>
        <v>1522.86</v>
      </c>
      <c r="U167" s="36">
        <f t="shared" si="13"/>
        <v>1548.0350000000001</v>
      </c>
      <c r="V167" s="36">
        <f t="shared" si="13"/>
        <v>1589.6843170956295</v>
      </c>
      <c r="W167" s="36"/>
    </row>
    <row r="168" spans="6:23" ht="15.75" x14ac:dyDescent="0.25">
      <c r="F168" s="52" t="s">
        <v>9</v>
      </c>
      <c r="G168" s="502">
        <v>2180.34</v>
      </c>
      <c r="H168" s="36">
        <v>2286.9074999999998</v>
      </c>
      <c r="I168" s="36">
        <v>2494.9575</v>
      </c>
      <c r="J168" s="36">
        <v>2641.86</v>
      </c>
      <c r="K168" s="36">
        <v>2751.12</v>
      </c>
      <c r="L168" s="36">
        <v>2908.8</v>
      </c>
      <c r="M168" s="36">
        <v>2976.6462919825349</v>
      </c>
      <c r="N168" s="36">
        <v>2959.5035672976533</v>
      </c>
      <c r="P168" s="36">
        <f t="shared" ref="P168:P182" si="14">G147*G49/100</f>
        <v>2180.34</v>
      </c>
      <c r="Q168" s="36">
        <f t="shared" ref="Q168:Q182" si="15">H147*H49/100</f>
        <v>2286.9074999999998</v>
      </c>
      <c r="R168" s="36">
        <f t="shared" ref="R168:R182" si="16">I147*I49/100</f>
        <v>2494.9575</v>
      </c>
      <c r="S168" s="36">
        <f t="shared" ref="S168:S182" si="17">J147*J49/100</f>
        <v>2641.86</v>
      </c>
      <c r="T168" s="36">
        <f t="shared" ref="T168:T182" si="18">K147*K49/100</f>
        <v>2751.12</v>
      </c>
      <c r="U168" s="36">
        <f t="shared" ref="U168:U182" si="19">L147*L49/100</f>
        <v>2908.8</v>
      </c>
      <c r="V168" s="36">
        <f t="shared" ref="V168:V182" si="20">M147*M49/100</f>
        <v>2976.6462919825349</v>
      </c>
    </row>
    <row r="169" spans="6:23" ht="15.75" x14ac:dyDescent="0.25">
      <c r="F169" s="52" t="s">
        <v>10</v>
      </c>
      <c r="G169" s="502">
        <v>6867.0150000000003</v>
      </c>
      <c r="H169" s="36">
        <v>7420.92</v>
      </c>
      <c r="I169" s="36">
        <v>7945.86</v>
      </c>
      <c r="J169" s="36">
        <v>8254.9349999999995</v>
      </c>
      <c r="K169" s="36">
        <v>8444.67</v>
      </c>
      <c r="L169" s="36">
        <v>8970</v>
      </c>
      <c r="M169" s="36">
        <v>9041.1801389840857</v>
      </c>
      <c r="N169" s="36">
        <v>9191.8665133013674</v>
      </c>
      <c r="P169" s="36">
        <f t="shared" si="14"/>
        <v>6867.0150000000003</v>
      </c>
      <c r="Q169" s="36">
        <f t="shared" si="15"/>
        <v>7420.92</v>
      </c>
      <c r="R169" s="36">
        <f t="shared" si="16"/>
        <v>7945.86</v>
      </c>
      <c r="S169" s="36">
        <f t="shared" si="17"/>
        <v>8254.9349999999995</v>
      </c>
      <c r="T169" s="36">
        <f t="shared" si="18"/>
        <v>8444.67</v>
      </c>
      <c r="U169" s="36">
        <f t="shared" si="19"/>
        <v>8970</v>
      </c>
      <c r="V169" s="36">
        <f t="shared" si="20"/>
        <v>9041.1801389840857</v>
      </c>
    </row>
    <row r="170" spans="6:23" ht="15.75" x14ac:dyDescent="0.25">
      <c r="F170" s="52" t="s">
        <v>11</v>
      </c>
      <c r="G170" s="502">
        <v>1421.71</v>
      </c>
      <c r="H170" s="36">
        <v>1386.69</v>
      </c>
      <c r="I170" s="36">
        <v>1487.67</v>
      </c>
      <c r="J170" s="36">
        <v>1652.2049999999999</v>
      </c>
      <c r="K170" s="36">
        <v>1697.0550000000001</v>
      </c>
      <c r="L170" s="36">
        <v>1753.98</v>
      </c>
      <c r="M170" s="36">
        <v>1766.4448595897293</v>
      </c>
      <c r="N170" s="36">
        <v>1783.6663678556311</v>
      </c>
      <c r="P170" s="36">
        <f t="shared" si="14"/>
        <v>1421.71</v>
      </c>
      <c r="Q170" s="36">
        <f t="shared" si="15"/>
        <v>1386.69</v>
      </c>
      <c r="R170" s="36">
        <f t="shared" si="16"/>
        <v>1487.67</v>
      </c>
      <c r="S170" s="36">
        <f t="shared" si="17"/>
        <v>1652.2049999999999</v>
      </c>
      <c r="T170" s="36">
        <f t="shared" si="18"/>
        <v>1697.0550000000001</v>
      </c>
      <c r="U170" s="36">
        <f t="shared" si="19"/>
        <v>1753.98</v>
      </c>
      <c r="V170" s="36">
        <f t="shared" si="20"/>
        <v>1766.4448595897293</v>
      </c>
    </row>
    <row r="171" spans="6:23" ht="15.75" x14ac:dyDescent="0.25">
      <c r="F171" s="52" t="s">
        <v>12</v>
      </c>
      <c r="G171" s="502">
        <v>960.15</v>
      </c>
      <c r="H171" s="36">
        <v>1041.365</v>
      </c>
      <c r="I171" s="36">
        <v>1150.885</v>
      </c>
      <c r="J171" s="36">
        <v>1227.4124999999999</v>
      </c>
      <c r="K171" s="36">
        <v>1219.75</v>
      </c>
      <c r="L171" s="36">
        <v>1221.1500000000001</v>
      </c>
      <c r="M171" s="36">
        <v>1267.3286832892131</v>
      </c>
      <c r="N171" s="36">
        <v>1284.9454200751529</v>
      </c>
      <c r="P171" s="36">
        <f t="shared" si="14"/>
        <v>960.15</v>
      </c>
      <c r="Q171" s="36">
        <f t="shared" si="15"/>
        <v>1041.365</v>
      </c>
      <c r="R171" s="36">
        <f t="shared" si="16"/>
        <v>1150.885</v>
      </c>
      <c r="S171" s="36">
        <f t="shared" si="17"/>
        <v>1227.4124999999999</v>
      </c>
      <c r="T171" s="36">
        <f t="shared" si="18"/>
        <v>1219.75</v>
      </c>
      <c r="U171" s="36">
        <f t="shared" si="19"/>
        <v>1221.1500000000001</v>
      </c>
      <c r="V171" s="36">
        <f t="shared" si="20"/>
        <v>1267.3286832892131</v>
      </c>
    </row>
    <row r="172" spans="6:23" ht="15.75" x14ac:dyDescent="0.25">
      <c r="F172" s="52" t="s">
        <v>13</v>
      </c>
      <c r="G172" s="502">
        <v>3418.3049999999998</v>
      </c>
      <c r="H172" s="36">
        <v>3551.9549999999999</v>
      </c>
      <c r="I172" s="36">
        <v>3904.56</v>
      </c>
      <c r="J172" s="36">
        <v>4120.2150000000001</v>
      </c>
      <c r="K172" s="36">
        <v>4306.9949999999999</v>
      </c>
      <c r="L172" s="36">
        <v>4478.2650000000003</v>
      </c>
      <c r="M172" s="36">
        <v>4810.4236308746385</v>
      </c>
      <c r="N172" s="36">
        <v>4847.587737023302</v>
      </c>
      <c r="P172" s="36">
        <f t="shared" si="14"/>
        <v>3418.3049999999998</v>
      </c>
      <c r="Q172" s="36">
        <f t="shared" si="15"/>
        <v>3551.9549999999999</v>
      </c>
      <c r="R172" s="36">
        <f t="shared" si="16"/>
        <v>3904.56</v>
      </c>
      <c r="S172" s="36">
        <f t="shared" si="17"/>
        <v>4120.2150000000001</v>
      </c>
      <c r="T172" s="36">
        <f t="shared" si="18"/>
        <v>4306.9949999999999</v>
      </c>
      <c r="U172" s="36">
        <f t="shared" si="19"/>
        <v>4478.2650000000003</v>
      </c>
      <c r="V172" s="36">
        <f t="shared" si="20"/>
        <v>4810.4236308746385</v>
      </c>
    </row>
    <row r="173" spans="6:23" ht="15.75" x14ac:dyDescent="0.25">
      <c r="F173" s="52" t="s">
        <v>14</v>
      </c>
      <c r="G173" s="502">
        <v>10331.75</v>
      </c>
      <c r="H173" s="36">
        <v>10965</v>
      </c>
      <c r="I173" s="36">
        <v>12088.87</v>
      </c>
      <c r="J173" s="36">
        <v>12996.16</v>
      </c>
      <c r="K173" s="36">
        <v>13908.89</v>
      </c>
      <c r="L173" s="36">
        <v>14971.9</v>
      </c>
      <c r="M173" s="36">
        <v>15465.79747924428</v>
      </c>
      <c r="N173" s="36">
        <v>16242.605739014531</v>
      </c>
      <c r="P173" s="36">
        <f t="shared" si="14"/>
        <v>10331.75</v>
      </c>
      <c r="Q173" s="36">
        <f t="shared" si="15"/>
        <v>10965</v>
      </c>
      <c r="R173" s="36">
        <f t="shared" si="16"/>
        <v>12088.87</v>
      </c>
      <c r="S173" s="36">
        <f t="shared" si="17"/>
        <v>12996.16</v>
      </c>
      <c r="T173" s="36">
        <f t="shared" si="18"/>
        <v>13908.89</v>
      </c>
      <c r="U173" s="36">
        <f t="shared" si="19"/>
        <v>14971.9</v>
      </c>
      <c r="V173" s="36">
        <f t="shared" si="20"/>
        <v>15465.79747924428</v>
      </c>
    </row>
    <row r="174" spans="6:23" ht="15.75" x14ac:dyDescent="0.25">
      <c r="F174" s="52" t="s">
        <v>15</v>
      </c>
      <c r="G174" s="502">
        <v>1056.165</v>
      </c>
      <c r="H174" s="36">
        <v>1108.1500000000001</v>
      </c>
      <c r="I174" s="36">
        <v>1183.6300000000001</v>
      </c>
      <c r="J174" s="36">
        <v>1158.2850000000001</v>
      </c>
      <c r="K174" s="36">
        <v>1189.55</v>
      </c>
      <c r="L174" s="36">
        <v>1188.07</v>
      </c>
      <c r="M174" s="36">
        <v>1199.6374221938866</v>
      </c>
      <c r="N174" s="36">
        <v>1227.3417747159108</v>
      </c>
      <c r="P174" s="36">
        <f t="shared" si="14"/>
        <v>1056.165</v>
      </c>
      <c r="Q174" s="36">
        <f t="shared" si="15"/>
        <v>1108.1500000000001</v>
      </c>
      <c r="R174" s="36">
        <f t="shared" si="16"/>
        <v>1183.6300000000001</v>
      </c>
      <c r="S174" s="36">
        <f t="shared" si="17"/>
        <v>1158.2850000000001</v>
      </c>
      <c r="T174" s="36">
        <f t="shared" si="18"/>
        <v>1189.55</v>
      </c>
      <c r="U174" s="36">
        <f t="shared" si="19"/>
        <v>1188.07</v>
      </c>
      <c r="V174" s="36">
        <f t="shared" si="20"/>
        <v>1199.6374221938866</v>
      </c>
    </row>
    <row r="175" spans="6:23" ht="15.75" x14ac:dyDescent="0.25">
      <c r="F175" s="52" t="s">
        <v>16</v>
      </c>
      <c r="G175" s="502">
        <v>744.44</v>
      </c>
      <c r="H175" s="36">
        <v>683.57500000000005</v>
      </c>
      <c r="I175" s="36">
        <v>779.22</v>
      </c>
      <c r="J175" s="36">
        <v>796.42499999999995</v>
      </c>
      <c r="K175" s="36">
        <v>883.74</v>
      </c>
      <c r="L175" s="36">
        <v>886.86</v>
      </c>
      <c r="M175" s="36">
        <v>935.47895836604778</v>
      </c>
      <c r="N175" s="36">
        <v>944.79005204422936</v>
      </c>
      <c r="P175" s="36">
        <f t="shared" si="14"/>
        <v>744.44</v>
      </c>
      <c r="Q175" s="36">
        <f t="shared" si="15"/>
        <v>683.57500000000005</v>
      </c>
      <c r="R175" s="36">
        <f t="shared" si="16"/>
        <v>779.22</v>
      </c>
      <c r="S175" s="36">
        <f t="shared" si="17"/>
        <v>796.42499999999995</v>
      </c>
      <c r="T175" s="36">
        <f t="shared" si="18"/>
        <v>883.74</v>
      </c>
      <c r="U175" s="36">
        <f t="shared" si="19"/>
        <v>886.86</v>
      </c>
      <c r="V175" s="36">
        <f t="shared" si="20"/>
        <v>935.47895836604778</v>
      </c>
    </row>
    <row r="176" spans="6:23" ht="15.75" x14ac:dyDescent="0.25">
      <c r="F176" s="52" t="s">
        <v>17</v>
      </c>
      <c r="G176" s="502">
        <v>4880.87</v>
      </c>
      <c r="H176" s="36">
        <v>4845.72</v>
      </c>
      <c r="I176" s="36">
        <v>5287.92</v>
      </c>
      <c r="J176" s="36">
        <v>5667.585</v>
      </c>
      <c r="K176" s="36">
        <v>5754.6125000000002</v>
      </c>
      <c r="L176" s="36">
        <v>6199.2124999999996</v>
      </c>
      <c r="M176" s="36">
        <v>6669.1421960924936</v>
      </c>
      <c r="N176" s="36">
        <v>6828.0106164639619</v>
      </c>
      <c r="P176" s="36">
        <f t="shared" si="14"/>
        <v>4880.87</v>
      </c>
      <c r="Q176" s="36">
        <f t="shared" si="15"/>
        <v>4845.72</v>
      </c>
      <c r="R176" s="36">
        <f t="shared" si="16"/>
        <v>5287.92</v>
      </c>
      <c r="S176" s="36">
        <f t="shared" si="17"/>
        <v>5667.585</v>
      </c>
      <c r="T176" s="36">
        <f t="shared" si="18"/>
        <v>5754.6125000000002</v>
      </c>
      <c r="U176" s="36">
        <f t="shared" si="19"/>
        <v>6199.2124999999996</v>
      </c>
      <c r="V176" s="36">
        <f t="shared" si="20"/>
        <v>6669.1421960924936</v>
      </c>
    </row>
    <row r="177" spans="6:23" ht="15.75" x14ac:dyDescent="0.25">
      <c r="F177" s="52" t="s">
        <v>18</v>
      </c>
      <c r="G177" s="502">
        <v>1105.19</v>
      </c>
      <c r="H177" s="36">
        <v>1129.98</v>
      </c>
      <c r="I177" s="36">
        <v>1222.1099999999999</v>
      </c>
      <c r="J177" s="36">
        <v>1323.12</v>
      </c>
      <c r="K177" s="36">
        <v>1407.665</v>
      </c>
      <c r="L177" s="36">
        <v>1448.55</v>
      </c>
      <c r="M177" s="36">
        <v>1601.2457067321025</v>
      </c>
      <c r="N177" s="36">
        <v>1648.4628102396427</v>
      </c>
      <c r="P177" s="36">
        <f t="shared" si="14"/>
        <v>1105.19</v>
      </c>
      <c r="Q177" s="36">
        <f t="shared" si="15"/>
        <v>1129.98</v>
      </c>
      <c r="R177" s="36">
        <f t="shared" si="16"/>
        <v>1222.1099999999999</v>
      </c>
      <c r="S177" s="36">
        <f t="shared" si="17"/>
        <v>1323.12</v>
      </c>
      <c r="T177" s="36">
        <f t="shared" si="18"/>
        <v>1407.665</v>
      </c>
      <c r="U177" s="36">
        <f t="shared" si="19"/>
        <v>1448.55</v>
      </c>
      <c r="V177" s="36">
        <f t="shared" si="20"/>
        <v>1601.2457067321025</v>
      </c>
    </row>
    <row r="178" spans="6:23" ht="15.75" x14ac:dyDescent="0.25">
      <c r="F178" s="52" t="s">
        <v>19</v>
      </c>
      <c r="G178" s="502">
        <v>4337.7475000000004</v>
      </c>
      <c r="H178" s="36">
        <v>4326.4650000000001</v>
      </c>
      <c r="I178" s="36">
        <v>4607.3625000000002</v>
      </c>
      <c r="J178" s="36">
        <v>4948.45</v>
      </c>
      <c r="K178" s="36">
        <v>5069.3500000000004</v>
      </c>
      <c r="L178" s="36">
        <v>5293.4375</v>
      </c>
      <c r="M178" s="36">
        <v>5513.4420603133676</v>
      </c>
      <c r="N178" s="36">
        <v>5584.7547933281194</v>
      </c>
      <c r="P178" s="36">
        <f t="shared" si="14"/>
        <v>4337.7475000000004</v>
      </c>
      <c r="Q178" s="36">
        <f t="shared" si="15"/>
        <v>4326.4650000000001</v>
      </c>
      <c r="R178" s="36">
        <f t="shared" si="16"/>
        <v>4607.3625000000002</v>
      </c>
      <c r="S178" s="36">
        <f t="shared" si="17"/>
        <v>4948.45</v>
      </c>
      <c r="T178" s="36">
        <f t="shared" si="18"/>
        <v>5069.3500000000004</v>
      </c>
      <c r="U178" s="36">
        <f t="shared" si="19"/>
        <v>5293.4375</v>
      </c>
      <c r="V178" s="36">
        <f t="shared" si="20"/>
        <v>5513.4420603133676</v>
      </c>
    </row>
    <row r="179" spans="6:23" ht="15.75" x14ac:dyDescent="0.25">
      <c r="F179" s="52" t="s">
        <v>20</v>
      </c>
      <c r="G179" s="502">
        <v>327.25</v>
      </c>
      <c r="H179" s="36">
        <v>313.77499999999998</v>
      </c>
      <c r="I179" s="36">
        <v>352.27499999999998</v>
      </c>
      <c r="J179" s="36">
        <v>375.84</v>
      </c>
      <c r="K179" s="36">
        <v>333.36</v>
      </c>
      <c r="L179" s="36">
        <v>360</v>
      </c>
      <c r="M179" s="36">
        <v>368.62978814780973</v>
      </c>
      <c r="N179" s="36">
        <v>378.96689614052366</v>
      </c>
      <c r="P179" s="36">
        <f t="shared" si="14"/>
        <v>327.25</v>
      </c>
      <c r="Q179" s="36">
        <f t="shared" si="15"/>
        <v>313.77499999999998</v>
      </c>
      <c r="R179" s="36">
        <f t="shared" si="16"/>
        <v>352.27499999999998</v>
      </c>
      <c r="S179" s="36">
        <f t="shared" si="17"/>
        <v>375.84</v>
      </c>
      <c r="T179" s="36">
        <f t="shared" si="18"/>
        <v>333.36</v>
      </c>
      <c r="U179" s="36">
        <f t="shared" si="19"/>
        <v>360</v>
      </c>
      <c r="V179" s="36">
        <f t="shared" si="20"/>
        <v>368.62978814780973</v>
      </c>
    </row>
    <row r="180" spans="6:23" ht="15.75" x14ac:dyDescent="0.25">
      <c r="F180" s="52" t="s">
        <v>21</v>
      </c>
      <c r="G180" s="502">
        <v>2859.915</v>
      </c>
      <c r="H180" s="36">
        <v>2868.7950000000001</v>
      </c>
      <c r="I180" s="36">
        <v>3053.24</v>
      </c>
      <c r="J180" s="36">
        <v>3170.53</v>
      </c>
      <c r="K180" s="36">
        <v>3289.47</v>
      </c>
      <c r="L180" s="36">
        <v>3581.88</v>
      </c>
      <c r="M180" s="36">
        <v>3710.9685017208235</v>
      </c>
      <c r="N180" s="36">
        <v>3818.0894500433224</v>
      </c>
      <c r="P180" s="36">
        <f t="shared" si="14"/>
        <v>2859.915</v>
      </c>
      <c r="Q180" s="36">
        <f t="shared" si="15"/>
        <v>2868.7950000000001</v>
      </c>
      <c r="R180" s="36">
        <f t="shared" si="16"/>
        <v>3053.24</v>
      </c>
      <c r="S180" s="36">
        <f t="shared" si="17"/>
        <v>3170.53</v>
      </c>
      <c r="T180" s="36">
        <f t="shared" si="18"/>
        <v>3289.47</v>
      </c>
      <c r="U180" s="36">
        <f t="shared" si="19"/>
        <v>3581.88</v>
      </c>
      <c r="V180" s="36">
        <f t="shared" si="20"/>
        <v>3710.9685017208235</v>
      </c>
    </row>
    <row r="181" spans="6:23" ht="15.75" x14ac:dyDescent="0.25">
      <c r="F181" s="52" t="s">
        <v>22</v>
      </c>
      <c r="G181" s="502">
        <v>1027.5999999999999</v>
      </c>
      <c r="H181" s="36">
        <v>1010.975</v>
      </c>
      <c r="I181" s="36">
        <v>1114.925</v>
      </c>
      <c r="J181" s="36">
        <v>1174.075</v>
      </c>
      <c r="K181" s="36">
        <v>1188.54</v>
      </c>
      <c r="L181" s="36">
        <v>1250.46</v>
      </c>
      <c r="M181" s="36">
        <v>1354.8245023510922</v>
      </c>
      <c r="N181" s="36">
        <v>1412.0403986311142</v>
      </c>
      <c r="P181" s="36">
        <f t="shared" si="14"/>
        <v>1027.5999999999999</v>
      </c>
      <c r="Q181" s="36">
        <f t="shared" si="15"/>
        <v>1010.975</v>
      </c>
      <c r="R181" s="36">
        <f t="shared" si="16"/>
        <v>1114.925</v>
      </c>
      <c r="S181" s="36">
        <f t="shared" si="17"/>
        <v>1174.075</v>
      </c>
      <c r="T181" s="36">
        <f t="shared" si="18"/>
        <v>1188.54</v>
      </c>
      <c r="U181" s="36">
        <f t="shared" si="19"/>
        <v>1250.46</v>
      </c>
      <c r="V181" s="36">
        <f t="shared" si="20"/>
        <v>1354.8245023510922</v>
      </c>
    </row>
    <row r="182" spans="6:23" ht="16.5" thickBot="1" x14ac:dyDescent="0.3">
      <c r="F182" s="504" t="s">
        <v>23</v>
      </c>
      <c r="G182" s="505">
        <v>32752.799999999999</v>
      </c>
      <c r="H182" s="506">
        <v>34804.934999999998</v>
      </c>
      <c r="I182" s="506">
        <v>37059.33</v>
      </c>
      <c r="J182" s="506">
        <v>38691.014999999999</v>
      </c>
      <c r="K182" s="506">
        <v>40033.620000000003</v>
      </c>
      <c r="L182" s="506">
        <v>41858.85</v>
      </c>
      <c r="M182" s="506">
        <v>44619.967860824763</v>
      </c>
      <c r="N182" s="506">
        <v>46643.656269072977</v>
      </c>
      <c r="P182" s="36">
        <f t="shared" si="14"/>
        <v>32752.799999999999</v>
      </c>
      <c r="Q182" s="36">
        <f t="shared" si="15"/>
        <v>34804.934999999998</v>
      </c>
      <c r="R182" s="36">
        <f t="shared" si="16"/>
        <v>37059.33</v>
      </c>
      <c r="S182" s="36">
        <f t="shared" si="17"/>
        <v>38691.014999999999</v>
      </c>
      <c r="T182" s="36">
        <f t="shared" si="18"/>
        <v>40033.620000000003</v>
      </c>
      <c r="U182" s="36">
        <f t="shared" si="19"/>
        <v>41858.85</v>
      </c>
      <c r="V182" s="36">
        <f t="shared" si="20"/>
        <v>44619.967860824763</v>
      </c>
    </row>
    <row r="183" spans="6:23" ht="16.5" thickBot="1" x14ac:dyDescent="0.3">
      <c r="F183" s="493" t="s">
        <v>81</v>
      </c>
      <c r="G183" s="510">
        <v>75600.817500000005</v>
      </c>
      <c r="H183" s="511">
        <v>79130.877499999988</v>
      </c>
      <c r="I183" s="511">
        <v>85134.465000000011</v>
      </c>
      <c r="J183" s="511">
        <v>89583.102499999994</v>
      </c>
      <c r="K183" s="511">
        <v>93001.247499999998</v>
      </c>
      <c r="L183" s="511">
        <v>97919.450000000012</v>
      </c>
      <c r="M183" s="511">
        <v>102890.84239780251</v>
      </c>
      <c r="N183" s="511">
        <v>106417.13184685099</v>
      </c>
      <c r="P183" s="994">
        <f t="shared" ref="P183:V183" si="21">G162*G64/100</f>
        <v>75580.902356797204</v>
      </c>
      <c r="Q183" s="994">
        <f t="shared" si="21"/>
        <v>79111.901813561839</v>
      </c>
      <c r="R183" s="994">
        <f t="shared" si="21"/>
        <v>85106.921099275467</v>
      </c>
      <c r="S183" s="994">
        <f t="shared" si="21"/>
        <v>89578.315329127217</v>
      </c>
      <c r="T183" s="994">
        <f t="shared" si="21"/>
        <v>92958.595600000001</v>
      </c>
      <c r="U183" s="994">
        <f t="shared" si="21"/>
        <v>97885.069630148151</v>
      </c>
      <c r="V183" s="994">
        <f t="shared" si="21"/>
        <v>102875.18781970657</v>
      </c>
    </row>
    <row r="185" spans="6:23" x14ac:dyDescent="0.2">
      <c r="P185" s="22">
        <f>P167-G167</f>
        <v>0</v>
      </c>
      <c r="Q185" s="22">
        <f t="shared" ref="Q185:V200" si="22">Q167-H167</f>
        <v>0</v>
      </c>
      <c r="R185" s="22">
        <f t="shared" si="22"/>
        <v>0</v>
      </c>
      <c r="S185" s="22">
        <f t="shared" si="22"/>
        <v>0</v>
      </c>
      <c r="T185" s="22">
        <f t="shared" si="22"/>
        <v>0</v>
      </c>
      <c r="U185" s="22">
        <f t="shared" si="22"/>
        <v>0</v>
      </c>
      <c r="V185" s="22">
        <f t="shared" si="22"/>
        <v>0</v>
      </c>
      <c r="W185" s="22"/>
    </row>
    <row r="186" spans="6:23" x14ac:dyDescent="0.2">
      <c r="G186" s="291" t="s">
        <v>564</v>
      </c>
      <c r="P186" s="22">
        <f t="shared" ref="P186:P200" si="23">P168-G168</f>
        <v>0</v>
      </c>
      <c r="Q186" s="22">
        <f t="shared" si="22"/>
        <v>0</v>
      </c>
      <c r="R186" s="22">
        <f t="shared" si="22"/>
        <v>0</v>
      </c>
      <c r="S186" s="22">
        <f t="shared" si="22"/>
        <v>0</v>
      </c>
      <c r="T186" s="22">
        <f t="shared" si="22"/>
        <v>0</v>
      </c>
      <c r="U186" s="22">
        <f t="shared" si="22"/>
        <v>0</v>
      </c>
      <c r="V186" s="22">
        <f t="shared" si="22"/>
        <v>0</v>
      </c>
      <c r="W186" s="22"/>
    </row>
    <row r="187" spans="6:23" x14ac:dyDescent="0.2">
      <c r="G187" s="291" t="s">
        <v>565</v>
      </c>
      <c r="P187" s="22">
        <f t="shared" si="23"/>
        <v>0</v>
      </c>
      <c r="Q187" s="22">
        <f t="shared" si="22"/>
        <v>0</v>
      </c>
      <c r="R187" s="22">
        <f t="shared" si="22"/>
        <v>0</v>
      </c>
      <c r="S187" s="22">
        <f t="shared" si="22"/>
        <v>0</v>
      </c>
      <c r="T187" s="22">
        <f t="shared" si="22"/>
        <v>0</v>
      </c>
      <c r="U187" s="22">
        <f t="shared" si="22"/>
        <v>0</v>
      </c>
      <c r="V187" s="22">
        <f t="shared" si="22"/>
        <v>0</v>
      </c>
      <c r="W187" s="22"/>
    </row>
    <row r="188" spans="6:23" x14ac:dyDescent="0.2">
      <c r="G188" s="291" t="s">
        <v>566</v>
      </c>
      <c r="P188" s="22">
        <f t="shared" si="23"/>
        <v>0</v>
      </c>
      <c r="Q188" s="22">
        <f t="shared" si="22"/>
        <v>0</v>
      </c>
      <c r="R188" s="22">
        <f t="shared" si="22"/>
        <v>0</v>
      </c>
      <c r="S188" s="22">
        <f t="shared" si="22"/>
        <v>0</v>
      </c>
      <c r="T188" s="22">
        <f t="shared" si="22"/>
        <v>0</v>
      </c>
      <c r="U188" s="22">
        <f t="shared" si="22"/>
        <v>0</v>
      </c>
      <c r="V188" s="22">
        <f t="shared" si="22"/>
        <v>0</v>
      </c>
      <c r="W188" s="22"/>
    </row>
    <row r="189" spans="6:23" x14ac:dyDescent="0.2">
      <c r="P189" s="22">
        <f t="shared" si="23"/>
        <v>0</v>
      </c>
      <c r="Q189" s="22">
        <f t="shared" si="22"/>
        <v>0</v>
      </c>
      <c r="R189" s="22">
        <f t="shared" si="22"/>
        <v>0</v>
      </c>
      <c r="S189" s="22">
        <f t="shared" si="22"/>
        <v>0</v>
      </c>
      <c r="T189" s="22">
        <f t="shared" si="22"/>
        <v>0</v>
      </c>
      <c r="U189" s="22">
        <f t="shared" si="22"/>
        <v>0</v>
      </c>
      <c r="V189" s="22">
        <f t="shared" si="22"/>
        <v>0</v>
      </c>
      <c r="W189" s="22"/>
    </row>
    <row r="190" spans="6:23" x14ac:dyDescent="0.2">
      <c r="F190" s="987"/>
      <c r="G190" s="987"/>
      <c r="H190" s="987"/>
      <c r="I190" s="987"/>
      <c r="J190" s="987"/>
      <c r="K190" s="987"/>
      <c r="P190" s="22">
        <f t="shared" si="23"/>
        <v>0</v>
      </c>
      <c r="Q190" s="22">
        <f t="shared" si="22"/>
        <v>0</v>
      </c>
      <c r="R190" s="22">
        <f t="shared" si="22"/>
        <v>0</v>
      </c>
      <c r="S190" s="22">
        <f t="shared" si="22"/>
        <v>0</v>
      </c>
      <c r="T190" s="22">
        <f t="shared" si="22"/>
        <v>0</v>
      </c>
      <c r="U190" s="22">
        <f t="shared" si="22"/>
        <v>0</v>
      </c>
      <c r="V190" s="22">
        <f t="shared" si="22"/>
        <v>0</v>
      </c>
      <c r="W190" s="22"/>
    </row>
    <row r="191" spans="6:23" x14ac:dyDescent="0.2">
      <c r="F191" s="987"/>
      <c r="G191" s="987"/>
      <c r="H191" s="987"/>
      <c r="I191" s="987"/>
      <c r="J191" s="987"/>
      <c r="K191" s="987"/>
      <c r="P191" s="22">
        <f t="shared" si="23"/>
        <v>0</v>
      </c>
      <c r="Q191" s="22">
        <f t="shared" si="22"/>
        <v>0</v>
      </c>
      <c r="R191" s="22">
        <f t="shared" si="22"/>
        <v>0</v>
      </c>
      <c r="S191" s="22">
        <f t="shared" si="22"/>
        <v>0</v>
      </c>
      <c r="T191" s="22">
        <f t="shared" si="22"/>
        <v>0</v>
      </c>
      <c r="U191" s="22">
        <f t="shared" si="22"/>
        <v>0</v>
      </c>
      <c r="V191" s="22">
        <f t="shared" si="22"/>
        <v>0</v>
      </c>
      <c r="W191" s="22"/>
    </row>
    <row r="192" spans="6:23" x14ac:dyDescent="0.2">
      <c r="F192" s="987"/>
      <c r="G192" s="987"/>
      <c r="H192" s="987"/>
      <c r="I192" s="987"/>
      <c r="J192" s="987"/>
      <c r="K192" s="987"/>
      <c r="P192" s="22">
        <f t="shared" si="23"/>
        <v>0</v>
      </c>
      <c r="Q192" s="22">
        <f t="shared" si="22"/>
        <v>0</v>
      </c>
      <c r="R192" s="22">
        <f t="shared" si="22"/>
        <v>0</v>
      </c>
      <c r="S192" s="22">
        <f t="shared" si="22"/>
        <v>0</v>
      </c>
      <c r="T192" s="22">
        <f t="shared" si="22"/>
        <v>0</v>
      </c>
      <c r="U192" s="22">
        <f t="shared" si="22"/>
        <v>0</v>
      </c>
      <c r="V192" s="22">
        <f t="shared" si="22"/>
        <v>0</v>
      </c>
      <c r="W192" s="22"/>
    </row>
    <row r="193" spans="6:23" x14ac:dyDescent="0.2">
      <c r="F193" s="987"/>
      <c r="G193" s="987"/>
      <c r="H193" s="987"/>
      <c r="I193" s="987"/>
      <c r="J193" s="987"/>
      <c r="K193" s="987"/>
      <c r="P193" s="22">
        <f t="shared" si="23"/>
        <v>0</v>
      </c>
      <c r="Q193" s="22">
        <f t="shared" si="22"/>
        <v>0</v>
      </c>
      <c r="R193" s="22">
        <f t="shared" si="22"/>
        <v>0</v>
      </c>
      <c r="S193" s="22">
        <f t="shared" si="22"/>
        <v>0</v>
      </c>
      <c r="T193" s="22">
        <f t="shared" si="22"/>
        <v>0</v>
      </c>
      <c r="U193" s="22">
        <f t="shared" si="22"/>
        <v>0</v>
      </c>
      <c r="V193" s="22">
        <f t="shared" si="22"/>
        <v>0</v>
      </c>
      <c r="W193" s="22"/>
    </row>
    <row r="194" spans="6:23" x14ac:dyDescent="0.2">
      <c r="F194" s="987"/>
      <c r="G194" s="987"/>
      <c r="H194" s="987"/>
      <c r="I194" s="987"/>
      <c r="J194" s="987"/>
      <c r="K194" s="987"/>
      <c r="P194" s="22">
        <f t="shared" si="23"/>
        <v>0</v>
      </c>
      <c r="Q194" s="22">
        <f t="shared" si="22"/>
        <v>0</v>
      </c>
      <c r="R194" s="22">
        <f t="shared" si="22"/>
        <v>0</v>
      </c>
      <c r="S194" s="22">
        <f t="shared" si="22"/>
        <v>0</v>
      </c>
      <c r="T194" s="22">
        <f t="shared" si="22"/>
        <v>0</v>
      </c>
      <c r="U194" s="22">
        <f t="shared" si="22"/>
        <v>0</v>
      </c>
      <c r="V194" s="22">
        <f t="shared" si="22"/>
        <v>0</v>
      </c>
      <c r="W194" s="22"/>
    </row>
    <row r="195" spans="6:23" x14ac:dyDescent="0.2">
      <c r="F195" s="987"/>
      <c r="G195" s="987"/>
      <c r="H195" s="987"/>
      <c r="I195" s="987"/>
      <c r="J195" s="987"/>
      <c r="K195" s="987"/>
      <c r="P195" s="22">
        <f t="shared" si="23"/>
        <v>0</v>
      </c>
      <c r="Q195" s="22">
        <f t="shared" si="22"/>
        <v>0</v>
      </c>
      <c r="R195" s="22">
        <f t="shared" si="22"/>
        <v>0</v>
      </c>
      <c r="S195" s="22">
        <f t="shared" si="22"/>
        <v>0</v>
      </c>
      <c r="T195" s="22">
        <f t="shared" si="22"/>
        <v>0</v>
      </c>
      <c r="U195" s="22">
        <f t="shared" si="22"/>
        <v>0</v>
      </c>
      <c r="V195" s="22">
        <f t="shared" si="22"/>
        <v>0</v>
      </c>
      <c r="W195" s="22"/>
    </row>
    <row r="196" spans="6:23" x14ac:dyDescent="0.2">
      <c r="F196" s="987"/>
      <c r="G196" s="987"/>
      <c r="H196" s="987"/>
      <c r="I196" s="987"/>
      <c r="J196" s="987"/>
      <c r="K196" s="987"/>
      <c r="P196" s="22">
        <f t="shared" si="23"/>
        <v>0</v>
      </c>
      <c r="Q196" s="22">
        <f t="shared" si="22"/>
        <v>0</v>
      </c>
      <c r="R196" s="22">
        <f t="shared" si="22"/>
        <v>0</v>
      </c>
      <c r="S196" s="22">
        <f t="shared" si="22"/>
        <v>0</v>
      </c>
      <c r="T196" s="22">
        <f t="shared" si="22"/>
        <v>0</v>
      </c>
      <c r="U196" s="22">
        <f t="shared" si="22"/>
        <v>0</v>
      </c>
      <c r="V196" s="22">
        <f t="shared" si="22"/>
        <v>0</v>
      </c>
      <c r="W196" s="22"/>
    </row>
    <row r="197" spans="6:23" x14ac:dyDescent="0.2">
      <c r="F197" s="987"/>
      <c r="G197" s="987"/>
      <c r="H197" s="987"/>
      <c r="I197" s="987"/>
      <c r="J197" s="987"/>
      <c r="K197" s="987"/>
      <c r="P197" s="22">
        <f t="shared" si="23"/>
        <v>0</v>
      </c>
      <c r="Q197" s="22">
        <f t="shared" si="22"/>
        <v>0</v>
      </c>
      <c r="R197" s="22">
        <f t="shared" si="22"/>
        <v>0</v>
      </c>
      <c r="S197" s="22">
        <f t="shared" si="22"/>
        <v>0</v>
      </c>
      <c r="T197" s="22">
        <f t="shared" si="22"/>
        <v>0</v>
      </c>
      <c r="U197" s="22">
        <f t="shared" si="22"/>
        <v>0</v>
      </c>
      <c r="V197" s="22">
        <f t="shared" si="22"/>
        <v>0</v>
      </c>
      <c r="W197" s="22"/>
    </row>
    <row r="198" spans="6:23" x14ac:dyDescent="0.2">
      <c r="F198" s="987"/>
      <c r="G198" s="987"/>
      <c r="H198" s="987"/>
      <c r="I198" s="987"/>
      <c r="J198" s="987"/>
      <c r="K198" s="987"/>
      <c r="P198" s="22">
        <f t="shared" si="23"/>
        <v>0</v>
      </c>
      <c r="Q198" s="22">
        <f t="shared" si="22"/>
        <v>0</v>
      </c>
      <c r="R198" s="22">
        <f t="shared" si="22"/>
        <v>0</v>
      </c>
      <c r="S198" s="22">
        <f t="shared" si="22"/>
        <v>0</v>
      </c>
      <c r="T198" s="22">
        <f t="shared" si="22"/>
        <v>0</v>
      </c>
      <c r="U198" s="22">
        <f t="shared" si="22"/>
        <v>0</v>
      </c>
      <c r="V198" s="22">
        <f t="shared" si="22"/>
        <v>0</v>
      </c>
      <c r="W198" s="22"/>
    </row>
    <row r="199" spans="6:23" x14ac:dyDescent="0.2">
      <c r="F199" s="987"/>
      <c r="G199" s="987"/>
      <c r="H199" s="987"/>
      <c r="I199" s="987"/>
      <c r="J199" s="987"/>
      <c r="K199" s="987"/>
      <c r="P199" s="22">
        <f t="shared" si="23"/>
        <v>0</v>
      </c>
      <c r="Q199" s="22">
        <f t="shared" si="22"/>
        <v>0</v>
      </c>
      <c r="R199" s="22">
        <f t="shared" si="22"/>
        <v>0</v>
      </c>
      <c r="S199" s="22">
        <f t="shared" si="22"/>
        <v>0</v>
      </c>
      <c r="T199" s="22">
        <f t="shared" si="22"/>
        <v>0</v>
      </c>
      <c r="U199" s="22">
        <f t="shared" si="22"/>
        <v>0</v>
      </c>
      <c r="V199" s="22">
        <f t="shared" si="22"/>
        <v>0</v>
      </c>
      <c r="W199" s="22"/>
    </row>
    <row r="200" spans="6:23" x14ac:dyDescent="0.2">
      <c r="F200" s="987"/>
      <c r="G200" s="987"/>
      <c r="H200" s="987"/>
      <c r="I200" s="987"/>
      <c r="J200" s="987"/>
      <c r="K200" s="987"/>
      <c r="P200" s="22">
        <f t="shared" si="23"/>
        <v>0</v>
      </c>
      <c r="Q200" s="22">
        <f t="shared" si="22"/>
        <v>0</v>
      </c>
      <c r="R200" s="22">
        <f t="shared" si="22"/>
        <v>0</v>
      </c>
      <c r="S200" s="22">
        <f t="shared" si="22"/>
        <v>0</v>
      </c>
      <c r="T200" s="22">
        <f t="shared" si="22"/>
        <v>0</v>
      </c>
      <c r="U200" s="22">
        <f t="shared" si="22"/>
        <v>0</v>
      </c>
      <c r="V200" s="22">
        <f t="shared" si="22"/>
        <v>0</v>
      </c>
      <c r="W200" s="22"/>
    </row>
    <row r="201" spans="6:23" x14ac:dyDescent="0.2">
      <c r="F201" s="987"/>
      <c r="G201" s="987"/>
      <c r="H201" s="987"/>
      <c r="I201" s="987"/>
      <c r="J201" s="987"/>
      <c r="K201" s="987"/>
      <c r="P201" s="993">
        <f t="shared" ref="P201:V201" si="24">P183-G183</f>
        <v>-19.915143202801119</v>
      </c>
      <c r="Q201" s="993">
        <f t="shared" si="24"/>
        <v>-18.975686438148841</v>
      </c>
      <c r="R201" s="993">
        <f t="shared" si="24"/>
        <v>-27.543900724544073</v>
      </c>
      <c r="S201" s="993">
        <f t="shared" si="24"/>
        <v>-4.787170872776187</v>
      </c>
      <c r="T201" s="993">
        <f t="shared" si="24"/>
        <v>-42.651899999997113</v>
      </c>
      <c r="U201" s="993">
        <f t="shared" si="24"/>
        <v>-34.380369851860451</v>
      </c>
      <c r="V201" s="993">
        <f t="shared" si="24"/>
        <v>-15.65457809594227</v>
      </c>
      <c r="W201" s="22"/>
    </row>
    <row r="202" spans="6:23" x14ac:dyDescent="0.2">
      <c r="F202" s="987"/>
      <c r="G202" s="987"/>
      <c r="H202" s="987"/>
      <c r="I202" s="987"/>
      <c r="J202" s="987"/>
      <c r="K202" s="987"/>
    </row>
    <row r="203" spans="6:23" x14ac:dyDescent="0.2">
      <c r="F203" s="987"/>
      <c r="G203" s="987"/>
      <c r="H203" s="987"/>
      <c r="I203" s="987"/>
      <c r="J203" s="987"/>
      <c r="K203" s="987"/>
    </row>
    <row r="204" spans="6:23" x14ac:dyDescent="0.2">
      <c r="F204" s="987"/>
      <c r="G204" s="987"/>
      <c r="H204" s="987"/>
      <c r="I204" s="987"/>
      <c r="J204" s="987"/>
      <c r="K204" s="987"/>
    </row>
    <row r="205" spans="6:23" x14ac:dyDescent="0.2">
      <c r="F205" s="987"/>
      <c r="G205" s="987"/>
      <c r="H205" s="987"/>
      <c r="I205" s="987"/>
      <c r="J205" s="987"/>
      <c r="K205" s="987"/>
    </row>
    <row r="206" spans="6:23" x14ac:dyDescent="0.2">
      <c r="F206" s="987"/>
    </row>
    <row r="207" spans="6:23" x14ac:dyDescent="0.2">
      <c r="F207" s="987"/>
    </row>
    <row r="208" spans="6:23" x14ac:dyDescent="0.2">
      <c r="F208" s="987"/>
    </row>
    <row r="209" spans="6:26" x14ac:dyDescent="0.2">
      <c r="F209" s="987"/>
    </row>
    <row r="210" spans="6:26" x14ac:dyDescent="0.2">
      <c r="F210" s="987"/>
    </row>
    <row r="211" spans="6:26" x14ac:dyDescent="0.2">
      <c r="F211" s="987"/>
    </row>
    <row r="212" spans="6:26" x14ac:dyDescent="0.2">
      <c r="F212" s="1012" t="s">
        <v>532</v>
      </c>
      <c r="G212" s="1013"/>
      <c r="H212" s="1013"/>
      <c r="I212" s="1013"/>
      <c r="J212" s="1013"/>
      <c r="K212" s="1013"/>
      <c r="L212" s="1013"/>
      <c r="M212" s="1013"/>
      <c r="N212" s="1013"/>
      <c r="O212" s="1013"/>
      <c r="P212" s="1013"/>
      <c r="Q212" s="1013"/>
      <c r="R212" s="1013"/>
      <c r="S212" s="1013"/>
      <c r="T212" s="1013"/>
      <c r="U212" s="1013"/>
      <c r="V212" s="1013"/>
      <c r="W212" s="1013"/>
      <c r="X212" s="1013"/>
      <c r="Y212" s="1013"/>
      <c r="Z212" s="1013"/>
    </row>
    <row r="213" spans="6:26" ht="15.75" thickBot="1" x14ac:dyDescent="0.25">
      <c r="F213" s="1014" t="s">
        <v>533</v>
      </c>
      <c r="G213" s="1015"/>
      <c r="H213" s="1015"/>
      <c r="I213" s="1015"/>
      <c r="J213" s="1015"/>
      <c r="K213" s="1015"/>
      <c r="L213" s="1015"/>
      <c r="M213" s="1015"/>
      <c r="N213" s="1015"/>
      <c r="O213" s="1015"/>
      <c r="P213" s="1015"/>
      <c r="Q213" s="1015"/>
      <c r="R213" s="1015"/>
      <c r="S213" s="1015"/>
      <c r="T213" s="1015"/>
      <c r="U213" s="1015"/>
      <c r="V213" s="1015"/>
      <c r="W213" s="1015"/>
      <c r="X213" s="1015"/>
      <c r="Y213" s="1015"/>
      <c r="Z213" s="1013"/>
    </row>
    <row r="214" spans="6:26" x14ac:dyDescent="0.2">
      <c r="F214" s="1016" t="s">
        <v>534</v>
      </c>
      <c r="G214" s="1016">
        <v>1998</v>
      </c>
      <c r="H214" s="1016">
        <v>1999</v>
      </c>
      <c r="I214" s="1016">
        <v>2000</v>
      </c>
      <c r="J214" s="1016">
        <v>2001</v>
      </c>
      <c r="K214" s="1016">
        <v>2002</v>
      </c>
      <c r="L214" s="1016">
        <v>2003</v>
      </c>
      <c r="M214" s="1016">
        <v>2004</v>
      </c>
      <c r="N214" s="1016">
        <v>2005</v>
      </c>
      <c r="O214" s="1016">
        <v>2006</v>
      </c>
      <c r="P214" s="1016">
        <v>2007</v>
      </c>
      <c r="Q214" s="1016">
        <v>2008</v>
      </c>
      <c r="R214" s="1016">
        <v>2009</v>
      </c>
      <c r="S214" s="1016">
        <v>2010</v>
      </c>
      <c r="T214" s="1016">
        <v>2011</v>
      </c>
      <c r="U214" s="1016">
        <v>2012</v>
      </c>
      <c r="V214" s="1016">
        <v>2013</v>
      </c>
      <c r="W214" s="1016">
        <v>2014</v>
      </c>
      <c r="X214" s="1016">
        <v>2015</v>
      </c>
      <c r="Y214" s="1016">
        <v>2016</v>
      </c>
      <c r="Z214" s="1013"/>
    </row>
    <row r="215" spans="6:26" x14ac:dyDescent="0.2">
      <c r="F215" s="1013" t="s">
        <v>8</v>
      </c>
      <c r="G215" s="1017">
        <v>16.5</v>
      </c>
      <c r="H215" s="1017">
        <v>16.5</v>
      </c>
      <c r="I215" s="1017">
        <v>16.5</v>
      </c>
      <c r="J215" s="1017">
        <v>17.5</v>
      </c>
      <c r="K215" s="1017">
        <v>17.5</v>
      </c>
      <c r="L215" s="1017">
        <v>17.5</v>
      </c>
      <c r="M215" s="1017">
        <v>17.5</v>
      </c>
      <c r="N215" s="1017">
        <v>17.5</v>
      </c>
      <c r="O215" s="1017">
        <v>18</v>
      </c>
      <c r="P215" s="1017">
        <v>18</v>
      </c>
      <c r="Q215" s="1017">
        <v>17</v>
      </c>
      <c r="R215" s="1018">
        <v>17</v>
      </c>
      <c r="S215" s="1018">
        <v>17</v>
      </c>
      <c r="T215" s="1018">
        <v>17</v>
      </c>
      <c r="U215" s="1018">
        <v>17</v>
      </c>
      <c r="V215" s="1018">
        <v>16.75</v>
      </c>
      <c r="W215" s="1019">
        <v>16.75</v>
      </c>
      <c r="X215" s="1018">
        <v>16.75</v>
      </c>
      <c r="Y215" s="1018">
        <v>16.75</v>
      </c>
      <c r="Z215" s="1013"/>
    </row>
    <row r="216" spans="6:26" x14ac:dyDescent="0.2">
      <c r="F216" s="1013" t="s">
        <v>9</v>
      </c>
      <c r="G216" s="1017">
        <v>18</v>
      </c>
      <c r="H216" s="1017">
        <v>17.75</v>
      </c>
      <c r="I216" s="1017">
        <v>17.5</v>
      </c>
      <c r="J216" s="1017">
        <v>17.5</v>
      </c>
      <c r="K216" s="1017">
        <v>17.5</v>
      </c>
      <c r="L216" s="1017">
        <v>17.5</v>
      </c>
      <c r="M216" s="1017">
        <v>17.5</v>
      </c>
      <c r="N216" s="1017">
        <v>17.5</v>
      </c>
      <c r="O216" s="1017">
        <v>18</v>
      </c>
      <c r="P216" s="1017">
        <v>18</v>
      </c>
      <c r="Q216" s="1017">
        <v>18</v>
      </c>
      <c r="R216" s="1018">
        <v>18.25</v>
      </c>
      <c r="S216" s="1018">
        <v>18.25</v>
      </c>
      <c r="T216" s="1018">
        <v>18</v>
      </c>
      <c r="U216" s="1018">
        <v>18</v>
      </c>
      <c r="V216" s="1018">
        <v>18</v>
      </c>
      <c r="W216" s="1019">
        <v>18.5</v>
      </c>
      <c r="X216" s="1018">
        <v>18.5</v>
      </c>
      <c r="Y216" s="1018">
        <v>18.5</v>
      </c>
      <c r="Z216" s="1013"/>
    </row>
    <row r="217" spans="6:26" x14ac:dyDescent="0.2">
      <c r="F217" s="1013" t="s">
        <v>10</v>
      </c>
      <c r="G217" s="1017">
        <v>16.75</v>
      </c>
      <c r="H217" s="1017">
        <v>16.5</v>
      </c>
      <c r="I217" s="1017">
        <v>16.5</v>
      </c>
      <c r="J217" s="1017">
        <v>16.5</v>
      </c>
      <c r="K217" s="1017">
        <v>16.5</v>
      </c>
      <c r="L217" s="1017">
        <v>17</v>
      </c>
      <c r="M217" s="1017">
        <v>17</v>
      </c>
      <c r="N217" s="1017">
        <v>17.5</v>
      </c>
      <c r="O217" s="1017">
        <v>18.25</v>
      </c>
      <c r="P217" s="1017">
        <v>18.25</v>
      </c>
      <c r="Q217" s="1017">
        <v>18.5</v>
      </c>
      <c r="R217" s="1018">
        <v>19.5</v>
      </c>
      <c r="S217" s="1018">
        <v>19.5</v>
      </c>
      <c r="T217" s="1018">
        <v>19.5</v>
      </c>
      <c r="U217" s="1018">
        <v>19.5</v>
      </c>
      <c r="V217" s="1018">
        <v>19.5</v>
      </c>
      <c r="W217" s="1019">
        <v>19.5</v>
      </c>
      <c r="X217" s="1018">
        <v>19.5</v>
      </c>
      <c r="Y217" s="1018">
        <v>19.5</v>
      </c>
      <c r="Z217" s="1013"/>
    </row>
    <row r="218" spans="6:26" x14ac:dyDescent="0.2">
      <c r="F218" s="1013" t="s">
        <v>11</v>
      </c>
      <c r="G218" s="1017">
        <v>16.5</v>
      </c>
      <c r="H218" s="1017">
        <v>16.5</v>
      </c>
      <c r="I218" s="1017">
        <v>16.5</v>
      </c>
      <c r="J218" s="1017">
        <v>16.5</v>
      </c>
      <c r="K218" s="1017">
        <v>16.5</v>
      </c>
      <c r="L218" s="1017">
        <v>16.5</v>
      </c>
      <c r="M218" s="1017">
        <v>16.75</v>
      </c>
      <c r="N218" s="1017">
        <v>17</v>
      </c>
      <c r="O218" s="1017">
        <v>17</v>
      </c>
      <c r="P218" s="1017">
        <v>17</v>
      </c>
      <c r="Q218" s="1017">
        <v>17</v>
      </c>
      <c r="R218" s="1018">
        <v>17</v>
      </c>
      <c r="S218" s="1018">
        <v>17</v>
      </c>
      <c r="T218" s="1018">
        <v>17.25</v>
      </c>
      <c r="U218" s="1018">
        <v>17.25</v>
      </c>
      <c r="V218" s="1018">
        <v>17.25</v>
      </c>
      <c r="W218" s="1019">
        <v>17.25</v>
      </c>
      <c r="X218" s="1018">
        <v>17.25</v>
      </c>
      <c r="Y218" s="1018">
        <v>17.25</v>
      </c>
      <c r="Z218" s="1013"/>
    </row>
    <row r="219" spans="6:26" x14ac:dyDescent="0.2">
      <c r="F219" s="1013" t="s">
        <v>12</v>
      </c>
      <c r="G219" s="1017">
        <v>18</v>
      </c>
      <c r="H219" s="1017">
        <v>18</v>
      </c>
      <c r="I219" s="1017">
        <v>18</v>
      </c>
      <c r="J219" s="1017">
        <v>18</v>
      </c>
      <c r="K219" s="1017">
        <v>18</v>
      </c>
      <c r="L219" s="1017">
        <v>18.5</v>
      </c>
      <c r="M219" s="1017">
        <v>18.5</v>
      </c>
      <c r="N219" s="1017">
        <v>18.5</v>
      </c>
      <c r="O219" s="1017">
        <v>18.5</v>
      </c>
      <c r="P219" s="1017">
        <v>18.5</v>
      </c>
      <c r="Q219" s="1017">
        <v>18.5</v>
      </c>
      <c r="R219" s="1018">
        <v>18.5</v>
      </c>
      <c r="S219" s="1018">
        <v>18.5</v>
      </c>
      <c r="T219" s="1018">
        <v>17.75</v>
      </c>
      <c r="U219" s="1018">
        <v>17.5</v>
      </c>
      <c r="V219" s="1018">
        <v>17.5</v>
      </c>
      <c r="W219" s="1019">
        <v>17.5</v>
      </c>
      <c r="X219" s="1018">
        <v>17.5</v>
      </c>
      <c r="Y219" s="1018">
        <v>17.5</v>
      </c>
      <c r="Z219" s="1013"/>
    </row>
    <row r="220" spans="6:26" x14ac:dyDescent="0.2">
      <c r="F220" s="1013" t="s">
        <v>13</v>
      </c>
      <c r="G220" s="1017">
        <v>16</v>
      </c>
      <c r="H220" s="1017">
        <v>16</v>
      </c>
      <c r="I220" s="1017">
        <v>16</v>
      </c>
      <c r="J220" s="1017">
        <v>16</v>
      </c>
      <c r="K220" s="1017">
        <v>16</v>
      </c>
      <c r="L220" s="1017">
        <v>16</v>
      </c>
      <c r="M220" s="1017">
        <v>16</v>
      </c>
      <c r="N220" s="1017">
        <v>16</v>
      </c>
      <c r="O220" s="1017">
        <v>17</v>
      </c>
      <c r="P220" s="1017">
        <v>17</v>
      </c>
      <c r="Q220" s="1017">
        <v>16.5</v>
      </c>
      <c r="R220" s="1018">
        <v>16.5</v>
      </c>
      <c r="S220" s="1018">
        <v>16.5</v>
      </c>
      <c r="T220" s="1018">
        <v>16.5</v>
      </c>
      <c r="U220" s="1018">
        <v>16.5</v>
      </c>
      <c r="V220" s="1018">
        <v>16.5</v>
      </c>
      <c r="W220" s="1019">
        <v>17.25</v>
      </c>
      <c r="X220" s="1018">
        <v>17.25</v>
      </c>
      <c r="Y220" s="1018">
        <v>17.25</v>
      </c>
      <c r="Z220" s="1013"/>
    </row>
    <row r="221" spans="6:26" x14ac:dyDescent="0.2">
      <c r="F221" s="1013" t="s">
        <v>14</v>
      </c>
      <c r="G221" s="1017">
        <v>16.5</v>
      </c>
      <c r="H221" s="1017">
        <v>16.5</v>
      </c>
      <c r="I221" s="1017">
        <v>16.5</v>
      </c>
      <c r="J221" s="1017">
        <v>16.5</v>
      </c>
      <c r="K221" s="1017">
        <v>16.5</v>
      </c>
      <c r="L221" s="1017">
        <v>16.5</v>
      </c>
      <c r="M221" s="1017">
        <v>17</v>
      </c>
      <c r="N221" s="1017">
        <v>17</v>
      </c>
      <c r="O221" s="1017">
        <v>17</v>
      </c>
      <c r="P221" s="1017">
        <v>17</v>
      </c>
      <c r="Q221" s="1017">
        <v>17</v>
      </c>
      <c r="R221" s="1018">
        <v>17</v>
      </c>
      <c r="S221" s="1018">
        <v>17</v>
      </c>
      <c r="T221" s="1018">
        <v>17</v>
      </c>
      <c r="U221" s="1018">
        <v>17</v>
      </c>
      <c r="V221" s="1018">
        <v>17</v>
      </c>
      <c r="W221" s="1019">
        <v>17</v>
      </c>
      <c r="X221" s="1018">
        <v>17</v>
      </c>
      <c r="Y221" s="1018">
        <v>17</v>
      </c>
      <c r="Z221" s="1013"/>
    </row>
    <row r="222" spans="6:26" x14ac:dyDescent="0.2">
      <c r="F222" s="1013" t="s">
        <v>15</v>
      </c>
      <c r="G222" s="1017">
        <v>18.5</v>
      </c>
      <c r="H222" s="1017">
        <v>18.5</v>
      </c>
      <c r="I222" s="1017">
        <v>18.5</v>
      </c>
      <c r="J222" s="1017">
        <v>18.5</v>
      </c>
      <c r="K222" s="1017">
        <v>18.5</v>
      </c>
      <c r="L222" s="1017">
        <v>18.5</v>
      </c>
      <c r="M222" s="1017">
        <v>18.5</v>
      </c>
      <c r="N222" s="1017">
        <v>18.5</v>
      </c>
      <c r="O222" s="1017">
        <v>18.5</v>
      </c>
      <c r="P222" s="1017">
        <v>18.5</v>
      </c>
      <c r="Q222" s="1017">
        <v>18.5</v>
      </c>
      <c r="R222" s="1018">
        <v>18.5</v>
      </c>
      <c r="S222" s="1018">
        <v>18.5</v>
      </c>
      <c r="T222" s="1018">
        <v>18.5</v>
      </c>
      <c r="U222" s="1018">
        <v>18.5</v>
      </c>
      <c r="V222" s="1018">
        <v>18.5</v>
      </c>
      <c r="W222" s="1019">
        <v>18.5</v>
      </c>
      <c r="X222" s="1018">
        <v>18.5</v>
      </c>
      <c r="Y222" s="1018">
        <v>19</v>
      </c>
      <c r="Z222" s="1013"/>
    </row>
    <row r="223" spans="6:26" x14ac:dyDescent="0.2">
      <c r="F223" s="1013" t="s">
        <v>16</v>
      </c>
      <c r="G223" s="1017">
        <v>17.5</v>
      </c>
      <c r="H223" s="1017">
        <v>17.5</v>
      </c>
      <c r="I223" s="1017">
        <v>17.5</v>
      </c>
      <c r="J223" s="1017">
        <v>17.5</v>
      </c>
      <c r="K223" s="1017">
        <v>17.5</v>
      </c>
      <c r="L223" s="1017">
        <v>18.5</v>
      </c>
      <c r="M223" s="1017">
        <v>18.5</v>
      </c>
      <c r="N223" s="1017">
        <v>18.5</v>
      </c>
      <c r="O223" s="1017">
        <v>18.5</v>
      </c>
      <c r="P223" s="1017">
        <v>18.5</v>
      </c>
      <c r="Q223" s="1017">
        <v>18.5</v>
      </c>
      <c r="R223" s="1018">
        <v>18.5</v>
      </c>
      <c r="S223" s="1018">
        <v>18.5</v>
      </c>
      <c r="T223" s="1018">
        <v>18.5</v>
      </c>
      <c r="U223" s="1018">
        <v>19.5</v>
      </c>
      <c r="V223" s="1018">
        <v>19.5</v>
      </c>
      <c r="W223" s="1019">
        <v>19.75</v>
      </c>
      <c r="X223" s="1018">
        <v>19.75</v>
      </c>
      <c r="Y223" s="1018">
        <v>19.75</v>
      </c>
      <c r="Z223" s="1013"/>
    </row>
    <row r="224" spans="6:26" x14ac:dyDescent="0.2">
      <c r="F224" s="1013" t="s">
        <v>17</v>
      </c>
      <c r="G224" s="1017">
        <v>16.5</v>
      </c>
      <c r="H224" s="1017">
        <v>16.5</v>
      </c>
      <c r="I224" s="1017">
        <v>16.5</v>
      </c>
      <c r="J224" s="1017">
        <v>17</v>
      </c>
      <c r="K224" s="1017">
        <v>17</v>
      </c>
      <c r="L224" s="1017">
        <v>17</v>
      </c>
      <c r="M224" s="1017">
        <v>17</v>
      </c>
      <c r="N224" s="1017">
        <v>17</v>
      </c>
      <c r="O224" s="1017">
        <v>17</v>
      </c>
      <c r="P224" s="1017">
        <v>17</v>
      </c>
      <c r="Q224" s="1017">
        <v>17</v>
      </c>
      <c r="R224" s="1018">
        <v>16.5</v>
      </c>
      <c r="S224" s="1018">
        <v>16.5</v>
      </c>
      <c r="T224" s="1018">
        <v>16.5</v>
      </c>
      <c r="U224" s="1018">
        <v>16.25</v>
      </c>
      <c r="V224" s="1018">
        <v>16.25</v>
      </c>
      <c r="W224" s="1019">
        <v>16.75</v>
      </c>
      <c r="X224" s="1018">
        <v>16.75</v>
      </c>
      <c r="Y224" s="1018">
        <v>16.75</v>
      </c>
      <c r="Z224" s="1013"/>
    </row>
    <row r="225" spans="6:38" x14ac:dyDescent="0.2">
      <c r="F225" s="1013" t="s">
        <v>18</v>
      </c>
      <c r="G225" s="1017">
        <v>18.5</v>
      </c>
      <c r="H225" s="1017">
        <v>18.5</v>
      </c>
      <c r="I225" s="1017">
        <v>18.5</v>
      </c>
      <c r="J225" s="1017">
        <v>18.5</v>
      </c>
      <c r="K225" s="1017">
        <v>18.5</v>
      </c>
      <c r="L225" s="1017">
        <v>18.5</v>
      </c>
      <c r="M225" s="1017">
        <v>18.5</v>
      </c>
      <c r="N225" s="1017">
        <v>18.5</v>
      </c>
      <c r="O225" s="1017">
        <v>18.5</v>
      </c>
      <c r="P225" s="1017">
        <v>18.5</v>
      </c>
      <c r="Q225" s="1017">
        <v>18.5</v>
      </c>
      <c r="R225" s="1018">
        <v>18.5</v>
      </c>
      <c r="S225" s="1018">
        <v>18.5</v>
      </c>
      <c r="T225" s="1018">
        <v>18.5</v>
      </c>
      <c r="U225" s="1018">
        <v>18.5</v>
      </c>
      <c r="V225" s="1018">
        <v>18.5</v>
      </c>
      <c r="W225" s="1019">
        <v>19.5</v>
      </c>
      <c r="X225" s="1018">
        <v>19.5</v>
      </c>
      <c r="Y225" s="1018">
        <v>19.5</v>
      </c>
      <c r="Z225" s="1013"/>
    </row>
    <row r="226" spans="6:38" x14ac:dyDescent="0.2">
      <c r="F226" s="1013" t="s">
        <v>19</v>
      </c>
      <c r="G226" s="1017">
        <v>16.75</v>
      </c>
      <c r="H226" s="1017">
        <v>16.75</v>
      </c>
      <c r="I226" s="1017">
        <v>16.75</v>
      </c>
      <c r="J226" s="1017">
        <v>17</v>
      </c>
      <c r="K226" s="1017">
        <v>17</v>
      </c>
      <c r="L226" s="1017">
        <v>17</v>
      </c>
      <c r="M226" s="1017">
        <v>17</v>
      </c>
      <c r="N226" s="1017">
        <v>17.25</v>
      </c>
      <c r="O226" s="1017">
        <v>17.5</v>
      </c>
      <c r="P226" s="1017">
        <v>17</v>
      </c>
      <c r="Q226" s="1017">
        <v>16.75</v>
      </c>
      <c r="R226" s="1018">
        <v>16.5</v>
      </c>
      <c r="S226" s="1018">
        <v>16.25</v>
      </c>
      <c r="T226" s="1018">
        <v>16.25</v>
      </c>
      <c r="U226" s="1018">
        <v>16.25</v>
      </c>
      <c r="V226" s="1018">
        <v>16.25</v>
      </c>
      <c r="W226" s="1019">
        <v>16.75</v>
      </c>
      <c r="X226" s="1018">
        <v>16.75</v>
      </c>
      <c r="Y226" s="1018">
        <v>16.75</v>
      </c>
      <c r="Z226" s="1013"/>
    </row>
    <row r="227" spans="6:38" x14ac:dyDescent="0.2">
      <c r="F227" s="1013" t="s">
        <v>20</v>
      </c>
      <c r="G227" s="1017">
        <v>17.5</v>
      </c>
      <c r="H227" s="1017">
        <v>17.5</v>
      </c>
      <c r="I227" s="1017">
        <v>17</v>
      </c>
      <c r="J227" s="1017">
        <v>17</v>
      </c>
      <c r="K227" s="1017">
        <v>17</v>
      </c>
      <c r="L227" s="1017">
        <v>17.5</v>
      </c>
      <c r="M227" s="1017">
        <v>17.5</v>
      </c>
      <c r="N227" s="1017">
        <v>17.5</v>
      </c>
      <c r="O227" s="1017">
        <v>17.5</v>
      </c>
      <c r="P227" s="1017">
        <v>17.5</v>
      </c>
      <c r="Q227" s="1017">
        <v>17.5</v>
      </c>
      <c r="R227" s="1018">
        <v>17.5</v>
      </c>
      <c r="S227" s="1018">
        <v>17.5</v>
      </c>
      <c r="T227" s="1018">
        <v>18</v>
      </c>
      <c r="U227" s="1018">
        <v>18</v>
      </c>
      <c r="V227" s="1018">
        <v>18</v>
      </c>
      <c r="W227" s="1019">
        <v>18</v>
      </c>
      <c r="X227" s="1018">
        <v>18</v>
      </c>
      <c r="Y227" s="1018">
        <v>18</v>
      </c>
      <c r="Z227" s="1013"/>
    </row>
    <row r="228" spans="6:38" x14ac:dyDescent="0.2">
      <c r="F228" s="1013" t="s">
        <v>21</v>
      </c>
      <c r="G228" s="1017">
        <v>18.75</v>
      </c>
      <c r="H228" s="1017">
        <v>18.75</v>
      </c>
      <c r="I228" s="1017">
        <v>18</v>
      </c>
      <c r="J228" s="1017">
        <v>18</v>
      </c>
      <c r="K228" s="1017">
        <v>18</v>
      </c>
      <c r="L228" s="1017">
        <v>18.5</v>
      </c>
      <c r="M228" s="1017">
        <v>18.5</v>
      </c>
      <c r="N228" s="1017">
        <v>18.5</v>
      </c>
      <c r="O228" s="1017">
        <v>18.5</v>
      </c>
      <c r="P228" s="1017">
        <v>18.5</v>
      </c>
      <c r="Q228" s="1017">
        <v>18.5</v>
      </c>
      <c r="R228" s="1018">
        <v>18.5</v>
      </c>
      <c r="S228" s="1018">
        <v>18.5</v>
      </c>
      <c r="T228" s="1018">
        <v>18.5</v>
      </c>
      <c r="U228" s="1018">
        <v>19</v>
      </c>
      <c r="V228" s="1018">
        <v>19</v>
      </c>
      <c r="W228" s="1019">
        <v>19.5</v>
      </c>
      <c r="X228" s="1018">
        <v>19.5</v>
      </c>
      <c r="Y228" s="1018">
        <v>19.5</v>
      </c>
      <c r="Z228" s="1013"/>
    </row>
    <row r="229" spans="6:38" x14ac:dyDescent="0.2">
      <c r="F229" s="1013" t="s">
        <v>22</v>
      </c>
      <c r="G229" s="1017">
        <v>18</v>
      </c>
      <c r="H229" s="1017">
        <v>18</v>
      </c>
      <c r="I229" s="1017">
        <v>17</v>
      </c>
      <c r="J229" s="1017">
        <v>17</v>
      </c>
      <c r="K229" s="1017">
        <v>17</v>
      </c>
      <c r="L229" s="1017">
        <v>17</v>
      </c>
      <c r="M229" s="1017">
        <v>17.5</v>
      </c>
      <c r="N229" s="1017">
        <v>17.5</v>
      </c>
      <c r="O229" s="1017">
        <v>17.5</v>
      </c>
      <c r="P229" s="1017">
        <v>17.5</v>
      </c>
      <c r="Q229" s="1017">
        <v>17.5</v>
      </c>
      <c r="R229" s="1018">
        <v>17.5</v>
      </c>
      <c r="S229" s="1018">
        <v>17.5</v>
      </c>
      <c r="T229" s="1018">
        <v>17.5</v>
      </c>
      <c r="U229" s="1018">
        <v>18</v>
      </c>
      <c r="V229" s="1018">
        <v>18</v>
      </c>
      <c r="W229" s="1019">
        <v>18.5</v>
      </c>
      <c r="X229" s="1018">
        <v>18.5</v>
      </c>
      <c r="Y229" s="1018">
        <v>19</v>
      </c>
      <c r="Z229" s="1013"/>
    </row>
    <row r="230" spans="6:38" x14ac:dyDescent="0.2">
      <c r="F230" s="1013" t="s">
        <v>23</v>
      </c>
      <c r="G230" s="1017">
        <v>16</v>
      </c>
      <c r="H230" s="1017">
        <v>16</v>
      </c>
      <c r="I230" s="1017">
        <v>16</v>
      </c>
      <c r="J230" s="1017">
        <v>16</v>
      </c>
      <c r="K230" s="1017">
        <v>16</v>
      </c>
      <c r="L230" s="1017">
        <v>16</v>
      </c>
      <c r="M230" s="1017">
        <v>16</v>
      </c>
      <c r="N230" s="1017">
        <v>16</v>
      </c>
      <c r="O230" s="1017">
        <v>16</v>
      </c>
      <c r="P230" s="1017">
        <v>16</v>
      </c>
      <c r="Q230" s="1017">
        <v>16</v>
      </c>
      <c r="R230" s="1018">
        <v>16.5</v>
      </c>
      <c r="S230" s="1018">
        <v>16.5</v>
      </c>
      <c r="T230" s="1018">
        <v>16.5</v>
      </c>
      <c r="U230" s="1018">
        <v>16.5</v>
      </c>
      <c r="V230" s="1018">
        <v>16.5</v>
      </c>
      <c r="W230" s="1019">
        <v>17.25</v>
      </c>
      <c r="X230" s="1018">
        <v>17.75</v>
      </c>
      <c r="Y230" s="1018">
        <v>17.75</v>
      </c>
      <c r="Z230" s="1013"/>
    </row>
    <row r="231" spans="6:38" x14ac:dyDescent="0.2">
      <c r="F231" s="1013" t="s">
        <v>535</v>
      </c>
      <c r="G231" s="1017">
        <v>16.92861316582621</v>
      </c>
      <c r="H231" s="1017">
        <v>16.877523095040171</v>
      </c>
      <c r="I231" s="1017">
        <v>16.794440619044678</v>
      </c>
      <c r="J231" s="1017">
        <v>16.905586628118996</v>
      </c>
      <c r="K231" s="1017">
        <v>16.906224747232237</v>
      </c>
      <c r="L231" s="1017">
        <v>17.049404505016259</v>
      </c>
      <c r="M231" s="1017">
        <v>17.186867254223664</v>
      </c>
      <c r="N231" s="1017">
        <v>17.296537210806481</v>
      </c>
      <c r="O231" s="1017">
        <v>17.566572038423331</v>
      </c>
      <c r="P231" s="1017">
        <v>17.508543413533154</v>
      </c>
      <c r="Q231" s="1017">
        <v>17.442911374493757</v>
      </c>
      <c r="R231" s="1018">
        <v>17.519558108292063</v>
      </c>
      <c r="S231" s="1018">
        <v>17.489999999999998</v>
      </c>
      <c r="T231" s="1018">
        <v>17.46</v>
      </c>
      <c r="U231" s="1018">
        <v>17.47</v>
      </c>
      <c r="V231" s="1018">
        <v>17.455446549521589</v>
      </c>
      <c r="W231" s="1019">
        <v>17.71</v>
      </c>
      <c r="X231" s="1018">
        <v>17.71</v>
      </c>
      <c r="Y231" s="1018">
        <v>17.73</v>
      </c>
      <c r="Z231" s="1013"/>
    </row>
    <row r="232" spans="6:38" x14ac:dyDescent="0.2">
      <c r="F232" s="1013" t="s">
        <v>536</v>
      </c>
      <c r="G232" s="1017">
        <v>16.870129636510612</v>
      </c>
      <c r="H232" s="1017">
        <v>16.809301471354814</v>
      </c>
      <c r="I232" s="1017">
        <v>16.743984472727181</v>
      </c>
      <c r="J232" s="1017">
        <v>16.837561154942779</v>
      </c>
      <c r="K232" s="1017">
        <v>16.841974329790286</v>
      </c>
      <c r="L232" s="1017">
        <v>16.984220755651826</v>
      </c>
      <c r="M232" s="1017">
        <v>17.122941313092106</v>
      </c>
      <c r="N232" s="1017">
        <v>17.240237322462672</v>
      </c>
      <c r="O232" s="1017">
        <v>17.535965842231271</v>
      </c>
      <c r="P232" s="1017">
        <v>17.465671293459419</v>
      </c>
      <c r="Q232" s="1017">
        <v>17.427408957959546</v>
      </c>
      <c r="R232" s="1018">
        <v>17.516826386690674</v>
      </c>
      <c r="S232" s="1018">
        <v>17.48</v>
      </c>
      <c r="T232" s="1018">
        <v>17.43</v>
      </c>
      <c r="U232" s="1018">
        <v>17.420000000000002</v>
      </c>
      <c r="V232" s="1018">
        <v>17.416038905179551</v>
      </c>
      <c r="W232" s="1019">
        <v>17.690000000000001</v>
      </c>
      <c r="X232" s="1018">
        <v>17.690000000000001</v>
      </c>
      <c r="Y232" s="1018">
        <v>17.690000000000001</v>
      </c>
      <c r="Z232" s="1013"/>
    </row>
    <row r="233" spans="6:38" x14ac:dyDescent="0.2">
      <c r="F233" s="1013" t="s">
        <v>537</v>
      </c>
      <c r="G233" s="1017">
        <v>17.266453420657445</v>
      </c>
      <c r="H233" s="1017">
        <v>17.277721287949191</v>
      </c>
      <c r="I233" s="1017">
        <v>17.091608940267804</v>
      </c>
      <c r="J233" s="1017">
        <v>17.304560491694961</v>
      </c>
      <c r="K233" s="1017">
        <v>17.300296977139414</v>
      </c>
      <c r="L233" s="1017">
        <v>17.450263254768316</v>
      </c>
      <c r="M233" s="1017">
        <v>17.584191918377137</v>
      </c>
      <c r="N233" s="1017">
        <v>17.651722137619984</v>
      </c>
      <c r="O233" s="1017">
        <v>17.757507575095453</v>
      </c>
      <c r="P233" s="1017">
        <v>17.771860128381807</v>
      </c>
      <c r="Q233" s="1017">
        <v>17.540783578376985</v>
      </c>
      <c r="R233" s="1018">
        <v>17.537590990639607</v>
      </c>
      <c r="S233" s="1018">
        <v>17.55</v>
      </c>
      <c r="T233" s="1018">
        <v>17.63</v>
      </c>
      <c r="U233" s="1018">
        <v>17.809999999999999</v>
      </c>
      <c r="V233" s="1018">
        <v>17.748428474334965</v>
      </c>
      <c r="W233" s="1019">
        <v>17.88</v>
      </c>
      <c r="X233" s="1018">
        <v>17.88</v>
      </c>
      <c r="Y233" s="1018">
        <v>18.05</v>
      </c>
      <c r="Z233" s="1013"/>
    </row>
    <row r="234" spans="6:38" ht="15.75" thickBot="1" x14ac:dyDescent="0.25">
      <c r="F234" s="1015" t="s">
        <v>24</v>
      </c>
      <c r="G234" s="1020">
        <v>16.488786909910566</v>
      </c>
      <c r="H234" s="1020">
        <v>16.46138603308594</v>
      </c>
      <c r="I234" s="1020">
        <v>16.422636909676751</v>
      </c>
      <c r="J234" s="1020">
        <v>16.481131758030021</v>
      </c>
      <c r="K234" s="1020">
        <v>16.480018393199654</v>
      </c>
      <c r="L234" s="1020">
        <v>16.562301984889462</v>
      </c>
      <c r="M234" s="1020">
        <v>16.635221058300111</v>
      </c>
      <c r="N234" s="1020">
        <v>16.691771669588999</v>
      </c>
      <c r="O234" s="1020">
        <v>16.839161121538613</v>
      </c>
      <c r="P234" s="1020">
        <v>16.807932304608453</v>
      </c>
      <c r="Q234" s="1020">
        <v>16.783858188705608</v>
      </c>
      <c r="R234" s="1021">
        <v>17.0518530729804</v>
      </c>
      <c r="S234" s="1021">
        <v>17.037808667410477</v>
      </c>
      <c r="T234" s="1021">
        <v>17.02964471081135</v>
      </c>
      <c r="U234" s="1021">
        <v>17.03</v>
      </c>
      <c r="V234" s="1021">
        <v>17.030243232124764</v>
      </c>
      <c r="W234" s="1022">
        <v>17.510000000000002</v>
      </c>
      <c r="X234" s="1022">
        <v>17.73</v>
      </c>
      <c r="Y234" s="1021">
        <v>17.739999999999998</v>
      </c>
      <c r="Z234" s="1013"/>
    </row>
    <row r="235" spans="6:38" x14ac:dyDescent="0.2">
      <c r="F235" s="1023" t="s">
        <v>538</v>
      </c>
      <c r="G235" s="1013"/>
      <c r="H235" s="1013"/>
      <c r="I235" s="1013"/>
      <c r="J235" s="1013"/>
      <c r="K235" s="1013"/>
      <c r="L235" s="1013"/>
      <c r="M235" s="1013"/>
      <c r="N235" s="1013"/>
      <c r="O235" s="1013"/>
      <c r="P235" s="1013"/>
      <c r="Q235" s="1013"/>
      <c r="R235" s="1013"/>
      <c r="S235" s="1013"/>
      <c r="T235" s="1013"/>
      <c r="U235" s="1013"/>
      <c r="V235" s="1013"/>
      <c r="W235" s="1013"/>
      <c r="X235" s="1013"/>
      <c r="Y235" s="1013"/>
      <c r="Z235" s="1013"/>
    </row>
    <row r="236" spans="6:38" x14ac:dyDescent="0.2">
      <c r="F236" s="1023" t="s">
        <v>539</v>
      </c>
      <c r="G236" s="1013"/>
      <c r="H236" s="1013"/>
      <c r="I236" s="1013"/>
      <c r="J236" s="1013"/>
      <c r="K236" s="1013"/>
      <c r="L236" s="1013"/>
      <c r="M236" s="1013"/>
      <c r="N236" s="1013"/>
      <c r="O236" s="1013"/>
      <c r="P236" s="1013"/>
      <c r="Q236" s="1013"/>
      <c r="R236" s="1013"/>
      <c r="S236" s="1013"/>
      <c r="U236" s="1013"/>
      <c r="V236" s="1013"/>
      <c r="W236" s="1013"/>
      <c r="X236" s="1013"/>
      <c r="Y236" s="1013"/>
      <c r="Z236" s="1013"/>
    </row>
    <row r="237" spans="6:38" ht="15.75" x14ac:dyDescent="0.25">
      <c r="F237" s="1024" t="s">
        <v>540</v>
      </c>
      <c r="G237" s="1013"/>
      <c r="H237" s="1013"/>
      <c r="I237" s="1013"/>
      <c r="J237" s="1013"/>
      <c r="K237" s="1013"/>
      <c r="L237" s="1013"/>
      <c r="M237" s="1013"/>
      <c r="N237" s="1013"/>
      <c r="O237" s="1013"/>
      <c r="P237" s="1013"/>
      <c r="Q237" s="1013"/>
      <c r="R237" s="1013"/>
      <c r="S237" s="1013"/>
      <c r="T237" s="1326" t="s">
        <v>713</v>
      </c>
      <c r="U237" s="1013"/>
      <c r="V237" s="1013"/>
      <c r="W237" s="1013"/>
      <c r="X237" s="1013"/>
      <c r="Y237" s="1013"/>
      <c r="Z237" s="1013"/>
    </row>
    <row r="238" spans="6:38" ht="15.75" thickBot="1" x14ac:dyDescent="0.25">
      <c r="N238" s="1" t="s">
        <v>707</v>
      </c>
      <c r="O238" s="115">
        <f>H258/G258</f>
        <v>1.0078227266670325</v>
      </c>
      <c r="Q238" s="1" t="s">
        <v>707</v>
      </c>
      <c r="R238" s="1318">
        <f>I258/H258</f>
        <v>1.002</v>
      </c>
      <c r="X238" s="115"/>
      <c r="AA238" s="1318"/>
    </row>
    <row r="239" spans="6:38" x14ac:dyDescent="0.2">
      <c r="K239" s="651" t="s">
        <v>625</v>
      </c>
      <c r="L239" s="1187"/>
      <c r="N239" s="651" t="s">
        <v>625</v>
      </c>
      <c r="O239" s="1187"/>
      <c r="Q239" s="651" t="s">
        <v>625</v>
      </c>
      <c r="R239" s="1187"/>
      <c r="T239" s="651" t="s">
        <v>625</v>
      </c>
      <c r="U239" s="1187"/>
      <c r="W239" s="651" t="s">
        <v>625</v>
      </c>
      <c r="X239" s="1187"/>
      <c r="Z239" s="651" t="s">
        <v>625</v>
      </c>
      <c r="AA239" s="1187"/>
      <c r="AF239" s="329" t="s">
        <v>708</v>
      </c>
      <c r="AG239" s="330"/>
      <c r="AH239" s="331"/>
      <c r="AJ239" s="329" t="s">
        <v>709</v>
      </c>
      <c r="AK239" s="330"/>
      <c r="AL239" s="331"/>
    </row>
    <row r="240" spans="6:38" x14ac:dyDescent="0.2">
      <c r="F240" s="1174" t="s">
        <v>624</v>
      </c>
      <c r="G240" s="1175"/>
      <c r="H240" s="1175"/>
      <c r="I240" s="1176" t="s">
        <v>589</v>
      </c>
      <c r="K240" s="347" t="s">
        <v>712</v>
      </c>
      <c r="L240" s="1188" t="s">
        <v>627</v>
      </c>
      <c r="N240" s="347" t="s">
        <v>626</v>
      </c>
      <c r="O240" s="1188" t="s">
        <v>627</v>
      </c>
      <c r="Q240" s="347" t="s">
        <v>626</v>
      </c>
      <c r="R240" s="1188" t="s">
        <v>627</v>
      </c>
      <c r="T240" s="347" t="s">
        <v>626</v>
      </c>
      <c r="U240" s="1188" t="s">
        <v>627</v>
      </c>
      <c r="W240" s="347" t="s">
        <v>626</v>
      </c>
      <c r="X240" s="1188" t="s">
        <v>627</v>
      </c>
      <c r="Z240" s="347" t="s">
        <v>626</v>
      </c>
      <c r="AA240" s="1188" t="s">
        <v>627</v>
      </c>
      <c r="AF240" s="335"/>
      <c r="AG240" s="336"/>
      <c r="AH240" s="337" t="s">
        <v>710</v>
      </c>
      <c r="AJ240" s="335"/>
      <c r="AK240" s="336"/>
      <c r="AL240" s="337" t="s">
        <v>710</v>
      </c>
    </row>
    <row r="241" spans="6:38" ht="15.75" thickBot="1" x14ac:dyDescent="0.25">
      <c r="F241" s="1177"/>
      <c r="G241" s="1191">
        <v>2013</v>
      </c>
      <c r="H241" s="1191">
        <v>2014</v>
      </c>
      <c r="I241" s="1192">
        <v>2015</v>
      </c>
      <c r="J241" s="288"/>
      <c r="K241" s="1193">
        <v>2013</v>
      </c>
      <c r="L241" s="1194">
        <v>2013</v>
      </c>
      <c r="N241" s="1193">
        <v>2014</v>
      </c>
      <c r="O241" s="1194">
        <v>2014</v>
      </c>
      <c r="Q241" s="1193">
        <v>2015</v>
      </c>
      <c r="R241" s="1194">
        <v>2015</v>
      </c>
      <c r="T241" s="1193">
        <v>2013</v>
      </c>
      <c r="U241" s="1194">
        <v>2013</v>
      </c>
      <c r="W241" s="1193">
        <v>2014</v>
      </c>
      <c r="X241" s="1194">
        <v>2014</v>
      </c>
      <c r="Z241" s="1193">
        <v>2015</v>
      </c>
      <c r="AA241" s="1194">
        <v>2015</v>
      </c>
      <c r="AF241" s="1322">
        <v>2013</v>
      </c>
      <c r="AG241" s="1321">
        <v>2014</v>
      </c>
      <c r="AH241" s="1323">
        <v>2015</v>
      </c>
      <c r="AJ241" s="1322">
        <v>2013</v>
      </c>
      <c r="AK241" s="1321">
        <v>2014</v>
      </c>
      <c r="AL241" s="1323">
        <v>2015</v>
      </c>
    </row>
    <row r="242" spans="6:38" x14ac:dyDescent="0.2">
      <c r="F242" s="1178" t="s">
        <v>8</v>
      </c>
      <c r="G242" s="1169">
        <v>2555000</v>
      </c>
      <c r="H242" s="1170">
        <v>2431000</v>
      </c>
      <c r="I242" s="1179">
        <v>2435862</v>
      </c>
      <c r="K242" s="1189">
        <v>230000</v>
      </c>
      <c r="L242" s="1190">
        <v>276972</v>
      </c>
      <c r="N242" s="1189">
        <f>K242*($H$258/$G$258)</f>
        <v>231799.22713341747</v>
      </c>
      <c r="O242" s="1189">
        <f>L242*($H$258/$G$258)</f>
        <v>279138.67625042133</v>
      </c>
      <c r="Q242" s="1189">
        <f>N242*($I$258/$H$258)</f>
        <v>232262.82558768432</v>
      </c>
      <c r="R242" s="1190">
        <f>O242*($I$258/$H$258)</f>
        <v>279696.95360292215</v>
      </c>
      <c r="T242" s="1189">
        <f>K242*(Kontrollpanel!$D$40)</f>
        <v>197800</v>
      </c>
      <c r="U242" s="1189">
        <f>L242*(Kontrollpanel!$D$40)</f>
        <v>238195.91999999998</v>
      </c>
      <c r="W242" s="1189">
        <f>N242*(Kontrollpanel!$D$40)</f>
        <v>199347.33533473904</v>
      </c>
      <c r="X242" s="1189">
        <f>O242*(Kontrollpanel!$D$40)</f>
        <v>240059.26157536232</v>
      </c>
      <c r="Z242" s="1189">
        <f>Q242*(Kontrollpanel!$D$40)</f>
        <v>199746.03000540851</v>
      </c>
      <c r="AA242" s="1190">
        <f>R242*(Kontrollpanel!$D$40)</f>
        <v>240539.38009851304</v>
      </c>
      <c r="AF242" s="996">
        <v>731000</v>
      </c>
      <c r="AG242" s="932">
        <v>703000</v>
      </c>
      <c r="AH242" s="932">
        <v>704406</v>
      </c>
      <c r="AJ242" s="996">
        <v>1020000</v>
      </c>
      <c r="AK242" s="932">
        <v>952000</v>
      </c>
      <c r="AL242" s="932">
        <v>953904</v>
      </c>
    </row>
    <row r="243" spans="6:38" x14ac:dyDescent="0.2">
      <c r="F243" s="1178" t="s">
        <v>9</v>
      </c>
      <c r="G243" s="1169">
        <v>4841000</v>
      </c>
      <c r="H243" s="1171">
        <v>4903000</v>
      </c>
      <c r="I243" s="1180">
        <v>4912806</v>
      </c>
      <c r="K243" s="1189">
        <v>918000</v>
      </c>
      <c r="L243" s="1190">
        <v>670703</v>
      </c>
      <c r="N243" s="1189">
        <f t="shared" ref="N243:O258" si="25">K243*($H$258/$G$258)</f>
        <v>925181.26308033592</v>
      </c>
      <c r="O243" s="1189">
        <f t="shared" si="25"/>
        <v>675949.72624375869</v>
      </c>
      <c r="Q243" s="1189">
        <f t="shared" ref="Q243:Q258" si="26">N243*($I$258/$H$258)</f>
        <v>927031.62560649659</v>
      </c>
      <c r="R243" s="1190">
        <f t="shared" ref="R243:R258" si="27">O243*($I$258/$H$258)</f>
        <v>677301.62569624616</v>
      </c>
      <c r="T243" s="1189">
        <f>K243*(Kontrollpanel!$D$40)</f>
        <v>789480</v>
      </c>
      <c r="U243" s="1189">
        <f>L243*(Kontrollpanel!$D$40)</f>
        <v>576804.57999999996</v>
      </c>
      <c r="W243" s="1189">
        <f>N243*(Kontrollpanel!$D$40)</f>
        <v>795655.88624908892</v>
      </c>
      <c r="X243" s="1189">
        <f>O243*(Kontrollpanel!$D$40)</f>
        <v>581316.76456963248</v>
      </c>
      <c r="Z243" s="1189">
        <f>Q243*(Kontrollpanel!$D$40)</f>
        <v>797247.1980215871</v>
      </c>
      <c r="AA243" s="1190">
        <f>R243*(Kontrollpanel!$D$40)</f>
        <v>582479.39809877169</v>
      </c>
      <c r="AF243" s="999">
        <v>1189000</v>
      </c>
      <c r="AG243" s="934">
        <v>1190000</v>
      </c>
      <c r="AH243" s="934">
        <v>1192380</v>
      </c>
      <c r="AJ243" s="999">
        <v>2566000</v>
      </c>
      <c r="AK243" s="934">
        <v>2778000</v>
      </c>
      <c r="AL243" s="934">
        <v>2783556</v>
      </c>
    </row>
    <row r="244" spans="6:38" x14ac:dyDescent="0.2">
      <c r="F244" s="1178" t="s">
        <v>10</v>
      </c>
      <c r="G244" s="1169">
        <v>11224000</v>
      </c>
      <c r="H244" s="1171">
        <v>11050000</v>
      </c>
      <c r="I244" s="1180">
        <v>11072100</v>
      </c>
      <c r="K244" s="1189">
        <v>1443000</v>
      </c>
      <c r="L244" s="1190">
        <v>1540251</v>
      </c>
      <c r="N244" s="1189">
        <f t="shared" si="25"/>
        <v>1454288.194580528</v>
      </c>
      <c r="O244" s="1189">
        <f t="shared" si="25"/>
        <v>1552299.9625716235</v>
      </c>
      <c r="Q244" s="1189">
        <f t="shared" si="26"/>
        <v>1457196.7709696891</v>
      </c>
      <c r="R244" s="1190">
        <f t="shared" si="27"/>
        <v>1555404.5624967667</v>
      </c>
      <c r="T244" s="1189">
        <f>K244*(Kontrollpanel!$D$40)</f>
        <v>1240980</v>
      </c>
      <c r="U244" s="1189">
        <f>L244*(Kontrollpanel!$D$40)</f>
        <v>1324615.8599999999</v>
      </c>
      <c r="W244" s="1189">
        <f>N244*(Kontrollpanel!$D$40)</f>
        <v>1250687.8473392541</v>
      </c>
      <c r="X244" s="1189">
        <f>O244*(Kontrollpanel!$D$40)</f>
        <v>1334977.9678115961</v>
      </c>
      <c r="Z244" s="1189">
        <f>Q244*(Kontrollpanel!$D$40)</f>
        <v>1253189.2230339327</v>
      </c>
      <c r="AA244" s="1190">
        <f>R244*(Kontrollpanel!$D$40)</f>
        <v>1337647.9237472194</v>
      </c>
      <c r="AF244" s="999">
        <v>3593000</v>
      </c>
      <c r="AG244" s="934">
        <v>3606000</v>
      </c>
      <c r="AH244" s="934">
        <v>3613212</v>
      </c>
      <c r="AJ244" s="999">
        <v>5880000</v>
      </c>
      <c r="AK244" s="934">
        <v>5750000</v>
      </c>
      <c r="AL244" s="934">
        <v>5761500</v>
      </c>
    </row>
    <row r="245" spans="6:38" x14ac:dyDescent="0.2">
      <c r="F245" s="1178" t="s">
        <v>11</v>
      </c>
      <c r="G245" s="1169">
        <v>3152000</v>
      </c>
      <c r="H245" s="1171">
        <v>3152000</v>
      </c>
      <c r="I245" s="1180">
        <v>3158304</v>
      </c>
      <c r="K245" s="1189">
        <v>147000</v>
      </c>
      <c r="L245" s="1190">
        <v>360347</v>
      </c>
      <c r="N245" s="1189">
        <f t="shared" si="25"/>
        <v>148149.94082005377</v>
      </c>
      <c r="O245" s="1189">
        <f t="shared" si="25"/>
        <v>363165.89608628518</v>
      </c>
      <c r="Q245" s="1189">
        <f t="shared" si="26"/>
        <v>148446.24070169387</v>
      </c>
      <c r="R245" s="1190">
        <f t="shared" si="27"/>
        <v>363892.22787845775</v>
      </c>
      <c r="T245" s="1189">
        <f>K245*(Kontrollpanel!$D$40)</f>
        <v>126420</v>
      </c>
      <c r="U245" s="1189">
        <f>L245*(Kontrollpanel!$D$40)</f>
        <v>309898.42</v>
      </c>
      <c r="W245" s="1189">
        <f>N245*(Kontrollpanel!$D$40)</f>
        <v>127408.94910524624</v>
      </c>
      <c r="X245" s="1189">
        <f>O245*(Kontrollpanel!$D$40)</f>
        <v>312322.67063420528</v>
      </c>
      <c r="Z245" s="1189">
        <f>Q245*(Kontrollpanel!$D$40)</f>
        <v>127663.76700345673</v>
      </c>
      <c r="AA245" s="1190">
        <f>R245*(Kontrollpanel!$D$40)</f>
        <v>312947.31597547367</v>
      </c>
      <c r="AF245" s="999">
        <v>977000</v>
      </c>
      <c r="AG245" s="934">
        <v>987000</v>
      </c>
      <c r="AH245" s="934">
        <v>988974</v>
      </c>
      <c r="AJ245" s="999">
        <v>1509000</v>
      </c>
      <c r="AK245" s="934">
        <v>1466000</v>
      </c>
      <c r="AL245" s="934">
        <v>1468932</v>
      </c>
    </row>
    <row r="246" spans="6:38" x14ac:dyDescent="0.2">
      <c r="F246" s="1178" t="s">
        <v>12</v>
      </c>
      <c r="G246" s="1169">
        <v>2517000</v>
      </c>
      <c r="H246" s="1171">
        <v>2736000</v>
      </c>
      <c r="I246" s="1180">
        <v>2741472</v>
      </c>
      <c r="K246" s="1189">
        <v>650000</v>
      </c>
      <c r="L246" s="1190">
        <v>280470</v>
      </c>
      <c r="N246" s="1189">
        <f t="shared" si="25"/>
        <v>655084.77233357111</v>
      </c>
      <c r="O246" s="1189">
        <f t="shared" si="25"/>
        <v>282664.04014830262</v>
      </c>
      <c r="Q246" s="1189">
        <f t="shared" si="26"/>
        <v>656394.94187823823</v>
      </c>
      <c r="R246" s="1190">
        <f t="shared" si="27"/>
        <v>283229.36822859925</v>
      </c>
      <c r="T246" s="1189">
        <f>K246*(Kontrollpanel!$D$40)</f>
        <v>559000</v>
      </c>
      <c r="U246" s="1189">
        <f>L246*(Kontrollpanel!$D$40)</f>
        <v>241204.19999999998</v>
      </c>
      <c r="W246" s="1189">
        <f>N246*(Kontrollpanel!$D$40)</f>
        <v>563372.90420687117</v>
      </c>
      <c r="X246" s="1189">
        <f>O246*(Kontrollpanel!$D$40)</f>
        <v>243091.07452754024</v>
      </c>
      <c r="Z246" s="1189">
        <f>Q246*(Kontrollpanel!$D$40)</f>
        <v>564499.65001528489</v>
      </c>
      <c r="AA246" s="1190">
        <f>R246*(Kontrollpanel!$D$40)</f>
        <v>243577.25667659537</v>
      </c>
      <c r="AF246" s="999">
        <v>759000</v>
      </c>
      <c r="AG246" s="934">
        <v>815000</v>
      </c>
      <c r="AH246" s="934">
        <v>816630</v>
      </c>
      <c r="AJ246" s="999">
        <v>1469000</v>
      </c>
      <c r="AK246" s="934">
        <v>1658000</v>
      </c>
      <c r="AL246" s="934">
        <v>1661316</v>
      </c>
    </row>
    <row r="247" spans="6:38" x14ac:dyDescent="0.2">
      <c r="F247" s="1178" t="s">
        <v>13</v>
      </c>
      <c r="G247" s="1169">
        <v>6805000</v>
      </c>
      <c r="H247" s="1171">
        <v>6849000</v>
      </c>
      <c r="I247" s="1180">
        <v>6862698</v>
      </c>
      <c r="K247" s="1189">
        <v>970000</v>
      </c>
      <c r="L247" s="1190">
        <v>940630</v>
      </c>
      <c r="N247" s="1189">
        <f t="shared" si="25"/>
        <v>977588.04486702161</v>
      </c>
      <c r="O247" s="1189">
        <f t="shared" si="25"/>
        <v>947988.29138481081</v>
      </c>
      <c r="Q247" s="1189">
        <f t="shared" si="26"/>
        <v>979543.22095675569</v>
      </c>
      <c r="R247" s="1190">
        <f t="shared" si="27"/>
        <v>949884.26796758047</v>
      </c>
      <c r="T247" s="1189">
        <f>K247*(Kontrollpanel!$D$40)</f>
        <v>834200</v>
      </c>
      <c r="U247" s="1189">
        <f>L247*(Kontrollpanel!$D$40)</f>
        <v>808941.79999999993</v>
      </c>
      <c r="W247" s="1189">
        <f>N247*(Kontrollpanel!$D$40)</f>
        <v>840725.71858563856</v>
      </c>
      <c r="X247" s="1189">
        <f>O247*(Kontrollpanel!$D$40)</f>
        <v>815269.93059093726</v>
      </c>
      <c r="Z247" s="1189">
        <f>Q247*(Kontrollpanel!$D$40)</f>
        <v>842407.17002280988</v>
      </c>
      <c r="AA247" s="1190">
        <f>R247*(Kontrollpanel!$D$40)</f>
        <v>816900.47045211925</v>
      </c>
      <c r="AF247" s="999">
        <v>2196000</v>
      </c>
      <c r="AG247" s="934">
        <v>2206000</v>
      </c>
      <c r="AH247" s="934">
        <v>2210412</v>
      </c>
      <c r="AJ247" s="999">
        <v>3629000</v>
      </c>
      <c r="AK247" s="934">
        <v>3786000</v>
      </c>
      <c r="AL247" s="934">
        <v>3793572</v>
      </c>
    </row>
    <row r="248" spans="6:38" x14ac:dyDescent="0.2">
      <c r="F248" s="1178" t="s">
        <v>14</v>
      </c>
      <c r="G248" s="1169">
        <v>17323000</v>
      </c>
      <c r="H248" s="1172">
        <v>18222000</v>
      </c>
      <c r="I248" s="1181">
        <v>18258444</v>
      </c>
      <c r="K248" s="1189">
        <v>2148000</v>
      </c>
      <c r="L248" s="1190">
        <v>2548325</v>
      </c>
      <c r="N248" s="1189">
        <f t="shared" si="25"/>
        <v>2164803.2168807858</v>
      </c>
      <c r="O248" s="1189">
        <f t="shared" si="25"/>
        <v>2568259.8499337658</v>
      </c>
      <c r="Q248" s="1189">
        <f t="shared" si="26"/>
        <v>2169132.8233145475</v>
      </c>
      <c r="R248" s="1190">
        <f t="shared" si="27"/>
        <v>2573396.3696336332</v>
      </c>
      <c r="T248" s="1189">
        <f>K248*(Kontrollpanel!$D$40)</f>
        <v>1847280</v>
      </c>
      <c r="U248" s="1189">
        <f>L248*(Kontrollpanel!$D$40)</f>
        <v>2191559.5</v>
      </c>
      <c r="W248" s="1189">
        <f>N248*(Kontrollpanel!$D$40)</f>
        <v>1861730.7665174757</v>
      </c>
      <c r="X248" s="1189">
        <f>O248*(Kontrollpanel!$D$40)</f>
        <v>2208703.4709430384</v>
      </c>
      <c r="Z248" s="1189">
        <f>Q248*(Kontrollpanel!$D$40)</f>
        <v>1865454.2280505109</v>
      </c>
      <c r="AA248" s="1190">
        <f>R248*(Kontrollpanel!$D$40)</f>
        <v>2213120.8778849244</v>
      </c>
      <c r="AF248" s="995">
        <v>5921000</v>
      </c>
      <c r="AG248" s="935">
        <v>6338000</v>
      </c>
      <c r="AH248" s="935">
        <v>6350676</v>
      </c>
      <c r="AJ248" s="995">
        <v>9387000</v>
      </c>
      <c r="AK248" s="935">
        <v>9903000</v>
      </c>
      <c r="AL248" s="935">
        <v>9922806</v>
      </c>
    </row>
    <row r="249" spans="6:38" x14ac:dyDescent="0.2">
      <c r="F249" s="1178" t="s">
        <v>15</v>
      </c>
      <c r="G249" s="1169">
        <v>1911000</v>
      </c>
      <c r="H249" s="1172">
        <v>1814000</v>
      </c>
      <c r="I249" s="1181">
        <v>1817628</v>
      </c>
      <c r="K249" s="1189">
        <v>105000</v>
      </c>
      <c r="L249" s="1190">
        <v>226753</v>
      </c>
      <c r="N249" s="1189">
        <f t="shared" si="25"/>
        <v>105821.38630003842</v>
      </c>
      <c r="O249" s="1189">
        <f t="shared" si="25"/>
        <v>228526.82673992962</v>
      </c>
      <c r="Q249" s="1189">
        <f t="shared" si="26"/>
        <v>106033.0290726385</v>
      </c>
      <c r="R249" s="1190">
        <f t="shared" si="27"/>
        <v>228983.88039340949</v>
      </c>
      <c r="T249" s="1189">
        <f>K249*(Kontrollpanel!$D$40)</f>
        <v>90300</v>
      </c>
      <c r="U249" s="1189">
        <f>L249*(Kontrollpanel!$D$40)</f>
        <v>195007.58</v>
      </c>
      <c r="W249" s="1189">
        <f>N249*(Kontrollpanel!$D$40)</f>
        <v>91006.392218033041</v>
      </c>
      <c r="X249" s="1189">
        <f>O249*(Kontrollpanel!$D$40)</f>
        <v>196533.07099633946</v>
      </c>
      <c r="Z249" s="1189">
        <f>Q249*(Kontrollpanel!$D$40)</f>
        <v>91188.40500246911</v>
      </c>
      <c r="AA249" s="1190">
        <f>R249*(Kontrollpanel!$D$40)</f>
        <v>196926.13713833215</v>
      </c>
      <c r="AF249" s="995">
        <v>537000</v>
      </c>
      <c r="AG249" s="935">
        <v>501000</v>
      </c>
      <c r="AH249" s="935">
        <v>502002</v>
      </c>
      <c r="AJ249" s="995">
        <v>898000</v>
      </c>
      <c r="AK249" s="935">
        <v>842000</v>
      </c>
      <c r="AL249" s="935">
        <v>843684</v>
      </c>
    </row>
    <row r="250" spans="6:38" x14ac:dyDescent="0.2">
      <c r="F250" s="1178" t="s">
        <v>16</v>
      </c>
      <c r="G250" s="1169">
        <v>1542000</v>
      </c>
      <c r="H250" s="1173">
        <v>1464000</v>
      </c>
      <c r="I250" s="1182">
        <v>1466928</v>
      </c>
      <c r="K250" s="1189">
        <v>30000</v>
      </c>
      <c r="L250" s="1190">
        <v>162302</v>
      </c>
      <c r="N250" s="1189">
        <f t="shared" si="25"/>
        <v>30234.681800010978</v>
      </c>
      <c r="O250" s="1189">
        <f t="shared" si="25"/>
        <v>163571.64418351272</v>
      </c>
      <c r="Q250" s="1189">
        <f t="shared" si="26"/>
        <v>30295.151163611001</v>
      </c>
      <c r="R250" s="1190">
        <f t="shared" si="27"/>
        <v>163898.78747187974</v>
      </c>
      <c r="T250" s="1189">
        <f>K250*(Kontrollpanel!$D$40)</f>
        <v>25800</v>
      </c>
      <c r="U250" s="1189">
        <f>L250*(Kontrollpanel!$D$40)</f>
        <v>139579.72</v>
      </c>
      <c r="W250" s="1189">
        <f>N250*(Kontrollpanel!$D$40)</f>
        <v>26001.826348009439</v>
      </c>
      <c r="X250" s="1189">
        <f>O250*(Kontrollpanel!$D$40)</f>
        <v>140671.61399782094</v>
      </c>
      <c r="Z250" s="1189">
        <f>Q250*(Kontrollpanel!$D$40)</f>
        <v>26053.83000070546</v>
      </c>
      <c r="AA250" s="1190">
        <f>R250*(Kontrollpanel!$D$40)</f>
        <v>140952.95722581659</v>
      </c>
      <c r="AF250" s="938">
        <v>504000</v>
      </c>
      <c r="AG250" s="936">
        <v>495000</v>
      </c>
      <c r="AH250" s="936">
        <v>495990</v>
      </c>
      <c r="AJ250" s="938">
        <v>846000</v>
      </c>
      <c r="AK250" s="936">
        <v>853000</v>
      </c>
      <c r="AL250" s="936">
        <v>854706</v>
      </c>
    </row>
    <row r="251" spans="6:38" x14ac:dyDescent="0.2">
      <c r="F251" s="1178" t="s">
        <v>17</v>
      </c>
      <c r="G251" s="1169">
        <v>8575000</v>
      </c>
      <c r="H251" s="1171">
        <v>8903000</v>
      </c>
      <c r="I251" s="1180">
        <v>8920806</v>
      </c>
      <c r="K251" s="1189">
        <v>1125000</v>
      </c>
      <c r="L251" s="1190">
        <v>997421</v>
      </c>
      <c r="N251" s="1189">
        <f t="shared" si="25"/>
        <v>1133800.5675004115</v>
      </c>
      <c r="O251" s="1189">
        <f t="shared" si="25"/>
        <v>1005223.5518549583</v>
      </c>
      <c r="Q251" s="1189">
        <f t="shared" si="26"/>
        <v>1136068.1686354124</v>
      </c>
      <c r="R251" s="1190">
        <f t="shared" si="27"/>
        <v>1007233.9989586682</v>
      </c>
      <c r="T251" s="1189">
        <f>K251*(Kontrollpanel!$D$40)</f>
        <v>967500</v>
      </c>
      <c r="U251" s="1189">
        <f>L251*(Kontrollpanel!$D$40)</f>
        <v>857782.05999999994</v>
      </c>
      <c r="W251" s="1189">
        <f>N251*(Kontrollpanel!$D$40)</f>
        <v>975068.48805035395</v>
      </c>
      <c r="X251" s="1189">
        <f>O251*(Kontrollpanel!$D$40)</f>
        <v>864492.25459526409</v>
      </c>
      <c r="Z251" s="1189">
        <f>Q251*(Kontrollpanel!$D$40)</f>
        <v>977018.62502645457</v>
      </c>
      <c r="AA251" s="1190">
        <f>R251*(Kontrollpanel!$D$40)</f>
        <v>866221.23910445464</v>
      </c>
      <c r="AF251" s="999">
        <v>3367000</v>
      </c>
      <c r="AG251" s="934">
        <v>3406000</v>
      </c>
      <c r="AH251" s="934">
        <v>3412812</v>
      </c>
      <c r="AJ251" s="999">
        <v>3720000</v>
      </c>
      <c r="AK251" s="934">
        <v>3974000</v>
      </c>
      <c r="AL251" s="934">
        <v>3981948</v>
      </c>
    </row>
    <row r="252" spans="6:38" x14ac:dyDescent="0.2">
      <c r="F252" s="1178" t="s">
        <v>18</v>
      </c>
      <c r="G252" s="1169">
        <v>2288000</v>
      </c>
      <c r="H252" s="1171">
        <v>2288000</v>
      </c>
      <c r="I252" s="1180">
        <v>2292576</v>
      </c>
      <c r="K252" s="1189">
        <v>152000</v>
      </c>
      <c r="L252" s="1190">
        <v>222018</v>
      </c>
      <c r="N252" s="1189">
        <f t="shared" si="25"/>
        <v>153189.05445338893</v>
      </c>
      <c r="O252" s="1189">
        <f t="shared" si="25"/>
        <v>223754.78612916122</v>
      </c>
      <c r="Q252" s="1189">
        <f t="shared" si="26"/>
        <v>153495.43256229573</v>
      </c>
      <c r="R252" s="1190">
        <f t="shared" si="27"/>
        <v>224202.29570141956</v>
      </c>
      <c r="T252" s="1189">
        <f>K252*(Kontrollpanel!$D$40)</f>
        <v>130720</v>
      </c>
      <c r="U252" s="1189">
        <f>L252*(Kontrollpanel!$D$40)</f>
        <v>190935.48</v>
      </c>
      <c r="W252" s="1189">
        <f>N252*(Kontrollpanel!$D$40)</f>
        <v>131742.58682991448</v>
      </c>
      <c r="X252" s="1189">
        <f>O252*(Kontrollpanel!$D$40)</f>
        <v>192429.11607107864</v>
      </c>
      <c r="Z252" s="1189">
        <f>Q252*(Kontrollpanel!$D$40)</f>
        <v>132006.07200357431</v>
      </c>
      <c r="AA252" s="1190">
        <f>R252*(Kontrollpanel!$D$40)</f>
        <v>192813.97430322081</v>
      </c>
      <c r="AF252" s="999">
        <v>770000</v>
      </c>
      <c r="AG252" s="934">
        <v>704000</v>
      </c>
      <c r="AH252" s="934">
        <v>705408</v>
      </c>
      <c r="AJ252" s="999">
        <v>979000</v>
      </c>
      <c r="AK252" s="934">
        <v>1088000</v>
      </c>
      <c r="AL252" s="934">
        <v>1090176</v>
      </c>
    </row>
    <row r="253" spans="6:38" x14ac:dyDescent="0.2">
      <c r="F253" s="1178" t="s">
        <v>19</v>
      </c>
      <c r="G253" s="1169">
        <v>7858000</v>
      </c>
      <c r="H253" s="1171">
        <v>8116000</v>
      </c>
      <c r="I253" s="1180">
        <v>8132232</v>
      </c>
      <c r="K253" s="1189">
        <v>710000</v>
      </c>
      <c r="L253" s="1190">
        <v>1091427</v>
      </c>
      <c r="N253" s="1189">
        <f t="shared" si="25"/>
        <v>715554.13593359315</v>
      </c>
      <c r="O253" s="1189">
        <f t="shared" si="25"/>
        <v>1099964.9350980194</v>
      </c>
      <c r="Q253" s="1189">
        <f t="shared" si="26"/>
        <v>716985.2442054603</v>
      </c>
      <c r="R253" s="1190">
        <f t="shared" si="27"/>
        <v>1102164.8649682156</v>
      </c>
      <c r="T253" s="1189">
        <f>K253*(Kontrollpanel!$D$40)</f>
        <v>610600</v>
      </c>
      <c r="U253" s="1189">
        <f>L253*(Kontrollpanel!$D$40)</f>
        <v>938627.22</v>
      </c>
      <c r="W253" s="1189">
        <f>N253*(Kontrollpanel!$D$40)</f>
        <v>615376.55690289009</v>
      </c>
      <c r="X253" s="1189">
        <f>O253*(Kontrollpanel!$D$40)</f>
        <v>945969.84418429667</v>
      </c>
      <c r="Z253" s="1189">
        <f>Q253*(Kontrollpanel!$D$40)</f>
        <v>616607.31001669588</v>
      </c>
      <c r="AA253" s="1190">
        <f>R253*(Kontrollpanel!$D$40)</f>
        <v>947861.78387266537</v>
      </c>
      <c r="AF253" s="999">
        <v>2415000</v>
      </c>
      <c r="AG253" s="934">
        <v>2515000</v>
      </c>
      <c r="AH253" s="934">
        <v>2520030</v>
      </c>
      <c r="AJ253" s="999">
        <v>3966000</v>
      </c>
      <c r="AK253" s="934">
        <v>4268000</v>
      </c>
      <c r="AL253" s="934">
        <v>4276536</v>
      </c>
    </row>
    <row r="254" spans="6:38" x14ac:dyDescent="0.2">
      <c r="F254" s="1178" t="s">
        <v>20</v>
      </c>
      <c r="G254" s="1169">
        <v>663000</v>
      </c>
      <c r="H254" s="1171">
        <v>578000</v>
      </c>
      <c r="I254" s="1180">
        <v>579156</v>
      </c>
      <c r="K254" s="1189">
        <v>2000</v>
      </c>
      <c r="L254" s="1190">
        <v>75645</v>
      </c>
      <c r="N254" s="1189">
        <f t="shared" si="25"/>
        <v>2015.645453334065</v>
      </c>
      <c r="O254" s="1189">
        <f t="shared" si="25"/>
        <v>76236.750158727678</v>
      </c>
      <c r="Q254" s="1189">
        <f t="shared" si="26"/>
        <v>2019.6767442407331</v>
      </c>
      <c r="R254" s="1190">
        <f t="shared" si="27"/>
        <v>76389.223659045136</v>
      </c>
      <c r="T254" s="1189">
        <f>K254*(Kontrollpanel!$D$40)</f>
        <v>1720</v>
      </c>
      <c r="U254" s="1189">
        <f>L254*(Kontrollpanel!$D$40)</f>
        <v>65054.7</v>
      </c>
      <c r="W254" s="1189">
        <f>N254*(Kontrollpanel!$D$40)</f>
        <v>1733.4550898672958</v>
      </c>
      <c r="X254" s="1189">
        <f>O254*(Kontrollpanel!$D$40)</f>
        <v>65563.605136505808</v>
      </c>
      <c r="Z254" s="1189">
        <f>Q254*(Kontrollpanel!$D$40)</f>
        <v>1736.9220000470305</v>
      </c>
      <c r="AA254" s="1190">
        <f>R254*(Kontrollpanel!$D$40)</f>
        <v>65694.732346778823</v>
      </c>
      <c r="AF254" s="999">
        <v>156000</v>
      </c>
      <c r="AG254" s="934">
        <v>87000</v>
      </c>
      <c r="AH254" s="934">
        <v>87174</v>
      </c>
      <c r="AJ254" s="999">
        <v>313000</v>
      </c>
      <c r="AK254" s="934">
        <v>285000</v>
      </c>
      <c r="AL254" s="934">
        <v>285570</v>
      </c>
    </row>
    <row r="255" spans="6:38" x14ac:dyDescent="0.2">
      <c r="F255" s="1178" t="s">
        <v>21</v>
      </c>
      <c r="G255" s="1169">
        <v>5377000</v>
      </c>
      <c r="H255" s="1171">
        <v>5239000</v>
      </c>
      <c r="I255" s="1180">
        <v>5249478</v>
      </c>
      <c r="K255" s="1189">
        <v>1070000</v>
      </c>
      <c r="L255" s="1190">
        <v>616576</v>
      </c>
      <c r="N255" s="1189">
        <f t="shared" si="25"/>
        <v>1078370.3175337247</v>
      </c>
      <c r="O255" s="1189">
        <f t="shared" si="25"/>
        <v>621399.3055174523</v>
      </c>
      <c r="Q255" s="1189">
        <f t="shared" si="26"/>
        <v>1080527.0581687922</v>
      </c>
      <c r="R255" s="1190">
        <f t="shared" si="27"/>
        <v>622642.10412848718</v>
      </c>
      <c r="T255" s="1189">
        <f>K255*(Kontrollpanel!$D$40)</f>
        <v>920200</v>
      </c>
      <c r="U255" s="1189">
        <f>L255*(Kontrollpanel!$D$40)</f>
        <v>530255.35999999999</v>
      </c>
      <c r="W255" s="1189">
        <f>N255*(Kontrollpanel!$D$40)</f>
        <v>927398.47307900328</v>
      </c>
      <c r="X255" s="1189">
        <f>O255*(Kontrollpanel!$D$40)</f>
        <v>534403.40274500893</v>
      </c>
      <c r="Z255" s="1189">
        <f>Q255*(Kontrollpanel!$D$40)</f>
        <v>929253.27002516121</v>
      </c>
      <c r="AA255" s="1190">
        <f>R255*(Kontrollpanel!$D$40)</f>
        <v>535472.20955049898</v>
      </c>
      <c r="AF255" s="999">
        <v>1401000</v>
      </c>
      <c r="AG255" s="934">
        <v>1432000</v>
      </c>
      <c r="AH255" s="934">
        <v>1434864</v>
      </c>
      <c r="AJ255" s="999">
        <v>3143000</v>
      </c>
      <c r="AK255" s="934">
        <v>3073000</v>
      </c>
      <c r="AL255" s="934">
        <v>3079146</v>
      </c>
    </row>
    <row r="256" spans="6:38" x14ac:dyDescent="0.2">
      <c r="F256" s="1178" t="s">
        <v>22</v>
      </c>
      <c r="G256" s="1169">
        <v>2483000</v>
      </c>
      <c r="H256" s="1171">
        <v>2513000</v>
      </c>
      <c r="I256" s="1180">
        <v>2518026</v>
      </c>
      <c r="K256" s="1189">
        <v>87000</v>
      </c>
      <c r="L256" s="1190">
        <v>271997</v>
      </c>
      <c r="N256" s="1189">
        <f t="shared" si="25"/>
        <v>87680.577220031832</v>
      </c>
      <c r="O256" s="1189">
        <f t="shared" si="25"/>
        <v>274124.75818525284</v>
      </c>
      <c r="Q256" s="1189">
        <f t="shared" si="26"/>
        <v>87855.938374471894</v>
      </c>
      <c r="R256" s="1190">
        <f t="shared" si="27"/>
        <v>274673.00770162337</v>
      </c>
      <c r="T256" s="1189">
        <f>K256*(Kontrollpanel!$D$40)</f>
        <v>74820</v>
      </c>
      <c r="U256" s="1189">
        <f>L256*(Kontrollpanel!$D$40)</f>
        <v>233917.41999999998</v>
      </c>
      <c r="W256" s="1189">
        <f>N256*(Kontrollpanel!$D$40)</f>
        <v>75405.296409227376</v>
      </c>
      <c r="X256" s="1189">
        <f>O256*(Kontrollpanel!$D$40)</f>
        <v>235747.29203931743</v>
      </c>
      <c r="Z256" s="1189">
        <f>Q256*(Kontrollpanel!$D$40)</f>
        <v>75556.107002045828</v>
      </c>
      <c r="AA256" s="1190">
        <f>R256*(Kontrollpanel!$D$40)</f>
        <v>236218.7866233961</v>
      </c>
      <c r="AF256" s="999">
        <v>680000</v>
      </c>
      <c r="AG256" s="934">
        <v>737000</v>
      </c>
      <c r="AH256" s="934">
        <v>738474</v>
      </c>
      <c r="AJ256" s="999">
        <v>1373000</v>
      </c>
      <c r="AK256" s="934">
        <v>1305000</v>
      </c>
      <c r="AL256" s="934">
        <v>1307610</v>
      </c>
    </row>
    <row r="257" spans="4:38" ht="15.75" thickBot="1" x14ac:dyDescent="0.25">
      <c r="F257" s="1178" t="s">
        <v>23</v>
      </c>
      <c r="G257" s="1169">
        <v>48463000</v>
      </c>
      <c r="H257" s="1171">
        <v>48317000</v>
      </c>
      <c r="I257" s="1180">
        <v>48413634</v>
      </c>
      <c r="K257" s="1189">
        <v>9424000</v>
      </c>
      <c r="L257" s="1190">
        <v>8931114</v>
      </c>
      <c r="N257" s="1189">
        <f t="shared" si="25"/>
        <v>9497721.3761101142</v>
      </c>
      <c r="O257" s="1189">
        <f t="shared" si="25"/>
        <v>9000979.6636541076</v>
      </c>
      <c r="Q257" s="1189">
        <f t="shared" si="26"/>
        <v>9516716.8188623339</v>
      </c>
      <c r="R257" s="1190">
        <f t="shared" si="27"/>
        <v>9018981.6229814161</v>
      </c>
      <c r="T257" s="1189">
        <f>K257*(Kontrollpanel!$D$40)</f>
        <v>8104640</v>
      </c>
      <c r="U257" s="1189">
        <f>L257*(Kontrollpanel!$D$40)</f>
        <v>7680758.04</v>
      </c>
      <c r="W257" s="1189">
        <f>N257*(Kontrollpanel!$D$40)</f>
        <v>8168040.3834546981</v>
      </c>
      <c r="X257" s="1189">
        <f>O257*(Kontrollpanel!$D$40)</f>
        <v>7740842.5107425321</v>
      </c>
      <c r="Z257" s="1189">
        <f>Q257*(Kontrollpanel!$D$40)</f>
        <v>8184376.464221607</v>
      </c>
      <c r="AA257" s="1190">
        <f>R257*(Kontrollpanel!$D$40)</f>
        <v>7756324.1957640173</v>
      </c>
      <c r="AF257" s="999">
        <v>9865000</v>
      </c>
      <c r="AG257" s="934">
        <v>10088000</v>
      </c>
      <c r="AH257" s="934">
        <v>10108176</v>
      </c>
      <c r="AJ257" s="999">
        <v>27636000</v>
      </c>
      <c r="AK257" s="934">
        <v>28583000</v>
      </c>
      <c r="AL257" s="934">
        <v>28640166</v>
      </c>
    </row>
    <row r="258" spans="4:38" ht="16.5" thickBot="1" x14ac:dyDescent="0.3">
      <c r="F258" s="1183" t="s">
        <v>247</v>
      </c>
      <c r="G258" s="1184">
        <v>127577000</v>
      </c>
      <c r="H258" s="1185">
        <v>128575000</v>
      </c>
      <c r="I258" s="1186">
        <v>128832150</v>
      </c>
      <c r="K258" s="471">
        <f>SUM(K242:K257)</f>
        <v>19211000</v>
      </c>
      <c r="L258" s="1319">
        <f>SUM(L242:L257)</f>
        <v>19212951</v>
      </c>
      <c r="N258" s="471">
        <f t="shared" si="25"/>
        <v>19361282.402000364</v>
      </c>
      <c r="O258" s="1320">
        <f t="shared" si="25"/>
        <v>19363248.66414009</v>
      </c>
      <c r="P258" s="5"/>
      <c r="Q258" s="471">
        <f t="shared" si="26"/>
        <v>19400004.966804363</v>
      </c>
      <c r="R258" s="1319">
        <f t="shared" si="27"/>
        <v>19401975.161468372</v>
      </c>
      <c r="T258" s="1189">
        <f>K258*(Kontrollpanel!$D$40)</f>
        <v>16521460</v>
      </c>
      <c r="U258" s="1189">
        <f>L258*(Kontrollpanel!$D$40)</f>
        <v>16523137.859999999</v>
      </c>
      <c r="W258" s="1189">
        <f>N258*(Kontrollpanel!$D$40)</f>
        <v>16650702.865720313</v>
      </c>
      <c r="X258" s="1189">
        <f>O258*(Kontrollpanel!$D$40)</f>
        <v>16652393.851160478</v>
      </c>
      <c r="Y258" s="5"/>
      <c r="Z258" s="1189">
        <f>Q258*(Kontrollpanel!$D$40)</f>
        <v>16684004.271451753</v>
      </c>
      <c r="AA258" s="1190">
        <f>R258*(Kontrollpanel!$D$40)</f>
        <v>16685698.6388628</v>
      </c>
      <c r="AF258" s="1043">
        <v>35061000</v>
      </c>
      <c r="AG258" s="937">
        <v>35810000</v>
      </c>
      <c r="AH258" s="1325">
        <v>35881620</v>
      </c>
      <c r="AJ258" s="1043">
        <v>68334000</v>
      </c>
      <c r="AK258" s="937">
        <v>70564000</v>
      </c>
      <c r="AL258" s="1325">
        <v>70705128</v>
      </c>
    </row>
    <row r="259" spans="4:38" x14ac:dyDescent="0.2">
      <c r="K259" s="22"/>
      <c r="AA259" s="22"/>
      <c r="AF259" s="1324">
        <f>SUM(AF242:AF257)</f>
        <v>35061000</v>
      </c>
      <c r="AG259" s="1324">
        <f t="shared" ref="AG259:AH259" si="28">SUM(AG242:AG257)</f>
        <v>35810000</v>
      </c>
      <c r="AH259" s="1324">
        <f t="shared" si="28"/>
        <v>35881620</v>
      </c>
      <c r="AJ259" s="1324">
        <f>SUM(AJ242:AJ257)</f>
        <v>68334000</v>
      </c>
      <c r="AK259" s="1324">
        <f t="shared" ref="AK259:AL259" si="29">SUM(AK242:AK257)</f>
        <v>70564000</v>
      </c>
      <c r="AL259" s="1324">
        <f t="shared" si="29"/>
        <v>70705128</v>
      </c>
    </row>
    <row r="261" spans="4:38" x14ac:dyDescent="0.2">
      <c r="P261" s="1" t="s">
        <v>703</v>
      </c>
      <c r="Z261" s="1" t="s">
        <v>700</v>
      </c>
    </row>
    <row r="262" spans="4:38" ht="15.75" thickBot="1" x14ac:dyDescent="0.25">
      <c r="E262" s="1" t="s">
        <v>671</v>
      </c>
      <c r="F262" s="1" t="s">
        <v>672</v>
      </c>
      <c r="G262" s="1" t="s">
        <v>673</v>
      </c>
      <c r="L262" s="1" t="s">
        <v>674</v>
      </c>
      <c r="M262" s="1" t="s">
        <v>678</v>
      </c>
      <c r="O262" s="1284" t="s">
        <v>682</v>
      </c>
      <c r="P262" s="743"/>
      <c r="Q262" s="743"/>
      <c r="R262" s="743"/>
      <c r="S262" s="743"/>
      <c r="T262" s="743"/>
      <c r="U262" s="744"/>
    </row>
    <row r="263" spans="4:38" ht="18.75" thickBot="1" x14ac:dyDescent="0.3">
      <c r="D263" s="287"/>
      <c r="E263" s="287">
        <v>2012</v>
      </c>
      <c r="F263" s="287">
        <v>2012</v>
      </c>
      <c r="G263" s="287"/>
      <c r="H263" s="287" t="s">
        <v>683</v>
      </c>
      <c r="I263" s="1285" t="s">
        <v>684</v>
      </c>
      <c r="J263" s="287" t="s">
        <v>685</v>
      </c>
      <c r="K263" s="287"/>
      <c r="L263" s="1285" t="s">
        <v>701</v>
      </c>
      <c r="M263" s="287" t="s">
        <v>686</v>
      </c>
      <c r="N263" s="287"/>
      <c r="O263" s="1286" t="s">
        <v>675</v>
      </c>
      <c r="P263" s="287" t="s">
        <v>676</v>
      </c>
      <c r="Q263" s="287"/>
      <c r="R263" s="287" t="s">
        <v>679</v>
      </c>
      <c r="S263" s="287" t="s">
        <v>680</v>
      </c>
      <c r="T263" s="287" t="s">
        <v>687</v>
      </c>
      <c r="U263" s="1287" t="s">
        <v>681</v>
      </c>
      <c r="V263" s="287" t="s">
        <v>677</v>
      </c>
      <c r="W263" s="224" t="s">
        <v>688</v>
      </c>
      <c r="X263" s="224" t="s">
        <v>689</v>
      </c>
      <c r="Y263" s="224" t="s">
        <v>690</v>
      </c>
      <c r="Z263" s="224"/>
      <c r="AA263" s="1314" t="s">
        <v>388</v>
      </c>
      <c r="AB263" s="224"/>
      <c r="AC263" s="224"/>
    </row>
    <row r="264" spans="4:38" ht="18" x14ac:dyDescent="0.25">
      <c r="D264" s="1" t="s">
        <v>8</v>
      </c>
      <c r="E264" s="1">
        <v>258000</v>
      </c>
      <c r="F264" s="22">
        <v>168748.63026471701</v>
      </c>
      <c r="G264" s="22">
        <f>E264-F264</f>
        <v>89251.369735282991</v>
      </c>
      <c r="H264" s="1288">
        <v>47564.480000000003</v>
      </c>
      <c r="I264" s="1289">
        <f>G264-H264</f>
        <v>41686.889735282988</v>
      </c>
      <c r="J264" s="1289">
        <f>I264/J71</f>
        <v>86.847686948506222</v>
      </c>
      <c r="L264" s="526">
        <v>258000</v>
      </c>
      <c r="M264" s="1290">
        <f>0.8*L264</f>
        <v>206400</v>
      </c>
      <c r="O264" s="1206">
        <f>M264/2</f>
        <v>103200</v>
      </c>
      <c r="P264" s="9">
        <v>154</v>
      </c>
      <c r="Q264" s="222">
        <f t="shared" ref="Q264:Q279" si="30">((P264/$P$280)*$O$280)</f>
        <v>123200</v>
      </c>
      <c r="R264" s="9">
        <v>0.97799999999999998</v>
      </c>
      <c r="S264" s="36">
        <f>Q264*R264</f>
        <v>120489.59999999999</v>
      </c>
      <c r="T264" s="222">
        <f t="shared" ref="T264:T279" si="31">S264*($Q$280/$S$280)</f>
        <v>119253.7565580159</v>
      </c>
      <c r="U264" s="1291">
        <f>SUM(T264+Q264)</f>
        <v>242453.75655801588</v>
      </c>
      <c r="V264" s="22">
        <v>-6456.4925690595901</v>
      </c>
      <c r="W264" s="22">
        <f>U264-V264</f>
        <v>248910.24912707548</v>
      </c>
      <c r="X264" s="1292">
        <f>G264-W264</f>
        <v>-159658.87939179249</v>
      </c>
      <c r="Y264" s="22">
        <v>286390.31669501687</v>
      </c>
      <c r="Z264" s="1292">
        <f>W264-Y264</f>
        <v>-37480.067567941383</v>
      </c>
      <c r="AA264" s="1315">
        <f>Z264/K71</f>
        <v>-78.739637747776015</v>
      </c>
      <c r="AB264" s="22">
        <f>AA264-J264</f>
        <v>-165.58732469628222</v>
      </c>
      <c r="AC264" s="1" t="s">
        <v>8</v>
      </c>
    </row>
    <row r="265" spans="4:38" ht="18" x14ac:dyDescent="0.25">
      <c r="D265" s="1" t="s">
        <v>9</v>
      </c>
      <c r="E265" s="1">
        <v>853000</v>
      </c>
      <c r="F265" s="22">
        <v>412417.50531899609</v>
      </c>
      <c r="G265" s="22">
        <f t="shared" ref="G265:G279" si="32">E265-F265</f>
        <v>440582.49468100391</v>
      </c>
      <c r="H265" s="1288">
        <v>389107.48</v>
      </c>
      <c r="I265" s="1293">
        <f t="shared" ref="I265:I279" si="33">G265-H265</f>
        <v>51475.01468100393</v>
      </c>
      <c r="J265" s="1293">
        <f t="shared" ref="J265:J280" si="34">I265/J72</f>
        <v>52.632939346629783</v>
      </c>
      <c r="L265" s="532">
        <v>853000</v>
      </c>
      <c r="M265" s="1290">
        <f t="shared" ref="M265:M278" si="35">0.8*L265</f>
        <v>682400</v>
      </c>
      <c r="O265" s="1206">
        <f t="shared" ref="O265:O279" si="36">M265/2</f>
        <v>341200</v>
      </c>
      <c r="P265" s="9">
        <v>289</v>
      </c>
      <c r="Q265" s="222">
        <f t="shared" si="30"/>
        <v>231200</v>
      </c>
      <c r="R265" s="9">
        <v>1.5429999999999999</v>
      </c>
      <c r="S265" s="36">
        <f t="shared" ref="S265:S279" si="37">Q265*R265</f>
        <v>356741.6</v>
      </c>
      <c r="T265" s="222">
        <f t="shared" si="31"/>
        <v>353082.55584313575</v>
      </c>
      <c r="U265" s="1291">
        <f t="shared" ref="U265:U279" si="38">SUM(T265+Q265)</f>
        <v>584282.55584313581</v>
      </c>
      <c r="V265" s="22">
        <v>44873.060741994159</v>
      </c>
      <c r="W265" s="22">
        <f t="shared" ref="W265:W278" si="39">U265-V265</f>
        <v>539409.49510114163</v>
      </c>
      <c r="X265" s="1292">
        <f t="shared" ref="X265:X278" si="40">G265-W265</f>
        <v>-98827.000420137716</v>
      </c>
      <c r="Y265" s="22">
        <v>903505.27774978289</v>
      </c>
      <c r="Z265" s="1292">
        <f t="shared" ref="Z265:Z279" si="41">W265-Y265</f>
        <v>-364095.78264864127</v>
      </c>
      <c r="AA265" s="1315">
        <f t="shared" ref="AA265:AA279" si="42">Z265/K72</f>
        <v>-379.26644025900134</v>
      </c>
      <c r="AB265" s="22">
        <f t="shared" ref="AB265:AB278" si="43">AA265-J265</f>
        <v>-431.89937960563111</v>
      </c>
      <c r="AC265" s="1" t="s">
        <v>9</v>
      </c>
    </row>
    <row r="266" spans="4:38" ht="18" x14ac:dyDescent="0.25">
      <c r="D266" s="1" t="s">
        <v>10</v>
      </c>
      <c r="E266" s="1">
        <v>1457000</v>
      </c>
      <c r="F266" s="22">
        <v>540197.45739375893</v>
      </c>
      <c r="G266" s="22">
        <f t="shared" si="32"/>
        <v>916802.54260624107</v>
      </c>
      <c r="H266" s="1288">
        <v>9982.17</v>
      </c>
      <c r="I266" s="1293">
        <f t="shared" si="33"/>
        <v>906820.37260624103</v>
      </c>
      <c r="J266" s="1293">
        <f t="shared" si="34"/>
        <v>358.85254159328889</v>
      </c>
      <c r="L266" s="532">
        <v>1457000</v>
      </c>
      <c r="M266" s="1290">
        <f t="shared" si="35"/>
        <v>1165600</v>
      </c>
      <c r="O266" s="1206">
        <f t="shared" si="36"/>
        <v>582800</v>
      </c>
      <c r="P266" s="9">
        <v>790</v>
      </c>
      <c r="Q266" s="222">
        <f t="shared" si="30"/>
        <v>632000</v>
      </c>
      <c r="R266" s="9">
        <v>0.84199999999999997</v>
      </c>
      <c r="S266" s="36">
        <f t="shared" si="37"/>
        <v>532144</v>
      </c>
      <c r="T266" s="222">
        <f t="shared" si="31"/>
        <v>526685.88019056269</v>
      </c>
      <c r="U266" s="1291">
        <f t="shared" si="38"/>
        <v>1158685.8801905627</v>
      </c>
      <c r="V266" s="22">
        <v>-122519.32263124496</v>
      </c>
      <c r="W266" s="22">
        <f t="shared" si="39"/>
        <v>1281205.2028218077</v>
      </c>
      <c r="X266" s="1292">
        <f t="shared" si="40"/>
        <v>-364402.66021556663</v>
      </c>
      <c r="Y266" s="22">
        <v>1803315.3670314907</v>
      </c>
      <c r="Z266" s="1292">
        <f t="shared" si="41"/>
        <v>-522110.16420968296</v>
      </c>
      <c r="AA266" s="1315">
        <f t="shared" si="42"/>
        <v>-206.28611782286961</v>
      </c>
      <c r="AB266" s="22">
        <f t="shared" si="43"/>
        <v>-565.13865941615848</v>
      </c>
      <c r="AC266" s="1" t="s">
        <v>10</v>
      </c>
    </row>
    <row r="267" spans="4:38" ht="18" x14ac:dyDescent="0.25">
      <c r="D267" s="1" t="s">
        <v>11</v>
      </c>
      <c r="E267" s="1">
        <v>361000</v>
      </c>
      <c r="F267" s="22">
        <v>121050.88040905696</v>
      </c>
      <c r="G267" s="22">
        <f t="shared" si="32"/>
        <v>239949.11959094304</v>
      </c>
      <c r="H267" s="1288">
        <v>132788.91</v>
      </c>
      <c r="I267" s="1293">
        <f t="shared" si="33"/>
        <v>107160.20959094304</v>
      </c>
      <c r="J267" s="1293">
        <f t="shared" si="34"/>
        <v>185.71960067754426</v>
      </c>
      <c r="L267" s="532">
        <v>361000</v>
      </c>
      <c r="M267" s="1290">
        <f t="shared" si="35"/>
        <v>288800</v>
      </c>
      <c r="O267" s="1206">
        <f t="shared" si="36"/>
        <v>144400</v>
      </c>
      <c r="P267" s="9">
        <v>184</v>
      </c>
      <c r="Q267" s="222">
        <f t="shared" si="30"/>
        <v>147200</v>
      </c>
      <c r="R267" s="9">
        <v>1.024</v>
      </c>
      <c r="S267" s="36">
        <f t="shared" si="37"/>
        <v>150732.80000000002</v>
      </c>
      <c r="T267" s="222">
        <f t="shared" si="31"/>
        <v>149186.75667035248</v>
      </c>
      <c r="U267" s="1291">
        <f t="shared" si="38"/>
        <v>296386.75667035248</v>
      </c>
      <c r="V267" s="22">
        <v>-3488.355256990541</v>
      </c>
      <c r="W267" s="22">
        <f t="shared" si="39"/>
        <v>299875.11192734301</v>
      </c>
      <c r="X267" s="1292">
        <f t="shared" si="40"/>
        <v>-59925.99233639997</v>
      </c>
      <c r="Y267" s="22">
        <v>363223.11878472491</v>
      </c>
      <c r="Z267" s="1292">
        <f t="shared" si="41"/>
        <v>-63348.006857381901</v>
      </c>
      <c r="AA267" s="1315">
        <f t="shared" si="42"/>
        <v>-109.59862778093755</v>
      </c>
      <c r="AB267" s="22">
        <f t="shared" si="43"/>
        <v>-295.31822845848183</v>
      </c>
      <c r="AC267" s="1" t="s">
        <v>11</v>
      </c>
    </row>
    <row r="268" spans="4:38" ht="18" x14ac:dyDescent="0.25">
      <c r="D268" s="1" t="s">
        <v>12</v>
      </c>
      <c r="E268" s="1">
        <v>584000</v>
      </c>
      <c r="F268" s="22">
        <v>246843.09461886273</v>
      </c>
      <c r="G268" s="22">
        <f t="shared" si="32"/>
        <v>337156.90538113727</v>
      </c>
      <c r="H268" s="1288">
        <v>359943.9</v>
      </c>
      <c r="I268" s="1293">
        <f t="shared" si="33"/>
        <v>-22786.994618862751</v>
      </c>
      <c r="J268" s="1293">
        <f t="shared" si="34"/>
        <v>-46.315029713135672</v>
      </c>
      <c r="L268" s="532">
        <v>584000</v>
      </c>
      <c r="M268" s="1290">
        <f t="shared" si="35"/>
        <v>467200</v>
      </c>
      <c r="O268" s="1206">
        <f t="shared" si="36"/>
        <v>233600</v>
      </c>
      <c r="P268" s="9">
        <v>136</v>
      </c>
      <c r="Q268" s="222">
        <f t="shared" si="30"/>
        <v>108800</v>
      </c>
      <c r="R268" s="9">
        <v>0.96699999999999997</v>
      </c>
      <c r="S268" s="36">
        <f t="shared" si="37"/>
        <v>105209.59999999999</v>
      </c>
      <c r="T268" s="222">
        <f t="shared" si="31"/>
        <v>104130.48118647776</v>
      </c>
      <c r="U268" s="1291">
        <f t="shared" si="38"/>
        <v>212930.48118647776</v>
      </c>
      <c r="V268" s="22">
        <v>-27856.289338804512</v>
      </c>
      <c r="W268" s="22">
        <f t="shared" si="39"/>
        <v>240786.77052528228</v>
      </c>
      <c r="X268" s="1292">
        <f t="shared" si="40"/>
        <v>96370.134855854994</v>
      </c>
      <c r="Y268" s="22">
        <v>663842.94209111598</v>
      </c>
      <c r="Z268" s="1292">
        <f t="shared" si="41"/>
        <v>-423056.17156583373</v>
      </c>
      <c r="AA268" s="1315">
        <f t="shared" si="42"/>
        <v>-854.65893245622976</v>
      </c>
      <c r="AB268" s="22">
        <f t="shared" si="43"/>
        <v>-808.34390274309408</v>
      </c>
      <c r="AC268" s="1" t="s">
        <v>12</v>
      </c>
    </row>
    <row r="269" spans="4:38" ht="18" x14ac:dyDescent="0.25">
      <c r="D269" s="1" t="s">
        <v>13</v>
      </c>
      <c r="E269" s="1">
        <v>933000</v>
      </c>
      <c r="F269" s="22">
        <v>363246.19167141343</v>
      </c>
      <c r="G269" s="22">
        <f t="shared" si="32"/>
        <v>569753.80832858663</v>
      </c>
      <c r="H269" s="1288">
        <v>272253.58</v>
      </c>
      <c r="I269" s="1293">
        <f t="shared" si="33"/>
        <v>297500.22832858661</v>
      </c>
      <c r="J269" s="1293">
        <f t="shared" si="34"/>
        <v>194.95427806591522</v>
      </c>
      <c r="L269" s="532">
        <v>933000</v>
      </c>
      <c r="M269" s="1290">
        <f t="shared" si="35"/>
        <v>746400</v>
      </c>
      <c r="O269" s="1206">
        <f t="shared" si="36"/>
        <v>373200</v>
      </c>
      <c r="P269" s="9">
        <v>465</v>
      </c>
      <c r="Q269" s="222">
        <f t="shared" si="30"/>
        <v>372000</v>
      </c>
      <c r="R269" s="9">
        <v>0.94699999999999995</v>
      </c>
      <c r="S269" s="36">
        <f t="shared" si="37"/>
        <v>352284</v>
      </c>
      <c r="T269" s="222">
        <f t="shared" si="31"/>
        <v>348670.67676616134</v>
      </c>
      <c r="U269" s="1291">
        <f t="shared" si="38"/>
        <v>720670.67676616134</v>
      </c>
      <c r="V269" s="22">
        <v>-65926.364824231146</v>
      </c>
      <c r="W269" s="22">
        <f t="shared" si="39"/>
        <v>786597.04159039247</v>
      </c>
      <c r="X269" s="1292">
        <f t="shared" si="40"/>
        <v>-216843.23326180584</v>
      </c>
      <c r="Y269" s="22">
        <v>1270746.9869865838</v>
      </c>
      <c r="Z269" s="1292">
        <f t="shared" si="41"/>
        <v>-484149.94539619132</v>
      </c>
      <c r="AA269" s="1315">
        <f t="shared" si="42"/>
        <v>-318.1011467780495</v>
      </c>
      <c r="AB269" s="22">
        <f t="shared" si="43"/>
        <v>-513.05542484396472</v>
      </c>
      <c r="AC269" s="1" t="s">
        <v>13</v>
      </c>
    </row>
    <row r="270" spans="4:38" ht="18" x14ac:dyDescent="0.25">
      <c r="D270" s="1" t="s">
        <v>14</v>
      </c>
      <c r="E270" s="1">
        <v>2040000</v>
      </c>
      <c r="F270" s="22">
        <v>780586.48116858234</v>
      </c>
      <c r="G270" s="22">
        <f t="shared" si="32"/>
        <v>1259413.5188314177</v>
      </c>
      <c r="H270" s="1288" t="s">
        <v>691</v>
      </c>
      <c r="I270" s="1293">
        <f t="shared" si="33"/>
        <v>1259413.5188314177</v>
      </c>
      <c r="J270" s="1293">
        <f t="shared" si="34"/>
        <v>296.40233439195521</v>
      </c>
      <c r="L270" s="532">
        <v>2040000</v>
      </c>
      <c r="M270" s="1290">
        <f t="shared" si="35"/>
        <v>1632000</v>
      </c>
      <c r="O270" s="1206">
        <f>M270/2</f>
        <v>816000</v>
      </c>
      <c r="P270" s="9">
        <v>1410</v>
      </c>
      <c r="Q270" s="222">
        <f t="shared" si="30"/>
        <v>1128000</v>
      </c>
      <c r="R270" s="9">
        <v>0.70799999999999996</v>
      </c>
      <c r="S270" s="36">
        <f t="shared" si="37"/>
        <v>798624</v>
      </c>
      <c r="T270" s="222">
        <f t="shared" si="31"/>
        <v>790432.63549209968</v>
      </c>
      <c r="U270" s="1291">
        <f t="shared" si="38"/>
        <v>1918432.6354920997</v>
      </c>
      <c r="V270" s="22">
        <v>-313109.27766487596</v>
      </c>
      <c r="W270" s="22">
        <f t="shared" si="39"/>
        <v>2231541.9131569755</v>
      </c>
      <c r="X270" s="1292">
        <f>G270-W270</f>
        <v>-972128.39432555786</v>
      </c>
      <c r="Y270" s="22">
        <v>1869170.9746894664</v>
      </c>
      <c r="Z270" s="1292">
        <f t="shared" si="41"/>
        <v>362370.93846750911</v>
      </c>
      <c r="AA270" s="1315">
        <f t="shared" si="42"/>
        <v>83.208022610220226</v>
      </c>
      <c r="AB270" s="22">
        <f t="shared" si="43"/>
        <v>-213.194311781735</v>
      </c>
      <c r="AC270" s="1" t="s">
        <v>14</v>
      </c>
    </row>
    <row r="271" spans="4:38" ht="18" x14ac:dyDescent="0.25">
      <c r="D271" s="1" t="s">
        <v>15</v>
      </c>
      <c r="E271" s="1">
        <v>113000</v>
      </c>
      <c r="F271" s="22">
        <v>93243.15428695381</v>
      </c>
      <c r="G271" s="22">
        <f t="shared" si="32"/>
        <v>19756.84571304619</v>
      </c>
      <c r="H271" s="1288" t="s">
        <v>691</v>
      </c>
      <c r="I271" s="1293">
        <f t="shared" si="33"/>
        <v>19756.84571304619</v>
      </c>
      <c r="J271" s="1293">
        <f t="shared" si="34"/>
        <v>54.728104468271994</v>
      </c>
      <c r="L271" s="532">
        <v>113000</v>
      </c>
      <c r="M271" s="1290">
        <f t="shared" si="35"/>
        <v>90400</v>
      </c>
      <c r="O271" s="1206">
        <f t="shared" si="36"/>
        <v>45200</v>
      </c>
      <c r="P271" s="9">
        <v>113</v>
      </c>
      <c r="Q271" s="222">
        <f t="shared" si="30"/>
        <v>90400</v>
      </c>
      <c r="R271" s="9">
        <v>1.0129999999999999</v>
      </c>
      <c r="S271" s="36">
        <f t="shared" si="37"/>
        <v>91575.2</v>
      </c>
      <c r="T271" s="222">
        <f t="shared" si="31"/>
        <v>90635.927146837726</v>
      </c>
      <c r="U271" s="1291">
        <f t="shared" si="38"/>
        <v>181035.92714683773</v>
      </c>
      <c r="V271" s="22">
        <v>7931.1448572274703</v>
      </c>
      <c r="W271" s="22">
        <f t="shared" si="39"/>
        <v>173104.78228961024</v>
      </c>
      <c r="X271" s="1292">
        <f t="shared" si="40"/>
        <v>-153347.93657656404</v>
      </c>
      <c r="Y271" s="22">
        <v>232525.63273919254</v>
      </c>
      <c r="Z271" s="1292">
        <f t="shared" si="41"/>
        <v>-59420.8504495823</v>
      </c>
      <c r="AA271" s="1315">
        <f t="shared" si="42"/>
        <v>-175.80133269107191</v>
      </c>
      <c r="AB271" s="22">
        <f t="shared" si="43"/>
        <v>-230.5294371593439</v>
      </c>
      <c r="AC271" s="1" t="s">
        <v>15</v>
      </c>
    </row>
    <row r="272" spans="4:38" ht="18" x14ac:dyDescent="0.25">
      <c r="D272" s="1" t="s">
        <v>16</v>
      </c>
      <c r="E272" s="1">
        <v>42000</v>
      </c>
      <c r="F272" s="22">
        <v>42507.633979673941</v>
      </c>
      <c r="G272" s="22">
        <f t="shared" si="32"/>
        <v>-507.63397967394121</v>
      </c>
      <c r="H272" s="1288">
        <v>106080.11</v>
      </c>
      <c r="I272" s="1293">
        <f t="shared" si="33"/>
        <v>-106587.74397967395</v>
      </c>
      <c r="J272" s="1293">
        <f t="shared" si="34"/>
        <v>-428.06322883403192</v>
      </c>
      <c r="L272" s="532">
        <v>42000</v>
      </c>
      <c r="M272" s="1290">
        <f t="shared" si="35"/>
        <v>33600</v>
      </c>
      <c r="O272" s="1206">
        <f t="shared" si="36"/>
        <v>16800</v>
      </c>
      <c r="P272" s="9">
        <v>76</v>
      </c>
      <c r="Q272" s="222">
        <f t="shared" si="30"/>
        <v>60800</v>
      </c>
      <c r="R272" s="9">
        <v>0.85199999999999998</v>
      </c>
      <c r="S272" s="36">
        <f t="shared" si="37"/>
        <v>51801.599999999999</v>
      </c>
      <c r="T272" s="222">
        <f t="shared" si="31"/>
        <v>51270.27889308054</v>
      </c>
      <c r="U272" s="1291">
        <f t="shared" si="38"/>
        <v>112070.27889308054</v>
      </c>
      <c r="V272" s="22">
        <v>-10269.031874444772</v>
      </c>
      <c r="W272" s="22">
        <f t="shared" si="39"/>
        <v>122339.31076752531</v>
      </c>
      <c r="X272" s="1292">
        <f t="shared" si="40"/>
        <v>-122846.94474719925</v>
      </c>
      <c r="Y272" s="22">
        <v>238511.44748309816</v>
      </c>
      <c r="Z272" s="1292">
        <f t="shared" si="41"/>
        <v>-116172.13671557285</v>
      </c>
      <c r="AA272" s="1315">
        <f t="shared" si="42"/>
        <v>-474.17198659417488</v>
      </c>
      <c r="AB272" s="22">
        <f t="shared" si="43"/>
        <v>-46.108757760142964</v>
      </c>
      <c r="AC272" s="1" t="s">
        <v>16</v>
      </c>
    </row>
    <row r="273" spans="4:29" ht="18" x14ac:dyDescent="0.25">
      <c r="D273" s="1" t="s">
        <v>17</v>
      </c>
      <c r="E273" s="1">
        <v>1363000</v>
      </c>
      <c r="F273" s="22">
        <v>395465.82973430795</v>
      </c>
      <c r="G273" s="22">
        <f t="shared" si="32"/>
        <v>967534.17026569205</v>
      </c>
      <c r="H273" s="1288" t="s">
        <v>691</v>
      </c>
      <c r="I273" s="1293">
        <f t="shared" si="33"/>
        <v>967534.17026569205</v>
      </c>
      <c r="J273" s="1293">
        <f t="shared" si="34"/>
        <v>520.17966143316778</v>
      </c>
      <c r="L273" s="532">
        <v>1363000</v>
      </c>
      <c r="M273" s="1290">
        <f t="shared" si="35"/>
        <v>1090400</v>
      </c>
      <c r="O273" s="1206">
        <f t="shared" si="36"/>
        <v>545200</v>
      </c>
      <c r="P273" s="9">
        <v>605</v>
      </c>
      <c r="Q273" s="222">
        <f t="shared" si="30"/>
        <v>484000</v>
      </c>
      <c r="R273" s="9">
        <v>0.64100000000000001</v>
      </c>
      <c r="S273" s="36">
        <f t="shared" si="37"/>
        <v>310244</v>
      </c>
      <c r="T273" s="222">
        <f t="shared" si="31"/>
        <v>307061.87463137973</v>
      </c>
      <c r="U273" s="1291">
        <f t="shared" si="38"/>
        <v>791061.87463137973</v>
      </c>
      <c r="V273" s="22">
        <v>-159296.81913448116</v>
      </c>
      <c r="W273" s="22">
        <f t="shared" si="39"/>
        <v>950358.69376586087</v>
      </c>
      <c r="X273" s="1292">
        <f t="shared" si="40"/>
        <v>17175.476499831188</v>
      </c>
      <c r="Y273" s="22">
        <v>1018526.508184073</v>
      </c>
      <c r="Z273" s="1292">
        <f t="shared" si="41"/>
        <v>-68167.814418212161</v>
      </c>
      <c r="AA273" s="1315">
        <f t="shared" si="42"/>
        <v>-36.201707072868913</v>
      </c>
      <c r="AB273" s="22">
        <f t="shared" si="43"/>
        <v>-556.38136850603667</v>
      </c>
      <c r="AC273" s="1" t="s">
        <v>17</v>
      </c>
    </row>
    <row r="274" spans="4:29" ht="18" x14ac:dyDescent="0.25">
      <c r="D274" s="1" t="s">
        <v>18</v>
      </c>
      <c r="E274" s="1">
        <v>214000</v>
      </c>
      <c r="F274" s="22">
        <v>78304.663595382255</v>
      </c>
      <c r="G274" s="22">
        <f t="shared" si="32"/>
        <v>135695.33640461776</v>
      </c>
      <c r="H274" s="1288" t="s">
        <v>691</v>
      </c>
      <c r="I274" s="1293">
        <f t="shared" si="33"/>
        <v>135695.33640461776</v>
      </c>
      <c r="J274" s="1293">
        <f t="shared" si="34"/>
        <v>340.08856241758838</v>
      </c>
      <c r="L274" s="532">
        <v>214000</v>
      </c>
      <c r="M274" s="1290">
        <f t="shared" si="35"/>
        <v>171200</v>
      </c>
      <c r="O274" s="1206">
        <f t="shared" si="36"/>
        <v>85600</v>
      </c>
      <c r="P274" s="9">
        <v>130</v>
      </c>
      <c r="Q274" s="222">
        <f t="shared" si="30"/>
        <v>104000</v>
      </c>
      <c r="R274" s="9">
        <v>0.54</v>
      </c>
      <c r="S274" s="36">
        <f t="shared" si="37"/>
        <v>56160.000000000007</v>
      </c>
      <c r="T274" s="222">
        <f t="shared" si="31"/>
        <v>55583.975449318234</v>
      </c>
      <c r="U274" s="1291">
        <f t="shared" si="38"/>
        <v>159583.97544931824</v>
      </c>
      <c r="V274" s="22">
        <v>-29361.624001015261</v>
      </c>
      <c r="W274" s="22">
        <f t="shared" si="39"/>
        <v>188945.59945033351</v>
      </c>
      <c r="X274" s="1292">
        <f t="shared" si="40"/>
        <v>-53250.26304571575</v>
      </c>
      <c r="Y274" s="22">
        <v>219285.95180855048</v>
      </c>
      <c r="Z274" s="1292">
        <f t="shared" si="41"/>
        <v>-30340.352358216973</v>
      </c>
      <c r="AA274" s="1315">
        <f t="shared" si="42"/>
        <v>-77.398858056675948</v>
      </c>
      <c r="AB274" s="22">
        <f t="shared" si="43"/>
        <v>-417.48742047426435</v>
      </c>
      <c r="AC274" s="1" t="s">
        <v>18</v>
      </c>
    </row>
    <row r="275" spans="4:29" ht="18" x14ac:dyDescent="0.25">
      <c r="D275" s="1" t="s">
        <v>19</v>
      </c>
      <c r="E275" s="1">
        <v>673000</v>
      </c>
      <c r="F275" s="22">
        <v>391995.45482868055</v>
      </c>
      <c r="G275" s="22">
        <f t="shared" si="32"/>
        <v>281004.54517131945</v>
      </c>
      <c r="H275" s="1288">
        <v>202177.35</v>
      </c>
      <c r="I275" s="1293">
        <f t="shared" si="33"/>
        <v>78827.195171319443</v>
      </c>
      <c r="J275" s="1293">
        <f t="shared" si="34"/>
        <v>43.550936558740027</v>
      </c>
      <c r="L275" s="532">
        <v>673000</v>
      </c>
      <c r="M275" s="1290">
        <f t="shared" si="35"/>
        <v>538400</v>
      </c>
      <c r="O275" s="1206">
        <f t="shared" si="36"/>
        <v>269200</v>
      </c>
      <c r="P275" s="9">
        <v>590</v>
      </c>
      <c r="Q275" s="222">
        <f t="shared" si="30"/>
        <v>472000</v>
      </c>
      <c r="R275" s="9">
        <v>1.0269999999999999</v>
      </c>
      <c r="S275" s="36">
        <f t="shared" si="37"/>
        <v>484743.99999999994</v>
      </c>
      <c r="T275" s="222">
        <f t="shared" si="31"/>
        <v>479772.05475791154</v>
      </c>
      <c r="U275" s="1291">
        <f t="shared" si="38"/>
        <v>951772.05475791148</v>
      </c>
      <c r="V275" s="22">
        <v>-17134.918187740583</v>
      </c>
      <c r="W275" s="22">
        <f t="shared" si="39"/>
        <v>968906.97294565209</v>
      </c>
      <c r="X275" s="1292">
        <f t="shared" si="40"/>
        <v>-687902.4277743327</v>
      </c>
      <c r="Y275" s="22">
        <v>1118625.6966656919</v>
      </c>
      <c r="Z275" s="1292">
        <f t="shared" si="41"/>
        <v>-149718.72372003982</v>
      </c>
      <c r="AA275" s="1315">
        <f t="shared" si="42"/>
        <v>-82.127659747690529</v>
      </c>
      <c r="AB275" s="22">
        <f t="shared" si="43"/>
        <v>-125.67859630643056</v>
      </c>
      <c r="AC275" s="1" t="s">
        <v>19</v>
      </c>
    </row>
    <row r="276" spans="4:29" ht="18" x14ac:dyDescent="0.25">
      <c r="D276" s="1" t="s">
        <v>20</v>
      </c>
      <c r="E276" s="1">
        <v>4000</v>
      </c>
      <c r="F276" s="22">
        <v>16072.675088473283</v>
      </c>
      <c r="G276" s="22">
        <f t="shared" si="32"/>
        <v>-12072.675088473283</v>
      </c>
      <c r="H276" s="1288" t="s">
        <v>691</v>
      </c>
      <c r="I276" s="1293">
        <f t="shared" si="33"/>
        <v>-12072.675088473283</v>
      </c>
      <c r="J276" s="1293">
        <f t="shared" si="34"/>
        <v>-117.21043775216779</v>
      </c>
      <c r="L276" s="532">
        <v>4000</v>
      </c>
      <c r="M276" s="1290">
        <f t="shared" si="35"/>
        <v>3200</v>
      </c>
      <c r="O276" s="1206">
        <f t="shared" si="36"/>
        <v>1600</v>
      </c>
      <c r="P276" s="9">
        <v>37</v>
      </c>
      <c r="Q276" s="222">
        <f t="shared" si="30"/>
        <v>29600</v>
      </c>
      <c r="R276" s="9">
        <v>1.1719999999999999</v>
      </c>
      <c r="S276" s="36">
        <f t="shared" si="37"/>
        <v>34691.199999999997</v>
      </c>
      <c r="T276" s="222">
        <f t="shared" si="31"/>
        <v>34335.37765504609</v>
      </c>
      <c r="U276" s="1291">
        <f t="shared" si="38"/>
        <v>63935.37765504609</v>
      </c>
      <c r="V276" s="22">
        <v>6945.1261322390937</v>
      </c>
      <c r="W276" s="22">
        <f t="shared" si="39"/>
        <v>56990.251522806997</v>
      </c>
      <c r="X276" s="1292">
        <f t="shared" si="40"/>
        <v>-69062.926611280272</v>
      </c>
      <c r="Y276" s="22">
        <v>53380.900171602261</v>
      </c>
      <c r="Z276" s="1292">
        <f t="shared" si="41"/>
        <v>3609.3513512047357</v>
      </c>
      <c r="AA276" s="1315">
        <f t="shared" si="42"/>
        <v>35.736151992126096</v>
      </c>
      <c r="AB276" s="22">
        <f t="shared" si="43"/>
        <v>152.94658974429387</v>
      </c>
      <c r="AC276" s="1" t="s">
        <v>20</v>
      </c>
    </row>
    <row r="277" spans="4:29" ht="18" x14ac:dyDescent="0.25">
      <c r="D277" s="1" t="s">
        <v>21</v>
      </c>
      <c r="E277" s="1">
        <v>1133000</v>
      </c>
      <c r="F277" s="22">
        <v>524724.44177272019</v>
      </c>
      <c r="G277" s="22">
        <f t="shared" si="32"/>
        <v>608275.55822727981</v>
      </c>
      <c r="H277" s="1288">
        <v>174189.38</v>
      </c>
      <c r="I277" s="1293">
        <f t="shared" si="33"/>
        <v>434086.1782272798</v>
      </c>
      <c r="J277" s="1293">
        <f t="shared" si="34"/>
        <v>420.62614169310058</v>
      </c>
      <c r="L277" s="532">
        <v>1133000</v>
      </c>
      <c r="M277" s="1290">
        <f t="shared" si="35"/>
        <v>906400</v>
      </c>
      <c r="O277" s="1206">
        <f t="shared" si="36"/>
        <v>453200</v>
      </c>
      <c r="P277" s="9">
        <v>319</v>
      </c>
      <c r="Q277" s="222">
        <f t="shared" si="30"/>
        <v>255200</v>
      </c>
      <c r="R277" s="9">
        <v>0.89300000000000002</v>
      </c>
      <c r="S277" s="36">
        <f t="shared" si="37"/>
        <v>227893.6</v>
      </c>
      <c r="T277" s="222">
        <f t="shared" si="31"/>
        <v>225556.13011853184</v>
      </c>
      <c r="U277" s="1291">
        <f t="shared" si="38"/>
        <v>480756.13011853187</v>
      </c>
      <c r="V277" s="22">
        <v>-51592.872835568312</v>
      </c>
      <c r="W277" s="22">
        <f t="shared" si="39"/>
        <v>532349.00295410014</v>
      </c>
      <c r="X277" s="1292">
        <f t="shared" si="40"/>
        <v>75926.555273179663</v>
      </c>
      <c r="Y277" s="22">
        <v>865723.09547384409</v>
      </c>
      <c r="Z277" s="1292">
        <f t="shared" si="41"/>
        <v>-333374.09251974395</v>
      </c>
      <c r="AA277" s="1315">
        <f t="shared" si="42"/>
        <v>-322.10057248284437</v>
      </c>
      <c r="AB277" s="22">
        <f t="shared" si="43"/>
        <v>-742.72671417594495</v>
      </c>
      <c r="AC277" s="1" t="s">
        <v>21</v>
      </c>
    </row>
    <row r="278" spans="4:29" ht="18.75" thickBot="1" x14ac:dyDescent="0.3">
      <c r="D278" s="1" t="s">
        <v>22</v>
      </c>
      <c r="E278" s="1">
        <v>344000</v>
      </c>
      <c r="F278" s="22">
        <v>120093.97485481888</v>
      </c>
      <c r="G278" s="22">
        <f t="shared" si="32"/>
        <v>223906.02514518111</v>
      </c>
      <c r="H278" s="1288">
        <v>235916.95</v>
      </c>
      <c r="I278" s="1293">
        <f t="shared" si="33"/>
        <v>-12010.924854818906</v>
      </c>
      <c r="J278" s="1293">
        <f t="shared" si="34"/>
        <v>-26.750389431667941</v>
      </c>
      <c r="L278" s="532">
        <v>344000</v>
      </c>
      <c r="M278" s="1290">
        <f t="shared" si="35"/>
        <v>275200</v>
      </c>
      <c r="O278" s="1206">
        <f t="shared" si="36"/>
        <v>137600</v>
      </c>
      <c r="P278" s="9">
        <v>130</v>
      </c>
      <c r="Q278" s="222">
        <f t="shared" si="30"/>
        <v>104000</v>
      </c>
      <c r="R278" s="9">
        <v>1.1359999999999999</v>
      </c>
      <c r="S278" s="36">
        <f t="shared" si="37"/>
        <v>118143.99999999999</v>
      </c>
      <c r="T278" s="222">
        <f t="shared" si="31"/>
        <v>116932.21501930647</v>
      </c>
      <c r="U278" s="1291">
        <f t="shared" si="38"/>
        <v>220932.21501930646</v>
      </c>
      <c r="V278" s="22">
        <v>6209.6389390414288</v>
      </c>
      <c r="W278" s="22">
        <f t="shared" si="39"/>
        <v>214722.57608026502</v>
      </c>
      <c r="X278" s="1292">
        <f t="shared" si="40"/>
        <v>9183.4490649160871</v>
      </c>
      <c r="Y278" s="22">
        <v>490442.26848812873</v>
      </c>
      <c r="Z278" s="1292">
        <f t="shared" si="41"/>
        <v>-275719.69240786368</v>
      </c>
      <c r="AA278" s="1315">
        <f t="shared" si="42"/>
        <v>-653.36420001863428</v>
      </c>
      <c r="AB278" s="22">
        <f t="shared" si="43"/>
        <v>-626.61381058696634</v>
      </c>
      <c r="AC278" s="1" t="s">
        <v>22</v>
      </c>
    </row>
    <row r="279" spans="4:29" ht="18.75" thickBot="1" x14ac:dyDescent="0.3">
      <c r="D279" s="1" t="s">
        <v>23</v>
      </c>
      <c r="E279" s="1">
        <v>9064000</v>
      </c>
      <c r="F279" s="511">
        <v>1327470.8892806191</v>
      </c>
      <c r="G279" s="22">
        <f t="shared" si="32"/>
        <v>7736529.1107193809</v>
      </c>
      <c r="H279" s="1288"/>
      <c r="I279" s="1293">
        <f t="shared" si="33"/>
        <v>7736529.1107193809</v>
      </c>
      <c r="J279" s="1293">
        <f t="shared" si="34"/>
        <v>686.8977280226743</v>
      </c>
      <c r="L279" s="532">
        <v>9064000</v>
      </c>
      <c r="M279" s="1290">
        <f>0.8*L279</f>
        <v>7251200</v>
      </c>
      <c r="O279" s="1206">
        <f t="shared" si="36"/>
        <v>3625600</v>
      </c>
      <c r="P279" s="9">
        <v>4290</v>
      </c>
      <c r="Q279" s="222">
        <f t="shared" si="30"/>
        <v>3432000</v>
      </c>
      <c r="R279" s="9">
        <v>1.1839999999999999</v>
      </c>
      <c r="S279" s="36">
        <f t="shared" si="37"/>
        <v>4063488</v>
      </c>
      <c r="T279" s="222">
        <f t="shared" si="31"/>
        <v>4021809.4236217812</v>
      </c>
      <c r="U279" s="1291">
        <f t="shared" si="38"/>
        <v>7453809.4236217812</v>
      </c>
      <c r="V279" s="22">
        <v>741052.39764795511</v>
      </c>
      <c r="W279" s="22">
        <f>U279-V279</f>
        <v>6712757.0259738257</v>
      </c>
      <c r="X279" s="1292">
        <f>G279-W279</f>
        <v>1023772.0847455552</v>
      </c>
      <c r="Y279" s="22">
        <v>0</v>
      </c>
      <c r="Z279" s="1292">
        <f t="shared" si="41"/>
        <v>6712757.0259738257</v>
      </c>
      <c r="AA279" s="1316">
        <f t="shared" si="42"/>
        <v>591.64084487694572</v>
      </c>
      <c r="AB279" s="22">
        <f>AA279-J279</f>
        <v>-95.25688314572858</v>
      </c>
      <c r="AC279" s="1" t="s">
        <v>23</v>
      </c>
    </row>
    <row r="280" spans="4:29" ht="16.5" thickBot="1" x14ac:dyDescent="0.3">
      <c r="D280" s="493" t="s">
        <v>247</v>
      </c>
      <c r="E280" s="494">
        <v>19436000</v>
      </c>
      <c r="F280" s="511">
        <f>SUM(F264:F279)</f>
        <v>5622968.9582670173</v>
      </c>
      <c r="G280" s="511">
        <f>SUM(G264:G279)</f>
        <v>13813031.041732982</v>
      </c>
      <c r="H280" s="511">
        <f>SUM(H264:H279)</f>
        <v>1930004.3100000003</v>
      </c>
      <c r="I280" s="540">
        <f>SUM(I264:I279)</f>
        <v>11883026.731732983</v>
      </c>
      <c r="J280" s="540">
        <f t="shared" si="34"/>
        <v>419.08047017220889</v>
      </c>
      <c r="L280" s="540">
        <v>19436000</v>
      </c>
      <c r="M280" s="1290">
        <f>SUM(M264:M279)</f>
        <v>15548800</v>
      </c>
      <c r="O280" s="1294">
        <f t="shared" ref="O280:Q280" si="44">SUM(O264:O279)</f>
        <v>7774400</v>
      </c>
      <c r="P280" s="1295">
        <f t="shared" si="44"/>
        <v>9718</v>
      </c>
      <c r="Q280" s="1295">
        <f t="shared" si="44"/>
        <v>7774400</v>
      </c>
      <c r="R280" s="1295"/>
      <c r="S280" s="1296">
        <f t="shared" ref="S280:X280" si="45">SUM(S264:S279)</f>
        <v>7854967.2000000011</v>
      </c>
      <c r="T280" s="1297">
        <f t="shared" si="45"/>
        <v>7774399.9999999981</v>
      </c>
      <c r="U280" s="1298">
        <f t="shared" si="45"/>
        <v>15548800</v>
      </c>
      <c r="V280" s="539">
        <f t="shared" si="45"/>
        <v>0</v>
      </c>
      <c r="W280" s="540">
        <f t="shared" si="45"/>
        <v>15548799.999999996</v>
      </c>
      <c r="X280" s="1299">
        <f t="shared" si="45"/>
        <v>-1735768.9582670154</v>
      </c>
      <c r="Y280" s="540"/>
      <c r="AB280" s="22">
        <f>AVERAGE(AB264:AB279)</f>
        <v>-355.02335186974449</v>
      </c>
      <c r="AC280" s="1" t="s">
        <v>247</v>
      </c>
    </row>
    <row r="281" spans="4:29" x14ac:dyDescent="0.2">
      <c r="AB281" s="22">
        <f>MEDIAN(AB264:AB279)</f>
        <v>-356.40282446637309</v>
      </c>
    </row>
    <row r="282" spans="4:29" ht="15.75" x14ac:dyDescent="0.25">
      <c r="F282" s="1300"/>
      <c r="H282" s="22"/>
      <c r="N282" s="9"/>
      <c r="O282" s="9"/>
      <c r="U282" s="1291">
        <v>243104</v>
      </c>
      <c r="V282" s="22">
        <v>-650.24344198411563</v>
      </c>
    </row>
    <row r="283" spans="4:29" ht="15.75" x14ac:dyDescent="0.25">
      <c r="N283" s="9" t="s">
        <v>702</v>
      </c>
      <c r="O283" s="36"/>
      <c r="U283" s="1291">
        <v>585148.80000000005</v>
      </c>
      <c r="V283" s="22">
        <v>-866.2441568642389</v>
      </c>
    </row>
    <row r="284" spans="4:29" ht="15.75" x14ac:dyDescent="0.25">
      <c r="N284" s="9"/>
      <c r="O284" s="36"/>
      <c r="U284" s="1291">
        <v>1159173.6000000001</v>
      </c>
      <c r="V284" s="22">
        <v>-487.71980943740346</v>
      </c>
    </row>
    <row r="285" spans="4:29" ht="15.75" x14ac:dyDescent="0.25">
      <c r="N285" s="9"/>
      <c r="O285" s="36"/>
      <c r="U285" s="1291">
        <v>296061.60000000003</v>
      </c>
      <c r="V285" s="22">
        <v>325.15667035244405</v>
      </c>
    </row>
    <row r="286" spans="4:29" ht="15.75" x14ac:dyDescent="0.25">
      <c r="N286" s="9"/>
      <c r="O286" s="36"/>
      <c r="U286" s="1291">
        <v>213356.80000000002</v>
      </c>
      <c r="V286" s="22">
        <v>-426.31881352225901</v>
      </c>
    </row>
    <row r="287" spans="4:29" ht="15.75" x14ac:dyDescent="0.25">
      <c r="N287" s="9"/>
      <c r="O287" s="36"/>
      <c r="U287" s="1291">
        <v>720116</v>
      </c>
      <c r="V287" s="22">
        <v>554.67676616134122</v>
      </c>
    </row>
    <row r="288" spans="4:29" ht="15.75" x14ac:dyDescent="0.25">
      <c r="N288" s="9"/>
      <c r="O288" s="36"/>
      <c r="U288" s="1291">
        <v>1917489.6</v>
      </c>
      <c r="V288" s="22">
        <v>943.03549209958874</v>
      </c>
    </row>
    <row r="289" spans="6:22" ht="15.75" x14ac:dyDescent="0.25">
      <c r="N289" s="9"/>
      <c r="O289" s="36"/>
      <c r="U289" s="1291">
        <v>180927.2</v>
      </c>
      <c r="V289" s="22">
        <v>108.72714683771483</v>
      </c>
    </row>
    <row r="290" spans="6:22" ht="15.75" x14ac:dyDescent="0.25">
      <c r="N290" s="9"/>
      <c r="O290" s="36"/>
      <c r="U290" s="1291">
        <v>111790.40000000001</v>
      </c>
      <c r="V290" s="22">
        <v>279.87889308053127</v>
      </c>
    </row>
    <row r="291" spans="6:22" ht="15.75" x14ac:dyDescent="0.25">
      <c r="N291" s="9"/>
      <c r="O291" s="36"/>
      <c r="U291" s="1291">
        <v>790740.8</v>
      </c>
      <c r="V291" s="22">
        <v>321.07463137968443</v>
      </c>
    </row>
    <row r="292" spans="6:22" ht="15.75" x14ac:dyDescent="0.25">
      <c r="N292" s="9"/>
      <c r="O292" s="36"/>
      <c r="U292" s="1291">
        <v>159548.80000000002</v>
      </c>
      <c r="V292" s="22">
        <v>35.1754493182234</v>
      </c>
    </row>
    <row r="293" spans="6:22" ht="15.75" x14ac:dyDescent="0.25">
      <c r="N293" s="9"/>
      <c r="O293" s="36"/>
      <c r="U293" s="1291">
        <v>952044</v>
      </c>
      <c r="V293" s="22">
        <v>-271.9452420885209</v>
      </c>
    </row>
    <row r="294" spans="6:22" ht="15.75" x14ac:dyDescent="0.25">
      <c r="F294" s="1" t="s">
        <v>723</v>
      </c>
      <c r="N294" s="9"/>
      <c r="O294" s="36"/>
      <c r="U294" s="1291">
        <v>63532</v>
      </c>
      <c r="V294" s="22">
        <v>403.37765504608979</v>
      </c>
    </row>
    <row r="295" spans="6:22" ht="15.75" x14ac:dyDescent="0.25">
      <c r="F295" s="1">
        <v>2013</v>
      </c>
      <c r="G295" s="1">
        <v>2014</v>
      </c>
      <c r="H295" s="1">
        <v>2015</v>
      </c>
      <c r="N295" s="9"/>
      <c r="O295" s="36"/>
      <c r="U295" s="1291">
        <v>480932.80000000005</v>
      </c>
      <c r="V295" s="22">
        <v>-176.66988146817312</v>
      </c>
    </row>
    <row r="296" spans="6:22" ht="15.75" x14ac:dyDescent="0.25">
      <c r="F296" s="22">
        <v>181113.41885000002</v>
      </c>
      <c r="G296" s="22">
        <v>186908.1305</v>
      </c>
      <c r="H296" s="1">
        <v>181121.22665</v>
      </c>
      <c r="N296" s="9"/>
      <c r="O296" s="36"/>
      <c r="U296" s="1291">
        <v>220149.6</v>
      </c>
      <c r="V296" s="22">
        <v>782.61501930645318</v>
      </c>
    </row>
    <row r="297" spans="6:22" ht="16.5" thickBot="1" x14ac:dyDescent="0.3">
      <c r="F297" s="22">
        <v>436094.69299999997</v>
      </c>
      <c r="G297" s="22">
        <v>434958.43000000005</v>
      </c>
      <c r="H297" s="1">
        <v>427735.64</v>
      </c>
      <c r="N297" s="9"/>
      <c r="O297" s="36"/>
      <c r="U297" s="1291">
        <v>7452802.4000000004</v>
      </c>
      <c r="V297" s="22">
        <v>1007.0236217807978</v>
      </c>
    </row>
    <row r="298" spans="6:22" ht="15.75" x14ac:dyDescent="0.25">
      <c r="F298" s="22">
        <v>614777.95924999996</v>
      </c>
      <c r="G298" s="22">
        <v>621940.17599999998</v>
      </c>
      <c r="H298" s="1">
        <v>660518.80374999996</v>
      </c>
      <c r="N298" s="9"/>
      <c r="O298" s="36"/>
      <c r="U298" s="1298"/>
    </row>
    <row r="299" spans="6:22" x14ac:dyDescent="0.2">
      <c r="F299" s="22">
        <v>218495.79115</v>
      </c>
      <c r="G299" s="22">
        <v>247583.99119999999</v>
      </c>
      <c r="H299" s="1">
        <v>152816.4547</v>
      </c>
    </row>
    <row r="300" spans="6:22" x14ac:dyDescent="0.2">
      <c r="F300" s="22">
        <v>333368.46724999999</v>
      </c>
      <c r="G300" s="22">
        <v>292115.01864999998</v>
      </c>
      <c r="H300" s="1">
        <v>302705.41664999997</v>
      </c>
    </row>
    <row r="301" spans="6:22" x14ac:dyDescent="0.2">
      <c r="F301" s="22">
        <v>368330.92124999996</v>
      </c>
      <c r="G301" s="22">
        <v>422408.03624999995</v>
      </c>
      <c r="H301" s="1">
        <v>434996.73</v>
      </c>
    </row>
    <row r="302" spans="6:22" x14ac:dyDescent="0.2">
      <c r="F302" s="22">
        <v>841451.0830000001</v>
      </c>
      <c r="G302" s="22">
        <v>715863.72825000004</v>
      </c>
      <c r="H302" s="1">
        <v>735662.41200000001</v>
      </c>
    </row>
    <row r="303" spans="6:22" x14ac:dyDescent="0.2">
      <c r="F303" s="22">
        <v>110783.9733</v>
      </c>
      <c r="G303" s="22">
        <v>105423.35894999999</v>
      </c>
      <c r="H303" s="1">
        <v>98905.588599999988</v>
      </c>
    </row>
    <row r="304" spans="6:22" x14ac:dyDescent="0.2">
      <c r="F304" s="22">
        <v>60558.561699999998</v>
      </c>
      <c r="G304" s="22">
        <v>44226.586949999997</v>
      </c>
      <c r="H304" s="1">
        <v>43319.3488</v>
      </c>
    </row>
    <row r="305" spans="4:8" x14ac:dyDescent="0.2">
      <c r="F305" s="22">
        <v>495692.95874999999</v>
      </c>
      <c r="G305" s="22">
        <v>601819.97625000007</v>
      </c>
      <c r="H305" s="1">
        <v>498771.75374999992</v>
      </c>
    </row>
    <row r="306" spans="4:8" x14ac:dyDescent="0.2">
      <c r="F306" s="22">
        <v>109241.66</v>
      </c>
      <c r="G306" s="22">
        <v>106884.29550000001</v>
      </c>
      <c r="H306" s="1">
        <v>101588.11499999999</v>
      </c>
    </row>
    <row r="307" spans="4:8" x14ac:dyDescent="0.2">
      <c r="F307" s="22">
        <v>429668.99249999999</v>
      </c>
      <c r="G307" s="22">
        <v>430068.21375</v>
      </c>
      <c r="H307" s="1">
        <v>456913.84499999997</v>
      </c>
    </row>
    <row r="308" spans="4:8" x14ac:dyDescent="0.2">
      <c r="F308" s="22">
        <v>17120.671750000001</v>
      </c>
      <c r="G308" s="22">
        <v>17647.461650000001</v>
      </c>
      <c r="H308" s="1">
        <v>17901.883999999998</v>
      </c>
    </row>
    <row r="309" spans="4:8" x14ac:dyDescent="0.2">
      <c r="F309" s="22">
        <v>492654.10525000002</v>
      </c>
      <c r="G309" s="22">
        <v>522435.72525000002</v>
      </c>
      <c r="H309" s="1">
        <v>481200.61875000002</v>
      </c>
    </row>
    <row r="310" spans="4:8" ht="15.75" thickBot="1" x14ac:dyDescent="0.25">
      <c r="F310" s="22">
        <v>152538.01744999998</v>
      </c>
      <c r="G310" s="22">
        <v>175100.38454999999</v>
      </c>
      <c r="H310" s="1">
        <v>175151.96789999999</v>
      </c>
    </row>
    <row r="311" spans="4:8" ht="16.5" thickBot="1" x14ac:dyDescent="0.3">
      <c r="F311" s="511">
        <v>1492538.1454000003</v>
      </c>
      <c r="G311" s="511">
        <v>1573014.2140499998</v>
      </c>
      <c r="H311" s="1">
        <v>1556213.1626500003</v>
      </c>
    </row>
    <row r="312" spans="4:8" ht="16.5" thickBot="1" x14ac:dyDescent="0.3">
      <c r="D312" s="511"/>
      <c r="E312" s="511"/>
      <c r="F312" s="511">
        <f t="shared" ref="F312" si="46">SUM(F296:F311)</f>
        <v>6354429.4198499992</v>
      </c>
      <c r="G312" s="511">
        <f t="shared" ref="G312:H312" si="47">SUM(G296:G311)</f>
        <v>6498397.7277499996</v>
      </c>
      <c r="H312" s="511">
        <f t="shared" si="47"/>
        <v>6325522.9681999991</v>
      </c>
    </row>
    <row r="313" spans="4:8" x14ac:dyDescent="0.2">
      <c r="F313" s="1">
        <v>0</v>
      </c>
      <c r="G313" s="1">
        <v>0</v>
      </c>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O125"/>
  <sheetViews>
    <sheetView zoomScale="85" zoomScaleNormal="85" workbookViewId="0">
      <selection activeCell="B9" sqref="B9"/>
    </sheetView>
  </sheetViews>
  <sheetFormatPr defaultColWidth="8.88671875" defaultRowHeight="15" x14ac:dyDescent="0.2"/>
  <cols>
    <col min="1" max="1" width="8.88671875" style="1"/>
    <col min="2" max="2" width="14.88671875" style="1" customWidth="1"/>
    <col min="3" max="3" width="8.88671875" style="1"/>
    <col min="4" max="4" width="12" style="1" customWidth="1"/>
    <col min="5" max="6" width="8.88671875" style="1"/>
    <col min="7" max="7" width="18.6640625" style="1" customWidth="1"/>
    <col min="8" max="8" width="12.109375" style="1" customWidth="1"/>
    <col min="9" max="9" width="19.44140625" style="1" customWidth="1"/>
    <col min="10" max="10" width="22.88671875" style="1" customWidth="1"/>
    <col min="11" max="11" width="7.33203125" style="1" customWidth="1"/>
    <col min="12" max="12" width="7.88671875" style="1" customWidth="1"/>
    <col min="13" max="13" width="10.77734375" style="1" customWidth="1"/>
    <col min="14" max="19" width="10.44140625" style="1" bestFit="1" customWidth="1"/>
    <col min="20" max="22" width="8.88671875" style="1"/>
    <col min="23" max="23" width="11.109375" style="1" customWidth="1"/>
    <col min="24" max="24" width="8.88671875" style="1"/>
    <col min="25" max="25" width="8.88671875" style="235"/>
    <col min="26" max="31" width="8.88671875" style="1"/>
    <col min="32" max="32" width="13.109375" style="1" customWidth="1"/>
    <col min="33" max="16384" width="8.88671875" style="1"/>
  </cols>
  <sheetData>
    <row r="3" spans="1:41" ht="16.5" thickBot="1" x14ac:dyDescent="0.3">
      <c r="B3" s="234" t="s">
        <v>101</v>
      </c>
    </row>
    <row r="5" spans="1:41" x14ac:dyDescent="0.2">
      <c r="Y5" s="235" t="s">
        <v>102</v>
      </c>
      <c r="Z5" s="1">
        <f>C17</f>
        <v>42</v>
      </c>
      <c r="AB5" s="1" t="s">
        <v>103</v>
      </c>
      <c r="AD5" s="1" t="str">
        <f>I11</f>
        <v>0-40</v>
      </c>
      <c r="AE5" s="1" t="str">
        <f t="shared" ref="AE5:AN5" si="0">J11</f>
        <v>40-60</v>
      </c>
      <c r="AF5" s="1" t="str">
        <f t="shared" si="0"/>
        <v>60-80</v>
      </c>
      <c r="AG5" s="1" t="str">
        <f t="shared" si="0"/>
        <v>80-100</v>
      </c>
      <c r="AH5" s="1" t="str">
        <f t="shared" si="0"/>
        <v>100-150</v>
      </c>
      <c r="AI5" s="1" t="str">
        <f t="shared" si="0"/>
        <v>150-200</v>
      </c>
      <c r="AJ5" s="1" t="str">
        <f t="shared" si="0"/>
        <v>200-250</v>
      </c>
      <c r="AK5" s="1" t="str">
        <f t="shared" si="0"/>
        <v>250-350</v>
      </c>
      <c r="AL5" s="1" t="str">
        <f t="shared" si="0"/>
        <v>350-450</v>
      </c>
      <c r="AM5" s="1" t="str">
        <f t="shared" si="0"/>
        <v>450-650</v>
      </c>
      <c r="AN5" s="1" t="str">
        <f t="shared" si="0"/>
        <v>650-2000</v>
      </c>
    </row>
    <row r="6" spans="1:41" ht="16.5" thickBot="1" x14ac:dyDescent="0.3">
      <c r="G6" s="5" t="s">
        <v>104</v>
      </c>
      <c r="AD6" s="1">
        <f t="shared" ref="AD6:AO6" si="1">I12</f>
        <v>0</v>
      </c>
      <c r="AE6" s="1">
        <f t="shared" si="1"/>
        <v>40</v>
      </c>
      <c r="AF6" s="1">
        <f t="shared" si="1"/>
        <v>60</v>
      </c>
      <c r="AG6" s="1">
        <f t="shared" si="1"/>
        <v>80</v>
      </c>
      <c r="AH6" s="1">
        <f t="shared" si="1"/>
        <v>100</v>
      </c>
      <c r="AI6" s="1">
        <f t="shared" si="1"/>
        <v>150</v>
      </c>
      <c r="AJ6" s="1">
        <f t="shared" si="1"/>
        <v>200</v>
      </c>
      <c r="AK6" s="1">
        <f t="shared" si="1"/>
        <v>250</v>
      </c>
      <c r="AL6" s="1">
        <f t="shared" si="1"/>
        <v>350</v>
      </c>
      <c r="AM6" s="1">
        <f t="shared" si="1"/>
        <v>450</v>
      </c>
      <c r="AN6" s="1">
        <f t="shared" si="1"/>
        <v>650</v>
      </c>
      <c r="AO6" s="1">
        <f t="shared" si="1"/>
        <v>2000</v>
      </c>
    </row>
    <row r="7" spans="1:41" ht="15.75" x14ac:dyDescent="0.25">
      <c r="B7" s="229" t="s">
        <v>139</v>
      </c>
      <c r="G7" s="99"/>
      <c r="H7" s="100"/>
      <c r="I7" s="100"/>
      <c r="J7" s="100"/>
      <c r="K7" s="100"/>
      <c r="L7" s="100"/>
      <c r="M7" s="100"/>
      <c r="N7" s="100"/>
      <c r="O7" s="100"/>
      <c r="P7" s="100"/>
      <c r="Q7" s="100"/>
      <c r="R7" s="100"/>
      <c r="S7" s="100"/>
      <c r="T7" s="101"/>
      <c r="Y7" s="235" t="s">
        <v>33</v>
      </c>
      <c r="Z7" s="1">
        <f>SUM(AD7:AO7)</f>
        <v>262233.3529210827</v>
      </c>
      <c r="AB7" s="1" t="s">
        <v>106</v>
      </c>
      <c r="AD7" s="1">
        <f>IF($Z$5&gt;AD6,(IF($Z$5-AE6&gt;0,(AE6-AD6)*$B$9*AD9,($Z$5-AD6)*$B$9*AD9)),0)</f>
        <v>253848</v>
      </c>
      <c r="AE7" s="1">
        <f t="shared" ref="AE7:AN7" si="2">IF($Z$5&gt;AE6,(IF($Z$5-AF6&gt;0,(AF6-AE6)*$B$9*AE9,($Z$5-AE6)*$B$9*AE9)),0)</f>
        <v>8385.3529210827055</v>
      </c>
      <c r="AF7" s="1">
        <f t="shared" si="2"/>
        <v>0</v>
      </c>
      <c r="AG7" s="1">
        <f t="shared" si="2"/>
        <v>0</v>
      </c>
      <c r="AH7" s="1">
        <f t="shared" si="2"/>
        <v>0</v>
      </c>
      <c r="AI7" s="1">
        <f t="shared" si="2"/>
        <v>0</v>
      </c>
      <c r="AJ7" s="1">
        <f t="shared" si="2"/>
        <v>0</v>
      </c>
      <c r="AK7" s="1">
        <f t="shared" si="2"/>
        <v>0</v>
      </c>
      <c r="AL7" s="1">
        <f t="shared" si="2"/>
        <v>0</v>
      </c>
      <c r="AM7" s="1">
        <f t="shared" si="2"/>
        <v>0</v>
      </c>
      <c r="AN7" s="1">
        <f t="shared" si="2"/>
        <v>0</v>
      </c>
    </row>
    <row r="8" spans="1:41" ht="15.75" x14ac:dyDescent="0.25">
      <c r="B8" s="236" t="s">
        <v>0</v>
      </c>
      <c r="G8" s="237"/>
      <c r="H8" s="97"/>
      <c r="I8" s="66" t="s">
        <v>107</v>
      </c>
      <c r="J8" s="97"/>
      <c r="K8" s="97"/>
      <c r="L8" s="97"/>
      <c r="M8" s="97"/>
      <c r="N8" s="97"/>
      <c r="O8" s="97"/>
      <c r="P8" s="97"/>
      <c r="Q8" s="97"/>
      <c r="R8" s="97"/>
      <c r="S8" s="97"/>
      <c r="T8" s="102"/>
    </row>
    <row r="9" spans="1:41" ht="15.75" x14ac:dyDescent="0.25">
      <c r="B9" s="236">
        <v>10577</v>
      </c>
      <c r="G9" s="237"/>
      <c r="H9" s="240" t="s">
        <v>108</v>
      </c>
      <c r="I9" s="241">
        <v>1</v>
      </c>
      <c r="J9" s="97"/>
      <c r="K9" s="97"/>
      <c r="L9" s="97"/>
      <c r="M9" s="97"/>
      <c r="N9" s="97"/>
      <c r="O9" s="97"/>
      <c r="P9" s="97"/>
      <c r="Q9" s="97"/>
      <c r="R9" s="97"/>
      <c r="S9" s="97"/>
      <c r="T9" s="102"/>
      <c r="AB9" s="1" t="s">
        <v>109</v>
      </c>
      <c r="AD9" s="218">
        <f t="shared" ref="AD9:AO9" si="3">I15</f>
        <v>0.6</v>
      </c>
      <c r="AE9" s="218">
        <f t="shared" si="3"/>
        <v>0.39639561884668173</v>
      </c>
      <c r="AF9" s="218">
        <f t="shared" si="3"/>
        <v>0.36101072393511269</v>
      </c>
      <c r="AG9" s="218">
        <f t="shared" si="3"/>
        <v>0.33356406712346476</v>
      </c>
      <c r="AH9" s="218">
        <f t="shared" si="3"/>
        <v>0.28369185882616055</v>
      </c>
      <c r="AI9" s="218">
        <f t="shared" si="3"/>
        <v>0.24830696391459162</v>
      </c>
      <c r="AJ9" s="218">
        <f t="shared" si="3"/>
        <v>0.2208603071029438</v>
      </c>
      <c r="AK9" s="218">
        <f t="shared" si="3"/>
        <v>0.17947422199853458</v>
      </c>
      <c r="AL9" s="218">
        <f t="shared" si="3"/>
        <v>0.14856254731998308</v>
      </c>
      <c r="AM9" s="218">
        <f t="shared" si="3"/>
        <v>0.10333239936456906</v>
      </c>
      <c r="AN9" s="218">
        <f t="shared" si="3"/>
        <v>0.08</v>
      </c>
      <c r="AO9" s="218">
        <f t="shared" si="3"/>
        <v>0.1</v>
      </c>
    </row>
    <row r="10" spans="1:41" x14ac:dyDescent="0.2">
      <c r="G10" s="237"/>
      <c r="H10" s="97"/>
      <c r="I10" s="97"/>
      <c r="J10" s="97"/>
      <c r="K10" s="97"/>
      <c r="L10" s="97"/>
      <c r="M10" s="97"/>
      <c r="N10" s="97"/>
      <c r="O10" s="97"/>
      <c r="P10" s="97"/>
      <c r="Q10" s="97"/>
      <c r="R10" s="97"/>
      <c r="S10" s="97"/>
      <c r="T10" s="102"/>
    </row>
    <row r="11" spans="1:41" ht="15.75" x14ac:dyDescent="0.25">
      <c r="G11" s="242" t="s">
        <v>103</v>
      </c>
      <c r="H11" s="243"/>
      <c r="I11" s="243" t="s">
        <v>110</v>
      </c>
      <c r="J11" s="243" t="s">
        <v>111</v>
      </c>
      <c r="K11" s="243" t="s">
        <v>112</v>
      </c>
      <c r="L11" s="243" t="s">
        <v>113</v>
      </c>
      <c r="M11" s="243" t="s">
        <v>114</v>
      </c>
      <c r="N11" s="243" t="s">
        <v>115</v>
      </c>
      <c r="O11" s="243" t="s">
        <v>116</v>
      </c>
      <c r="P11" s="243" t="s">
        <v>117</v>
      </c>
      <c r="Q11" s="243" t="s">
        <v>118</v>
      </c>
      <c r="R11" s="243" t="s">
        <v>119</v>
      </c>
      <c r="S11" s="243" t="s">
        <v>120</v>
      </c>
      <c r="T11" s="244"/>
      <c r="U11" s="5"/>
      <c r="V11" s="5"/>
      <c r="W11" s="5"/>
      <c r="X11" s="5"/>
      <c r="Z11" s="5"/>
      <c r="AA11" s="5"/>
      <c r="AB11" s="5"/>
      <c r="AC11" s="5"/>
      <c r="AD11" s="5"/>
    </row>
    <row r="12" spans="1:41" ht="15.75" x14ac:dyDescent="0.25">
      <c r="F12" s="245" t="s">
        <v>121</v>
      </c>
      <c r="G12" s="229" t="s">
        <v>122</v>
      </c>
      <c r="H12" s="229"/>
      <c r="I12" s="229">
        <v>0</v>
      </c>
      <c r="J12" s="229">
        <v>40</v>
      </c>
      <c r="K12" s="229">
        <v>60</v>
      </c>
      <c r="L12" s="229">
        <v>80</v>
      </c>
      <c r="M12" s="229">
        <v>100</v>
      </c>
      <c r="N12" s="229">
        <v>150</v>
      </c>
      <c r="O12" s="229">
        <v>200</v>
      </c>
      <c r="P12" s="229">
        <v>250</v>
      </c>
      <c r="Q12" s="229">
        <v>350</v>
      </c>
      <c r="R12" s="229">
        <v>450</v>
      </c>
      <c r="S12" s="229">
        <v>650</v>
      </c>
      <c r="T12" s="229">
        <v>2000</v>
      </c>
    </row>
    <row r="13" spans="1:41" ht="15.75" x14ac:dyDescent="0.25">
      <c r="G13" s="246" t="s">
        <v>106</v>
      </c>
      <c r="H13" s="97"/>
      <c r="I13" s="98">
        <f>IF($I$9&gt;I12,(IF($I$9-J12&gt;0,(J12-I12)*$B$9*I15,($I$9-I12)*$B$9*I15)),0)</f>
        <v>6346.2</v>
      </c>
      <c r="J13" s="98">
        <f t="shared" ref="J13:S13" si="4">IF($I$9&gt;J12,(IF($I$9-K12&gt;0,(K12-J12)*$B$9*J15,($I$9-J12)*$B$9*J15)),0)</f>
        <v>0</v>
      </c>
      <c r="K13" s="98">
        <f t="shared" si="4"/>
        <v>0</v>
      </c>
      <c r="L13" s="98">
        <f t="shared" si="4"/>
        <v>0</v>
      </c>
      <c r="M13" s="98">
        <f t="shared" si="4"/>
        <v>0</v>
      </c>
      <c r="N13" s="98">
        <f t="shared" si="4"/>
        <v>0</v>
      </c>
      <c r="O13" s="98">
        <f t="shared" si="4"/>
        <v>0</v>
      </c>
      <c r="P13" s="98">
        <f t="shared" si="4"/>
        <v>0</v>
      </c>
      <c r="Q13" s="98">
        <f t="shared" si="4"/>
        <v>0</v>
      </c>
      <c r="R13" s="98">
        <f t="shared" si="4"/>
        <v>0</v>
      </c>
      <c r="S13" s="98">
        <f t="shared" si="4"/>
        <v>0</v>
      </c>
      <c r="T13" s="247"/>
      <c r="Y13" s="235" t="s">
        <v>8</v>
      </c>
      <c r="Z13" s="1">
        <f>C18</f>
        <v>48</v>
      </c>
      <c r="AB13" s="1" t="s">
        <v>103</v>
      </c>
      <c r="AD13" s="1" t="str">
        <f t="shared" ref="AD13:AO14" si="5">AD5</f>
        <v>0-40</v>
      </c>
      <c r="AE13" s="1" t="str">
        <f t="shared" si="5"/>
        <v>40-60</v>
      </c>
      <c r="AF13" s="1" t="str">
        <f t="shared" si="5"/>
        <v>60-80</v>
      </c>
      <c r="AG13" s="1" t="str">
        <f t="shared" si="5"/>
        <v>80-100</v>
      </c>
      <c r="AH13" s="1" t="str">
        <f t="shared" si="5"/>
        <v>100-150</v>
      </c>
      <c r="AI13" s="1" t="str">
        <f t="shared" si="5"/>
        <v>150-200</v>
      </c>
      <c r="AJ13" s="1" t="str">
        <f t="shared" si="5"/>
        <v>200-250</v>
      </c>
      <c r="AK13" s="1" t="str">
        <f t="shared" si="5"/>
        <v>250-350</v>
      </c>
      <c r="AL13" s="1" t="str">
        <f t="shared" si="5"/>
        <v>350-450</v>
      </c>
      <c r="AM13" s="1" t="str">
        <f t="shared" si="5"/>
        <v>450-650</v>
      </c>
      <c r="AN13" s="1" t="str">
        <f t="shared" si="5"/>
        <v>650-2000</v>
      </c>
    </row>
    <row r="14" spans="1:41" ht="15.75" x14ac:dyDescent="0.25">
      <c r="A14" s="5"/>
      <c r="B14" s="5"/>
      <c r="C14" s="5"/>
      <c r="G14" s="237"/>
      <c r="H14" s="97"/>
      <c r="I14" s="97"/>
      <c r="J14" s="97"/>
      <c r="K14" s="97"/>
      <c r="L14" s="97"/>
      <c r="M14" s="97"/>
      <c r="N14" s="97"/>
      <c r="O14" s="97"/>
      <c r="P14" s="97"/>
      <c r="Q14" s="97"/>
      <c r="R14" s="97"/>
      <c r="S14" s="97"/>
      <c r="T14" s="102"/>
      <c r="AD14" s="1">
        <f t="shared" si="5"/>
        <v>0</v>
      </c>
      <c r="AE14" s="1">
        <f t="shared" si="5"/>
        <v>40</v>
      </c>
      <c r="AF14" s="1">
        <f t="shared" si="5"/>
        <v>60</v>
      </c>
      <c r="AG14" s="1">
        <f t="shared" si="5"/>
        <v>80</v>
      </c>
      <c r="AH14" s="1">
        <f t="shared" si="5"/>
        <v>100</v>
      </c>
      <c r="AI14" s="1">
        <f t="shared" si="5"/>
        <v>150</v>
      </c>
      <c r="AJ14" s="1">
        <f t="shared" si="5"/>
        <v>200</v>
      </c>
      <c r="AK14" s="1">
        <f t="shared" si="5"/>
        <v>250</v>
      </c>
      <c r="AL14" s="1">
        <f t="shared" si="5"/>
        <v>350</v>
      </c>
      <c r="AM14" s="1">
        <f t="shared" si="5"/>
        <v>450</v>
      </c>
      <c r="AN14" s="1">
        <f t="shared" si="5"/>
        <v>650</v>
      </c>
      <c r="AO14" s="1">
        <f t="shared" si="5"/>
        <v>2000</v>
      </c>
    </row>
    <row r="15" spans="1:41" ht="15.75" x14ac:dyDescent="0.25">
      <c r="A15" s="5"/>
      <c r="B15" s="5" t="s">
        <v>123</v>
      </c>
      <c r="C15" s="5" t="s">
        <v>124</v>
      </c>
      <c r="F15" s="245" t="s">
        <v>125</v>
      </c>
      <c r="G15" s="248" t="s">
        <v>109</v>
      </c>
      <c r="H15" s="249"/>
      <c r="I15" s="250">
        <v>0.6</v>
      </c>
      <c r="J15" s="250">
        <f>-0.123*LN(K12)+0.9</f>
        <v>0.39639561884668173</v>
      </c>
      <c r="K15" s="250">
        <f t="shared" ref="K15:R15" si="6">-0.123*LN(L12)+0.9</f>
        <v>0.36101072393511269</v>
      </c>
      <c r="L15" s="250">
        <f t="shared" si="6"/>
        <v>0.33356406712346476</v>
      </c>
      <c r="M15" s="250">
        <f t="shared" si="6"/>
        <v>0.28369185882616055</v>
      </c>
      <c r="N15" s="250">
        <f t="shared" si="6"/>
        <v>0.24830696391459162</v>
      </c>
      <c r="O15" s="250">
        <f t="shared" si="6"/>
        <v>0.2208603071029438</v>
      </c>
      <c r="P15" s="250">
        <f t="shared" si="6"/>
        <v>0.17947422199853458</v>
      </c>
      <c r="Q15" s="250">
        <f t="shared" si="6"/>
        <v>0.14856254731998308</v>
      </c>
      <c r="R15" s="250">
        <f t="shared" si="6"/>
        <v>0.10333239936456906</v>
      </c>
      <c r="S15" s="250">
        <v>0.08</v>
      </c>
      <c r="T15" s="251">
        <v>0.1</v>
      </c>
      <c r="Y15" s="235" t="s">
        <v>33</v>
      </c>
      <c r="Z15" s="1">
        <f>SUM(AD15:AO15)</f>
        <v>287389.41168433084</v>
      </c>
      <c r="AB15" s="1" t="s">
        <v>106</v>
      </c>
      <c r="AD15" s="1">
        <f>IF($Z$13&gt;AD14,(IF($Z$13-AE14&gt;0,(AE14-AD14)*$B$9*AD17,($Z$13-AD14)*$B$9*AD17)),0)</f>
        <v>253848</v>
      </c>
      <c r="AE15" s="1">
        <f t="shared" ref="AE15:AN15" si="7">IF($Z$13&gt;AE14,(IF($Z$13-AF14&gt;0,(AF14-AE14)*$B$9*AE17,($Z$13-AE14)*$B$9*AE17)),0)</f>
        <v>33541.411684330822</v>
      </c>
      <c r="AF15" s="1">
        <f t="shared" si="7"/>
        <v>0</v>
      </c>
      <c r="AG15" s="1">
        <f t="shared" si="7"/>
        <v>0</v>
      </c>
      <c r="AH15" s="1">
        <f t="shared" si="7"/>
        <v>0</v>
      </c>
      <c r="AI15" s="1">
        <f t="shared" si="7"/>
        <v>0</v>
      </c>
      <c r="AJ15" s="1">
        <f t="shared" si="7"/>
        <v>0</v>
      </c>
      <c r="AK15" s="1">
        <f t="shared" si="7"/>
        <v>0</v>
      </c>
      <c r="AL15" s="1">
        <f t="shared" si="7"/>
        <v>0</v>
      </c>
      <c r="AM15" s="1">
        <f t="shared" si="7"/>
        <v>0</v>
      </c>
      <c r="AN15" s="1">
        <f t="shared" si="7"/>
        <v>0</v>
      </c>
    </row>
    <row r="16" spans="1:41" ht="15.75" x14ac:dyDescent="0.25">
      <c r="A16" s="252" t="s">
        <v>126</v>
      </c>
      <c r="B16" s="5"/>
      <c r="C16" s="5" t="s">
        <v>140</v>
      </c>
      <c r="G16" s="237"/>
      <c r="H16" s="97"/>
      <c r="I16" s="97"/>
      <c r="J16" s="97"/>
      <c r="K16" s="97"/>
      <c r="L16" s="97"/>
      <c r="M16" s="97"/>
      <c r="N16" s="97"/>
      <c r="O16" s="97"/>
      <c r="P16" s="97"/>
      <c r="Q16" s="97"/>
      <c r="R16" s="97"/>
      <c r="S16" s="97"/>
      <c r="T16" s="102"/>
    </row>
    <row r="17" spans="2:41" ht="16.5" thickBot="1" x14ac:dyDescent="0.3">
      <c r="B17" s="229" t="s">
        <v>102</v>
      </c>
      <c r="C17" s="229">
        <v>42</v>
      </c>
      <c r="G17" s="253"/>
      <c r="H17" s="105"/>
      <c r="I17" s="105"/>
      <c r="J17" s="105"/>
      <c r="K17" s="105"/>
      <c r="L17" s="105"/>
      <c r="M17" s="105"/>
      <c r="N17" s="105"/>
      <c r="O17" s="105"/>
      <c r="P17" s="105"/>
      <c r="Q17" s="105"/>
      <c r="R17" s="105"/>
      <c r="S17" s="105"/>
      <c r="T17" s="106"/>
      <c r="AB17" s="1" t="s">
        <v>109</v>
      </c>
      <c r="AD17" s="218">
        <f t="shared" ref="AD17:AO17" si="8">AD9</f>
        <v>0.6</v>
      </c>
      <c r="AE17" s="218">
        <f t="shared" si="8"/>
        <v>0.39639561884668173</v>
      </c>
      <c r="AF17" s="218">
        <f t="shared" si="8"/>
        <v>0.36101072393511269</v>
      </c>
      <c r="AG17" s="218">
        <f t="shared" si="8"/>
        <v>0.33356406712346476</v>
      </c>
      <c r="AH17" s="218">
        <f t="shared" si="8"/>
        <v>0.28369185882616055</v>
      </c>
      <c r="AI17" s="218">
        <f t="shared" si="8"/>
        <v>0.24830696391459162</v>
      </c>
      <c r="AJ17" s="218">
        <f t="shared" si="8"/>
        <v>0.2208603071029438</v>
      </c>
      <c r="AK17" s="218">
        <f t="shared" si="8"/>
        <v>0.17947422199853458</v>
      </c>
      <c r="AL17" s="218">
        <f t="shared" si="8"/>
        <v>0.14856254731998308</v>
      </c>
      <c r="AM17" s="218">
        <f t="shared" si="8"/>
        <v>0.10333239936456906</v>
      </c>
      <c r="AN17" s="218">
        <f t="shared" si="8"/>
        <v>0.08</v>
      </c>
      <c r="AO17" s="218">
        <f t="shared" si="8"/>
        <v>0.1</v>
      </c>
    </row>
    <row r="18" spans="2:41" ht="15.75" x14ac:dyDescent="0.25">
      <c r="B18" s="229" t="s">
        <v>8</v>
      </c>
      <c r="C18" s="229">
        <v>48</v>
      </c>
    </row>
    <row r="19" spans="2:41" ht="15.75" x14ac:dyDescent="0.25">
      <c r="B19" s="229" t="s">
        <v>11</v>
      </c>
      <c r="C19" s="229">
        <v>65</v>
      </c>
      <c r="L19" s="22"/>
    </row>
    <row r="20" spans="2:41" ht="15.75" x14ac:dyDescent="0.25">
      <c r="B20" s="254" t="s">
        <v>22</v>
      </c>
      <c r="C20" s="255">
        <v>49</v>
      </c>
      <c r="Y20" s="235" t="s">
        <v>11</v>
      </c>
      <c r="Z20" s="1">
        <f>C19</f>
        <v>65</v>
      </c>
      <c r="AB20" s="1" t="s">
        <v>103</v>
      </c>
      <c r="AD20" s="1" t="str">
        <f t="shared" ref="AD20:AN20" si="9">AD13</f>
        <v>0-40</v>
      </c>
      <c r="AE20" s="1" t="str">
        <f t="shared" si="9"/>
        <v>40-60</v>
      </c>
      <c r="AF20" s="1" t="str">
        <f t="shared" si="9"/>
        <v>60-80</v>
      </c>
      <c r="AG20" s="1" t="str">
        <f t="shared" si="9"/>
        <v>80-100</v>
      </c>
      <c r="AH20" s="1" t="str">
        <f t="shared" si="9"/>
        <v>100-150</v>
      </c>
      <c r="AI20" s="1" t="str">
        <f t="shared" si="9"/>
        <v>150-200</v>
      </c>
      <c r="AJ20" s="1" t="str">
        <f t="shared" si="9"/>
        <v>200-250</v>
      </c>
      <c r="AK20" s="1" t="str">
        <f t="shared" si="9"/>
        <v>250-350</v>
      </c>
      <c r="AL20" s="1" t="str">
        <f t="shared" si="9"/>
        <v>350-450</v>
      </c>
      <c r="AM20" s="1" t="str">
        <f t="shared" si="9"/>
        <v>450-650</v>
      </c>
      <c r="AN20" s="1" t="str">
        <f t="shared" si="9"/>
        <v>650-2000</v>
      </c>
    </row>
    <row r="21" spans="2:41" ht="15.75" x14ac:dyDescent="0.25">
      <c r="B21" s="229" t="s">
        <v>15</v>
      </c>
      <c r="C21" s="229">
        <v>29</v>
      </c>
      <c r="AD21" s="1">
        <f t="shared" ref="AD21:AO21" si="10">AD6</f>
        <v>0</v>
      </c>
      <c r="AE21" s="1">
        <f t="shared" si="10"/>
        <v>40</v>
      </c>
      <c r="AF21" s="1">
        <f t="shared" si="10"/>
        <v>60</v>
      </c>
      <c r="AG21" s="1">
        <f t="shared" si="10"/>
        <v>80</v>
      </c>
      <c r="AH21" s="1">
        <f t="shared" si="10"/>
        <v>100</v>
      </c>
      <c r="AI21" s="1">
        <f t="shared" si="10"/>
        <v>150</v>
      </c>
      <c r="AJ21" s="1">
        <f t="shared" si="10"/>
        <v>200</v>
      </c>
      <c r="AK21" s="1">
        <f t="shared" si="10"/>
        <v>250</v>
      </c>
      <c r="AL21" s="1">
        <f t="shared" si="10"/>
        <v>350</v>
      </c>
      <c r="AM21" s="1">
        <f t="shared" si="10"/>
        <v>450</v>
      </c>
      <c r="AN21" s="1">
        <f t="shared" si="10"/>
        <v>650</v>
      </c>
      <c r="AO21" s="1">
        <f t="shared" si="10"/>
        <v>2000</v>
      </c>
    </row>
    <row r="22" spans="2:41" ht="15.75" x14ac:dyDescent="0.25">
      <c r="B22" s="229" t="s">
        <v>128</v>
      </c>
      <c r="C22" s="229">
        <v>14</v>
      </c>
      <c r="G22" s="5" t="s">
        <v>33</v>
      </c>
      <c r="H22" s="5"/>
      <c r="I22" s="217">
        <f>SUM(I13:S13)</f>
        <v>6346.2</v>
      </c>
      <c r="Y22" s="235" t="s">
        <v>33</v>
      </c>
      <c r="Z22" s="1">
        <f>SUM(AD22:AO22)</f>
        <v>356793.58134613553</v>
      </c>
      <c r="AB22" s="1" t="s">
        <v>106</v>
      </c>
      <c r="AD22" s="1">
        <f>IF($Z$20&gt;AD21,(IF($Z$20-AE21&gt;0,(AE21-AD21)*$B$9*AD24,($Z$20-AD21)*$B$9*AD24)),0)</f>
        <v>253848</v>
      </c>
      <c r="AE22" s="1">
        <f t="shared" ref="AE22:AN22" si="11">IF($Z$20&gt;AE21,(IF($Z$20-AF21&gt;0,(AF21-AE21)*$B$9*AE24,($Z$20-AE21)*$B$9*AE24)),0)</f>
        <v>83853.529210827051</v>
      </c>
      <c r="AF22" s="1">
        <f t="shared" si="11"/>
        <v>19092.052135308433</v>
      </c>
      <c r="AG22" s="1">
        <f t="shared" si="11"/>
        <v>0</v>
      </c>
      <c r="AH22" s="1">
        <f t="shared" si="11"/>
        <v>0</v>
      </c>
      <c r="AI22" s="1">
        <f t="shared" si="11"/>
        <v>0</v>
      </c>
      <c r="AJ22" s="1">
        <f t="shared" si="11"/>
        <v>0</v>
      </c>
      <c r="AK22" s="1">
        <f t="shared" si="11"/>
        <v>0</v>
      </c>
      <c r="AL22" s="1">
        <f t="shared" si="11"/>
        <v>0</v>
      </c>
      <c r="AM22" s="1">
        <f t="shared" si="11"/>
        <v>0</v>
      </c>
      <c r="AN22" s="1">
        <f t="shared" si="11"/>
        <v>0</v>
      </c>
    </row>
    <row r="23" spans="2:41" ht="15.75" x14ac:dyDescent="0.25">
      <c r="B23" s="229" t="s">
        <v>16</v>
      </c>
      <c r="C23" s="229">
        <v>28</v>
      </c>
    </row>
    <row r="24" spans="2:41" ht="15.75" x14ac:dyDescent="0.25">
      <c r="B24" s="229" t="s">
        <v>9</v>
      </c>
      <c r="C24" s="229">
        <v>93</v>
      </c>
      <c r="AB24" s="1" t="s">
        <v>109</v>
      </c>
      <c r="AD24" s="218">
        <f t="shared" ref="AD24:AO24" si="12">AD9</f>
        <v>0.6</v>
      </c>
      <c r="AE24" s="218">
        <f t="shared" si="12"/>
        <v>0.39639561884668173</v>
      </c>
      <c r="AF24" s="218">
        <f t="shared" si="12"/>
        <v>0.36101072393511269</v>
      </c>
      <c r="AG24" s="218">
        <f t="shared" si="12"/>
        <v>0.33356406712346476</v>
      </c>
      <c r="AH24" s="218">
        <f t="shared" si="12"/>
        <v>0.28369185882616055</v>
      </c>
      <c r="AI24" s="218">
        <f t="shared" si="12"/>
        <v>0.24830696391459162</v>
      </c>
      <c r="AJ24" s="218">
        <f t="shared" si="12"/>
        <v>0.2208603071029438</v>
      </c>
      <c r="AK24" s="218">
        <f t="shared" si="12"/>
        <v>0.17947422199853458</v>
      </c>
      <c r="AL24" s="218">
        <f t="shared" si="12"/>
        <v>0.14856254731998308</v>
      </c>
      <c r="AM24" s="218">
        <f t="shared" si="12"/>
        <v>0.10333239936456906</v>
      </c>
      <c r="AN24" s="218">
        <f t="shared" si="12"/>
        <v>0.08</v>
      </c>
      <c r="AO24" s="218">
        <f t="shared" si="12"/>
        <v>0.1</v>
      </c>
    </row>
    <row r="25" spans="2:41" ht="16.5" thickBot="1" x14ac:dyDescent="0.3">
      <c r="B25" s="256" t="s">
        <v>21</v>
      </c>
      <c r="C25" s="256">
        <v>113</v>
      </c>
    </row>
    <row r="26" spans="2:41" ht="15.75" x14ac:dyDescent="0.25">
      <c r="B26" s="229" t="s">
        <v>18</v>
      </c>
      <c r="C26" s="229">
        <v>50</v>
      </c>
      <c r="G26" s="257"/>
      <c r="H26" s="258"/>
      <c r="I26" s="258"/>
      <c r="J26" s="258"/>
      <c r="K26" s="258"/>
      <c r="L26" s="258"/>
      <c r="M26" s="258"/>
      <c r="N26" s="258"/>
      <c r="O26" s="258"/>
      <c r="P26" s="258"/>
      <c r="Q26" s="258"/>
      <c r="R26" s="258"/>
      <c r="S26" s="258"/>
      <c r="T26" s="259"/>
    </row>
    <row r="27" spans="2:41" ht="15.75" x14ac:dyDescent="0.25">
      <c r="B27" s="229" t="s">
        <v>13</v>
      </c>
      <c r="C27" s="229">
        <v>172</v>
      </c>
      <c r="G27" s="260"/>
      <c r="H27" s="261" t="s">
        <v>123</v>
      </c>
      <c r="I27" s="261" t="s">
        <v>129</v>
      </c>
      <c r="J27" s="261" t="s">
        <v>141</v>
      </c>
      <c r="K27" s="262" t="s">
        <v>131</v>
      </c>
      <c r="L27" s="262"/>
      <c r="M27" s="262" t="s">
        <v>132</v>
      </c>
      <c r="N27" s="263"/>
      <c r="O27" s="263"/>
      <c r="P27" s="263"/>
      <c r="Q27" s="263"/>
      <c r="R27" s="263"/>
      <c r="S27" s="263"/>
      <c r="T27" s="264"/>
    </row>
    <row r="28" spans="2:41" ht="15.75" x14ac:dyDescent="0.25">
      <c r="B28" s="229" t="s">
        <v>17</v>
      </c>
      <c r="C28" s="229">
        <v>284</v>
      </c>
      <c r="G28" s="265" t="s">
        <v>102</v>
      </c>
      <c r="H28" s="266">
        <v>42</v>
      </c>
      <c r="I28" s="267">
        <f>Z7</f>
        <v>262233.3529210827</v>
      </c>
      <c r="J28" s="268">
        <v>313258.51200000005</v>
      </c>
      <c r="K28" s="269">
        <f>I28/J28</f>
        <v>0.83711485203339875</v>
      </c>
      <c r="L28" s="263"/>
      <c r="M28" s="270">
        <f>I28/H28</f>
        <v>6243.6512600257784</v>
      </c>
      <c r="N28" s="263"/>
      <c r="O28" s="263"/>
      <c r="P28" s="263"/>
      <c r="Q28" s="263"/>
      <c r="R28" s="263"/>
      <c r="S28" s="263"/>
      <c r="T28" s="264"/>
      <c r="Y28" s="235" t="s">
        <v>22</v>
      </c>
      <c r="Z28" s="1">
        <f>C20</f>
        <v>49</v>
      </c>
      <c r="AB28" s="1" t="s">
        <v>103</v>
      </c>
      <c r="AD28" s="1" t="str">
        <f t="shared" ref="AD28:AN28" si="13">AD13</f>
        <v>0-40</v>
      </c>
      <c r="AE28" s="1" t="str">
        <f t="shared" si="13"/>
        <v>40-60</v>
      </c>
      <c r="AF28" s="1" t="str">
        <f t="shared" si="13"/>
        <v>60-80</v>
      </c>
      <c r="AG28" s="1" t="str">
        <f t="shared" si="13"/>
        <v>80-100</v>
      </c>
      <c r="AH28" s="1" t="str">
        <f t="shared" si="13"/>
        <v>100-150</v>
      </c>
      <c r="AI28" s="1" t="str">
        <f t="shared" si="13"/>
        <v>150-200</v>
      </c>
      <c r="AJ28" s="1" t="str">
        <f t="shared" si="13"/>
        <v>200-250</v>
      </c>
      <c r="AK28" s="1" t="str">
        <f t="shared" si="13"/>
        <v>250-350</v>
      </c>
      <c r="AL28" s="1" t="str">
        <f t="shared" si="13"/>
        <v>350-450</v>
      </c>
      <c r="AM28" s="1" t="str">
        <f t="shared" si="13"/>
        <v>450-650</v>
      </c>
      <c r="AN28" s="1" t="str">
        <f t="shared" si="13"/>
        <v>650-2000</v>
      </c>
    </row>
    <row r="29" spans="2:41" ht="15.75" x14ac:dyDescent="0.25">
      <c r="B29" s="229" t="s">
        <v>19</v>
      </c>
      <c r="C29" s="229">
        <v>217</v>
      </c>
      <c r="G29" s="265" t="s">
        <v>8</v>
      </c>
      <c r="H29" s="271">
        <v>48</v>
      </c>
      <c r="I29" s="268">
        <f>Z15</f>
        <v>287389.41168433084</v>
      </c>
      <c r="J29" s="268">
        <v>358009.72800000006</v>
      </c>
      <c r="K29" s="269">
        <f t="shared" ref="K29:K45" si="14">I29/J29</f>
        <v>0.80274190673481027</v>
      </c>
      <c r="L29" s="263"/>
      <c r="M29" s="270">
        <f t="shared" ref="M29:M45" si="15">I29/H29</f>
        <v>5987.2794100902256</v>
      </c>
      <c r="N29" s="263"/>
      <c r="O29" s="263"/>
      <c r="P29" s="263"/>
      <c r="Q29" s="263"/>
      <c r="R29" s="263"/>
      <c r="S29" s="263"/>
      <c r="T29" s="264"/>
      <c r="AD29" s="1">
        <f t="shared" ref="AD29:AO29" si="16">AD6</f>
        <v>0</v>
      </c>
      <c r="AE29" s="1">
        <f t="shared" si="16"/>
        <v>40</v>
      </c>
      <c r="AF29" s="1">
        <f t="shared" si="16"/>
        <v>60</v>
      </c>
      <c r="AG29" s="1">
        <f t="shared" si="16"/>
        <v>80</v>
      </c>
      <c r="AH29" s="1">
        <f t="shared" si="16"/>
        <v>100</v>
      </c>
      <c r="AI29" s="1">
        <f t="shared" si="16"/>
        <v>150</v>
      </c>
      <c r="AJ29" s="1">
        <f t="shared" si="16"/>
        <v>200</v>
      </c>
      <c r="AK29" s="1">
        <f t="shared" si="16"/>
        <v>250</v>
      </c>
      <c r="AL29" s="1">
        <f t="shared" si="16"/>
        <v>350</v>
      </c>
      <c r="AM29" s="1">
        <f t="shared" si="16"/>
        <v>450</v>
      </c>
      <c r="AN29" s="1">
        <f t="shared" si="16"/>
        <v>650</v>
      </c>
      <c r="AO29" s="1">
        <f t="shared" si="16"/>
        <v>2000</v>
      </c>
    </row>
    <row r="30" spans="2:41" ht="15.75" x14ac:dyDescent="0.25">
      <c r="B30" s="229" t="s">
        <v>133</v>
      </c>
      <c r="C30" s="229">
        <v>309</v>
      </c>
      <c r="G30" s="265" t="s">
        <v>11</v>
      </c>
      <c r="H30" s="266">
        <v>65</v>
      </c>
      <c r="I30" s="267">
        <f>Z22</f>
        <v>356793.58134613553</v>
      </c>
      <c r="J30" s="268">
        <v>484804.84000000008</v>
      </c>
      <c r="K30" s="269">
        <f t="shared" si="14"/>
        <v>0.73595301017649795</v>
      </c>
      <c r="L30" s="263"/>
      <c r="M30" s="270">
        <f t="shared" si="15"/>
        <v>5489.132020709777</v>
      </c>
      <c r="N30" s="263"/>
      <c r="O30" s="263"/>
      <c r="P30" s="263"/>
      <c r="Q30" s="263"/>
      <c r="R30" s="263"/>
      <c r="S30" s="263"/>
      <c r="T30" s="264"/>
      <c r="Y30" s="235" t="s">
        <v>33</v>
      </c>
      <c r="Z30" s="1">
        <f>SUM(AD30:AO30)</f>
        <v>291582.08814487216</v>
      </c>
      <c r="AB30" s="1" t="s">
        <v>106</v>
      </c>
      <c r="AD30" s="1">
        <f>IF($Z$28&gt;AD29,(IF($Z$28-AE29&gt;0,(AE29-AD29)*$B$9*AD32,($Z$28-AD29)*$B$9*AD32)),0)</f>
        <v>253848</v>
      </c>
      <c r="AE30" s="1">
        <f t="shared" ref="AE30:AN30" si="17">IF($Z$28&gt;AE29,(IF($Z$28-AF29&gt;0,(AF29-AE29)*$B$9*AE32,($Z$28-AE29)*$B$9*AE32)),0)</f>
        <v>37734.088144872178</v>
      </c>
      <c r="AF30" s="1">
        <f t="shared" si="17"/>
        <v>0</v>
      </c>
      <c r="AG30" s="1">
        <f t="shared" si="17"/>
        <v>0</v>
      </c>
      <c r="AH30" s="1">
        <f t="shared" si="17"/>
        <v>0</v>
      </c>
      <c r="AI30" s="1">
        <f t="shared" si="17"/>
        <v>0</v>
      </c>
      <c r="AJ30" s="1">
        <f t="shared" si="17"/>
        <v>0</v>
      </c>
      <c r="AK30" s="1">
        <f t="shared" si="17"/>
        <v>0</v>
      </c>
      <c r="AL30" s="1">
        <f t="shared" si="17"/>
        <v>0</v>
      </c>
      <c r="AM30" s="1">
        <f t="shared" si="17"/>
        <v>0</v>
      </c>
      <c r="AN30" s="1">
        <f t="shared" si="17"/>
        <v>0</v>
      </c>
    </row>
    <row r="31" spans="2:41" ht="15.75" x14ac:dyDescent="0.25">
      <c r="B31" s="229" t="s">
        <v>134</v>
      </c>
      <c r="C31" s="229">
        <v>541</v>
      </c>
      <c r="G31" s="265" t="s">
        <v>22</v>
      </c>
      <c r="H31" s="266">
        <v>49</v>
      </c>
      <c r="I31" s="267">
        <f>Z30</f>
        <v>291582.08814487216</v>
      </c>
      <c r="J31" s="268">
        <v>365468.26400000002</v>
      </c>
      <c r="K31" s="269">
        <f t="shared" si="14"/>
        <v>0.79783148597786901</v>
      </c>
      <c r="L31" s="263"/>
      <c r="M31" s="270">
        <f t="shared" si="15"/>
        <v>5950.654860099432</v>
      </c>
      <c r="N31" s="263"/>
      <c r="O31" s="263"/>
      <c r="P31" s="263"/>
      <c r="Q31" s="263"/>
      <c r="R31" s="263"/>
      <c r="S31" s="263"/>
      <c r="T31" s="264"/>
    </row>
    <row r="32" spans="2:41" ht="15.75" customHeight="1" x14ac:dyDescent="0.25">
      <c r="B32" s="229" t="s">
        <v>135</v>
      </c>
      <c r="C32" s="229">
        <v>1117</v>
      </c>
      <c r="G32" s="265" t="s">
        <v>15</v>
      </c>
      <c r="H32" s="266">
        <v>29</v>
      </c>
      <c r="I32" s="267">
        <f>Z37</f>
        <v>184039.8</v>
      </c>
      <c r="J32" s="268">
        <v>216297.54399999999</v>
      </c>
      <c r="K32" s="269">
        <f t="shared" si="14"/>
        <v>0.85086403015283429</v>
      </c>
      <c r="L32" s="263"/>
      <c r="M32" s="270">
        <f t="shared" si="15"/>
        <v>6346.2</v>
      </c>
      <c r="N32" s="263"/>
      <c r="O32" s="263"/>
      <c r="P32" s="263"/>
      <c r="Q32" s="263"/>
      <c r="R32" s="263"/>
      <c r="S32" s="263"/>
      <c r="T32" s="264"/>
      <c r="AB32" s="1" t="s">
        <v>109</v>
      </c>
      <c r="AD32" s="218">
        <f t="shared" ref="AD32:AO32" si="18">AD9</f>
        <v>0.6</v>
      </c>
      <c r="AE32" s="218">
        <f t="shared" si="18"/>
        <v>0.39639561884668173</v>
      </c>
      <c r="AF32" s="218">
        <f t="shared" si="18"/>
        <v>0.36101072393511269</v>
      </c>
      <c r="AG32" s="218">
        <f t="shared" si="18"/>
        <v>0.33356406712346476</v>
      </c>
      <c r="AH32" s="218">
        <f t="shared" si="18"/>
        <v>0.28369185882616055</v>
      </c>
      <c r="AI32" s="218">
        <f t="shared" si="18"/>
        <v>0.24830696391459162</v>
      </c>
      <c r="AJ32" s="218">
        <f t="shared" si="18"/>
        <v>0.2208603071029438</v>
      </c>
      <c r="AK32" s="218">
        <f t="shared" si="18"/>
        <v>0.17947422199853458</v>
      </c>
      <c r="AL32" s="218">
        <f t="shared" si="18"/>
        <v>0.14856254731998308</v>
      </c>
      <c r="AM32" s="218">
        <f t="shared" si="18"/>
        <v>0.10333239936456906</v>
      </c>
      <c r="AN32" s="218">
        <f t="shared" si="18"/>
        <v>0.08</v>
      </c>
      <c r="AO32" s="218">
        <f t="shared" si="18"/>
        <v>0.1</v>
      </c>
    </row>
    <row r="33" spans="2:41" ht="15" customHeight="1" x14ac:dyDescent="0.25">
      <c r="B33" s="229"/>
      <c r="C33" s="229"/>
      <c r="G33" s="265" t="s">
        <v>128</v>
      </c>
      <c r="H33" s="266">
        <v>14</v>
      </c>
      <c r="I33" s="267">
        <f>Z45</f>
        <v>88846.8</v>
      </c>
      <c r="J33" s="268">
        <v>104419.50400000002</v>
      </c>
      <c r="K33" s="269">
        <f t="shared" si="14"/>
        <v>0.85086403015283418</v>
      </c>
      <c r="L33" s="263"/>
      <c r="M33" s="270">
        <f t="shared" si="15"/>
        <v>6346.2</v>
      </c>
      <c r="N33" s="263"/>
      <c r="O33" s="263"/>
      <c r="P33" s="263"/>
      <c r="Q33" s="263"/>
      <c r="R33" s="263"/>
      <c r="S33" s="263"/>
      <c r="T33" s="264"/>
    </row>
    <row r="34" spans="2:41" ht="15.75" x14ac:dyDescent="0.25">
      <c r="B34" s="229" t="s">
        <v>32</v>
      </c>
      <c r="C34" s="229">
        <f>SUM(C17:C32)</f>
        <v>3171</v>
      </c>
      <c r="G34" s="265" t="s">
        <v>16</v>
      </c>
      <c r="H34" s="266">
        <v>28</v>
      </c>
      <c r="I34" s="267">
        <f>Z52</f>
        <v>177693.6</v>
      </c>
      <c r="J34" s="268">
        <v>208839.00800000003</v>
      </c>
      <c r="K34" s="269">
        <f t="shared" si="14"/>
        <v>0.85086403015283418</v>
      </c>
      <c r="L34" s="263"/>
      <c r="M34" s="270">
        <f t="shared" si="15"/>
        <v>6346.2</v>
      </c>
      <c r="N34" s="263"/>
      <c r="O34" s="263"/>
      <c r="P34" s="263"/>
      <c r="Q34" s="263"/>
      <c r="R34" s="263"/>
      <c r="S34" s="263"/>
      <c r="T34" s="264"/>
    </row>
    <row r="35" spans="2:41" ht="15.75" x14ac:dyDescent="0.25">
      <c r="B35" s="229"/>
      <c r="C35" s="229"/>
      <c r="G35" s="265" t="s">
        <v>9</v>
      </c>
      <c r="H35" s="266">
        <v>93</v>
      </c>
      <c r="I35" s="267">
        <f>Z60</f>
        <v>459935.13054560433</v>
      </c>
      <c r="J35" s="268">
        <v>520232.886</v>
      </c>
      <c r="K35" s="269">
        <f t="shared" si="14"/>
        <v>0.8840946870582963</v>
      </c>
      <c r="L35" s="263"/>
      <c r="M35" s="270">
        <f t="shared" si="15"/>
        <v>4945.539038124778</v>
      </c>
      <c r="N35" s="263"/>
      <c r="O35" s="263"/>
      <c r="P35" s="263"/>
      <c r="Q35" s="263"/>
      <c r="R35" s="263"/>
      <c r="S35" s="263"/>
      <c r="T35" s="264"/>
      <c r="Y35" s="235" t="s">
        <v>15</v>
      </c>
      <c r="Z35" s="1">
        <f>C21</f>
        <v>29</v>
      </c>
      <c r="AB35" s="1" t="s">
        <v>103</v>
      </c>
      <c r="AD35" s="1" t="str">
        <f t="shared" ref="AD35:AN35" si="19">AD13</f>
        <v>0-40</v>
      </c>
      <c r="AE35" s="1" t="str">
        <f t="shared" si="19"/>
        <v>40-60</v>
      </c>
      <c r="AF35" s="1" t="str">
        <f t="shared" si="19"/>
        <v>60-80</v>
      </c>
      <c r="AG35" s="1" t="str">
        <f t="shared" si="19"/>
        <v>80-100</v>
      </c>
      <c r="AH35" s="1" t="str">
        <f t="shared" si="19"/>
        <v>100-150</v>
      </c>
      <c r="AI35" s="1" t="str">
        <f t="shared" si="19"/>
        <v>150-200</v>
      </c>
      <c r="AJ35" s="1" t="str">
        <f t="shared" si="19"/>
        <v>200-250</v>
      </c>
      <c r="AK35" s="1" t="str">
        <f t="shared" si="19"/>
        <v>250-350</v>
      </c>
      <c r="AL35" s="1" t="str">
        <f t="shared" si="19"/>
        <v>350-450</v>
      </c>
      <c r="AM35" s="1" t="str">
        <f t="shared" si="19"/>
        <v>450-650</v>
      </c>
      <c r="AN35" s="1" t="str">
        <f t="shared" si="19"/>
        <v>650-2000</v>
      </c>
    </row>
    <row r="36" spans="2:41" ht="15.75" x14ac:dyDescent="0.25">
      <c r="B36" s="229" t="s">
        <v>136</v>
      </c>
      <c r="C36" s="229">
        <v>3171</v>
      </c>
      <c r="G36" s="265" t="s">
        <v>21</v>
      </c>
      <c r="H36" s="266">
        <v>113</v>
      </c>
      <c r="I36" s="267">
        <f>Z67</f>
        <v>523639.79479181446</v>
      </c>
      <c r="J36" s="268">
        <v>632110.92599999998</v>
      </c>
      <c r="K36" s="269">
        <f t="shared" si="14"/>
        <v>0.82839858204225136</v>
      </c>
      <c r="L36" s="263"/>
      <c r="M36" s="270">
        <f t="shared" si="15"/>
        <v>4633.9804848833137</v>
      </c>
      <c r="N36" s="263"/>
      <c r="O36" s="263"/>
      <c r="P36" s="263"/>
      <c r="Q36" s="263"/>
      <c r="R36" s="263"/>
      <c r="S36" s="263"/>
      <c r="T36" s="264"/>
      <c r="AD36" s="1">
        <f t="shared" ref="AD36:AO36" si="20">AD6</f>
        <v>0</v>
      </c>
      <c r="AE36" s="1">
        <f t="shared" si="20"/>
        <v>40</v>
      </c>
      <c r="AF36" s="1">
        <f t="shared" si="20"/>
        <v>60</v>
      </c>
      <c r="AG36" s="1">
        <f t="shared" si="20"/>
        <v>80</v>
      </c>
      <c r="AH36" s="1">
        <f t="shared" si="20"/>
        <v>100</v>
      </c>
      <c r="AI36" s="1">
        <f t="shared" si="20"/>
        <v>150</v>
      </c>
      <c r="AJ36" s="1">
        <f t="shared" si="20"/>
        <v>200</v>
      </c>
      <c r="AK36" s="1">
        <f t="shared" si="20"/>
        <v>250</v>
      </c>
      <c r="AL36" s="1">
        <f t="shared" si="20"/>
        <v>350</v>
      </c>
      <c r="AM36" s="1">
        <f t="shared" si="20"/>
        <v>450</v>
      </c>
      <c r="AN36" s="1">
        <f t="shared" si="20"/>
        <v>650</v>
      </c>
      <c r="AO36" s="1">
        <f t="shared" si="20"/>
        <v>2000</v>
      </c>
    </row>
    <row r="37" spans="2:41" ht="15.75" x14ac:dyDescent="0.25">
      <c r="G37" s="265" t="s">
        <v>18</v>
      </c>
      <c r="H37" s="271">
        <v>50</v>
      </c>
      <c r="I37" s="268">
        <f>Z75</f>
        <v>295774.76460541354</v>
      </c>
      <c r="J37" s="268">
        <v>279695.09999999998</v>
      </c>
      <c r="K37" s="269">
        <f t="shared" si="14"/>
        <v>1.0574899760682743</v>
      </c>
      <c r="L37" s="263"/>
      <c r="M37" s="270">
        <f t="shared" si="15"/>
        <v>5915.4952921082704</v>
      </c>
      <c r="N37" s="263"/>
      <c r="O37" s="263"/>
      <c r="P37" s="263"/>
      <c r="Q37" s="263"/>
      <c r="R37" s="263"/>
      <c r="S37" s="263"/>
      <c r="T37" s="264"/>
      <c r="Y37" s="235" t="s">
        <v>33</v>
      </c>
      <c r="Z37" s="1">
        <f>SUM(AD37:AO37)</f>
        <v>184039.8</v>
      </c>
      <c r="AB37" s="1" t="s">
        <v>106</v>
      </c>
      <c r="AD37" s="1">
        <f>IF($Z$35&gt;AD36,(IF($Z$35-AE36&gt;0,(AE36-AD36)*$B$9*AD39,($Z$35-AD36)*$B$9*AD39)),0)</f>
        <v>184039.8</v>
      </c>
      <c r="AE37" s="1">
        <f t="shared" ref="AE37:AN37" si="21">IF($Z$35&gt;AE36,(IF($Z$35-AF36&gt;0,(AF36-AE36)*$B$9*AE39,($Z$35-AE36)*$B$9*AE39)),0)</f>
        <v>0</v>
      </c>
      <c r="AF37" s="1">
        <f t="shared" si="21"/>
        <v>0</v>
      </c>
      <c r="AG37" s="1">
        <f t="shared" si="21"/>
        <v>0</v>
      </c>
      <c r="AH37" s="1">
        <f t="shared" si="21"/>
        <v>0</v>
      </c>
      <c r="AI37" s="1">
        <f t="shared" si="21"/>
        <v>0</v>
      </c>
      <c r="AJ37" s="1">
        <f t="shared" si="21"/>
        <v>0</v>
      </c>
      <c r="AK37" s="1">
        <f t="shared" si="21"/>
        <v>0</v>
      </c>
      <c r="AL37" s="1">
        <f t="shared" si="21"/>
        <v>0</v>
      </c>
      <c r="AM37" s="1">
        <f t="shared" si="21"/>
        <v>0</v>
      </c>
      <c r="AN37" s="1">
        <f t="shared" si="21"/>
        <v>0</v>
      </c>
    </row>
    <row r="38" spans="2:41" ht="15.75" x14ac:dyDescent="0.25">
      <c r="G38" s="265" t="s">
        <v>13</v>
      </c>
      <c r="H38" s="271">
        <v>172</v>
      </c>
      <c r="I38" s="268">
        <f>Z82</f>
        <v>692441.86071271554</v>
      </c>
      <c r="J38" s="268">
        <v>962151.14399999997</v>
      </c>
      <c r="K38" s="269">
        <f t="shared" si="14"/>
        <v>0.71968096180189711</v>
      </c>
      <c r="L38" s="263"/>
      <c r="M38" s="270">
        <f t="shared" si="15"/>
        <v>4025.8247715855555</v>
      </c>
      <c r="N38" s="263"/>
      <c r="O38" s="263"/>
      <c r="P38" s="263"/>
      <c r="Q38" s="263"/>
      <c r="R38" s="263"/>
      <c r="S38" s="263"/>
      <c r="T38" s="264"/>
    </row>
    <row r="39" spans="2:41" ht="15.75" x14ac:dyDescent="0.25">
      <c r="G39" s="265" t="s">
        <v>17</v>
      </c>
      <c r="H39" s="266">
        <v>284</v>
      </c>
      <c r="I39" s="267">
        <f>Z90</f>
        <v>947323.5920958661</v>
      </c>
      <c r="J39" s="268">
        <v>1191501.1259999999</v>
      </c>
      <c r="K39" s="269">
        <f t="shared" si="14"/>
        <v>0.7950673074696416</v>
      </c>
      <c r="L39" s="263"/>
      <c r="M39" s="270">
        <f t="shared" si="15"/>
        <v>3335.6464510417823</v>
      </c>
      <c r="N39" s="263"/>
      <c r="O39" s="263"/>
      <c r="P39" s="263"/>
      <c r="Q39" s="263"/>
      <c r="R39" s="263"/>
      <c r="S39" s="263"/>
      <c r="T39" s="264"/>
      <c r="AB39" s="1" t="s">
        <v>109</v>
      </c>
      <c r="AD39" s="218">
        <f t="shared" ref="AD39:AO39" si="22">AD9</f>
        <v>0.6</v>
      </c>
      <c r="AE39" s="218">
        <f t="shared" si="22"/>
        <v>0.39639561884668173</v>
      </c>
      <c r="AF39" s="218">
        <f t="shared" si="22"/>
        <v>0.36101072393511269</v>
      </c>
      <c r="AG39" s="218">
        <f t="shared" si="22"/>
        <v>0.33356406712346476</v>
      </c>
      <c r="AH39" s="218">
        <f t="shared" si="22"/>
        <v>0.28369185882616055</v>
      </c>
      <c r="AI39" s="218">
        <f t="shared" si="22"/>
        <v>0.24830696391459162</v>
      </c>
      <c r="AJ39" s="218">
        <f t="shared" si="22"/>
        <v>0.2208603071029438</v>
      </c>
      <c r="AK39" s="218">
        <f t="shared" si="22"/>
        <v>0.17947422199853458</v>
      </c>
      <c r="AL39" s="218">
        <f t="shared" si="22"/>
        <v>0.14856254731998308</v>
      </c>
      <c r="AM39" s="218">
        <f t="shared" si="22"/>
        <v>0.10333239936456906</v>
      </c>
      <c r="AN39" s="218">
        <f t="shared" si="22"/>
        <v>0.08</v>
      </c>
      <c r="AO39" s="218">
        <f t="shared" si="22"/>
        <v>0.1</v>
      </c>
    </row>
    <row r="40" spans="2:41" ht="15.75" x14ac:dyDescent="0.25">
      <c r="G40" s="265" t="s">
        <v>19</v>
      </c>
      <c r="H40" s="266">
        <v>217</v>
      </c>
      <c r="I40" s="267">
        <f>Z97</f>
        <v>805692.12887767854</v>
      </c>
      <c r="J40" s="268">
        <v>910407.55050000013</v>
      </c>
      <c r="K40" s="269">
        <f t="shared" si="14"/>
        <v>0.88497962086890491</v>
      </c>
      <c r="L40" s="263"/>
      <c r="M40" s="270">
        <f t="shared" si="15"/>
        <v>3712.8669533533575</v>
      </c>
      <c r="N40" s="263"/>
      <c r="O40" s="263"/>
      <c r="P40" s="263"/>
      <c r="Q40" s="263"/>
      <c r="R40" s="263"/>
      <c r="S40" s="263"/>
      <c r="T40" s="264"/>
    </row>
    <row r="41" spans="2:41" ht="15.75" x14ac:dyDescent="0.25">
      <c r="G41" s="265" t="s">
        <v>133</v>
      </c>
      <c r="H41" s="266">
        <v>309</v>
      </c>
      <c r="I41" s="267">
        <f>Z105</f>
        <v>994781.06324782863</v>
      </c>
      <c r="J41" s="268">
        <v>1152343.8119999999</v>
      </c>
      <c r="K41" s="269">
        <f t="shared" si="14"/>
        <v>0.86326758810054571</v>
      </c>
      <c r="L41" s="263"/>
      <c r="M41" s="270">
        <f t="shared" si="15"/>
        <v>3219.3561917405459</v>
      </c>
      <c r="N41" s="263"/>
      <c r="O41" s="263"/>
      <c r="P41" s="263"/>
      <c r="Q41" s="263"/>
      <c r="R41" s="263"/>
      <c r="S41" s="263"/>
      <c r="T41" s="264"/>
    </row>
    <row r="42" spans="2:41" ht="15.75" x14ac:dyDescent="0.25">
      <c r="G42" s="265" t="s">
        <v>134</v>
      </c>
      <c r="H42" s="266">
        <v>541</v>
      </c>
      <c r="I42" s="267">
        <f>Z112</f>
        <v>1329204.0799525864</v>
      </c>
      <c r="J42" s="268">
        <v>1765342.2394999999</v>
      </c>
      <c r="K42" s="269">
        <f t="shared" si="14"/>
        <v>0.7529441318580008</v>
      </c>
      <c r="L42" s="263"/>
      <c r="M42" s="270">
        <f t="shared" si="15"/>
        <v>2456.939149635095</v>
      </c>
      <c r="N42" s="263"/>
      <c r="O42" s="263"/>
      <c r="P42" s="263"/>
      <c r="Q42" s="263"/>
      <c r="R42" s="263"/>
      <c r="S42" s="263"/>
      <c r="T42" s="264"/>
    </row>
    <row r="43" spans="2:41" ht="15.75" x14ac:dyDescent="0.25">
      <c r="G43" s="265" t="s">
        <v>135</v>
      </c>
      <c r="H43" s="266">
        <v>1117</v>
      </c>
      <c r="I43" s="267">
        <f>Z120</f>
        <v>1843491.9998532026</v>
      </c>
      <c r="J43" s="268">
        <v>2082796.1780000003</v>
      </c>
      <c r="K43" s="269">
        <f t="shared" si="14"/>
        <v>0.88510437042543988</v>
      </c>
      <c r="L43" s="263"/>
      <c r="M43" s="270">
        <f t="shared" si="15"/>
        <v>1650.3957026438698</v>
      </c>
      <c r="N43" s="263"/>
      <c r="O43" s="263"/>
      <c r="P43" s="263"/>
      <c r="Q43" s="263"/>
      <c r="R43" s="263"/>
      <c r="S43" s="263"/>
      <c r="T43" s="264"/>
      <c r="Y43" s="235" t="s">
        <v>128</v>
      </c>
      <c r="Z43" s="1">
        <f>C22</f>
        <v>14</v>
      </c>
      <c r="AB43" s="1" t="s">
        <v>103</v>
      </c>
      <c r="AD43" s="1" t="str">
        <f t="shared" ref="AD43:AN43" si="23">AD13</f>
        <v>0-40</v>
      </c>
      <c r="AE43" s="1" t="str">
        <f t="shared" si="23"/>
        <v>40-60</v>
      </c>
      <c r="AF43" s="1" t="str">
        <f t="shared" si="23"/>
        <v>60-80</v>
      </c>
      <c r="AG43" s="1" t="str">
        <f t="shared" si="23"/>
        <v>80-100</v>
      </c>
      <c r="AH43" s="1" t="str">
        <f t="shared" si="23"/>
        <v>100-150</v>
      </c>
      <c r="AI43" s="1" t="str">
        <f t="shared" si="23"/>
        <v>150-200</v>
      </c>
      <c r="AJ43" s="1" t="str">
        <f t="shared" si="23"/>
        <v>200-250</v>
      </c>
      <c r="AK43" s="1" t="str">
        <f t="shared" si="23"/>
        <v>250-350</v>
      </c>
      <c r="AL43" s="1" t="str">
        <f t="shared" si="23"/>
        <v>350-450</v>
      </c>
      <c r="AM43" s="1" t="str">
        <f t="shared" si="23"/>
        <v>450-650</v>
      </c>
      <c r="AN43" s="1" t="str">
        <f t="shared" si="23"/>
        <v>650-2000</v>
      </c>
    </row>
    <row r="44" spans="2:41" ht="15.75" x14ac:dyDescent="0.25">
      <c r="G44" s="265"/>
      <c r="H44" s="266"/>
      <c r="I44" s="267"/>
      <c r="J44" s="268"/>
      <c r="K44" s="269"/>
      <c r="L44" s="263"/>
      <c r="M44" s="270"/>
      <c r="N44" s="263"/>
      <c r="O44" s="263"/>
      <c r="P44" s="263"/>
      <c r="Q44" s="263"/>
      <c r="R44" s="263"/>
      <c r="S44" s="263"/>
      <c r="T44" s="264"/>
      <c r="AD44" s="1">
        <f t="shared" ref="AD44:AO44" si="24">AD6</f>
        <v>0</v>
      </c>
      <c r="AE44" s="1">
        <f t="shared" si="24"/>
        <v>40</v>
      </c>
      <c r="AF44" s="1">
        <f t="shared" si="24"/>
        <v>60</v>
      </c>
      <c r="AG44" s="1">
        <f t="shared" si="24"/>
        <v>80</v>
      </c>
      <c r="AH44" s="1">
        <f t="shared" si="24"/>
        <v>100</v>
      </c>
      <c r="AI44" s="1">
        <f t="shared" si="24"/>
        <v>150</v>
      </c>
      <c r="AJ44" s="1">
        <f t="shared" si="24"/>
        <v>200</v>
      </c>
      <c r="AK44" s="1">
        <f t="shared" si="24"/>
        <v>250</v>
      </c>
      <c r="AL44" s="1">
        <f t="shared" si="24"/>
        <v>350</v>
      </c>
      <c r="AM44" s="1">
        <f t="shared" si="24"/>
        <v>450</v>
      </c>
      <c r="AN44" s="1">
        <f t="shared" si="24"/>
        <v>650</v>
      </c>
      <c r="AO44" s="1">
        <f t="shared" si="24"/>
        <v>2000</v>
      </c>
    </row>
    <row r="45" spans="2:41" ht="15.75" x14ac:dyDescent="0.25">
      <c r="G45" s="265" t="s">
        <v>32</v>
      </c>
      <c r="H45" s="266">
        <f>SUM(H28:H43)</f>
        <v>3171</v>
      </c>
      <c r="I45" s="267">
        <f>SUM(I28:I43)</f>
        <v>9540863.0487791318</v>
      </c>
      <c r="J45" s="267">
        <f>SUM(J28:J43)</f>
        <v>11547678.362</v>
      </c>
      <c r="K45" s="269">
        <f t="shared" si="14"/>
        <v>0.82621482428669779</v>
      </c>
      <c r="L45" s="263"/>
      <c r="M45" s="270">
        <f t="shared" si="15"/>
        <v>3008.7868334213599</v>
      </c>
      <c r="N45" s="263"/>
      <c r="O45" s="263"/>
      <c r="P45" s="263"/>
      <c r="Q45" s="263"/>
      <c r="R45" s="263"/>
      <c r="S45" s="263"/>
      <c r="T45" s="264"/>
      <c r="Y45" s="235" t="s">
        <v>33</v>
      </c>
      <c r="Z45" s="1">
        <f>SUM(AD45:AO45)</f>
        <v>88846.8</v>
      </c>
      <c r="AB45" s="1" t="s">
        <v>106</v>
      </c>
      <c r="AD45" s="1">
        <f>IF($Z$43&gt;AD44,(IF($Z$43-AE44&gt;0,(AE44-AD44)*$B$9*AD47,($Z$43-AD44)*$B$9*AD47)),0)</f>
        <v>88846.8</v>
      </c>
      <c r="AE45" s="1">
        <f t="shared" ref="AE45:AN45" si="25">IF($Z$43&gt;AE44,(IF($Z$43-AF44&gt;0,(AF44-AE44)*$B$9*AE47,($Z$43-AE44)*$B$9*AE47)),0)</f>
        <v>0</v>
      </c>
      <c r="AF45" s="1">
        <f t="shared" si="25"/>
        <v>0</v>
      </c>
      <c r="AG45" s="1">
        <f t="shared" si="25"/>
        <v>0</v>
      </c>
      <c r="AH45" s="1">
        <f t="shared" si="25"/>
        <v>0</v>
      </c>
      <c r="AI45" s="1">
        <f t="shared" si="25"/>
        <v>0</v>
      </c>
      <c r="AJ45" s="1">
        <f t="shared" si="25"/>
        <v>0</v>
      </c>
      <c r="AK45" s="1">
        <f t="shared" si="25"/>
        <v>0</v>
      </c>
      <c r="AL45" s="1">
        <f t="shared" si="25"/>
        <v>0</v>
      </c>
      <c r="AM45" s="1">
        <f t="shared" si="25"/>
        <v>0</v>
      </c>
      <c r="AN45" s="1">
        <f t="shared" si="25"/>
        <v>0</v>
      </c>
    </row>
    <row r="46" spans="2:41" ht="15.75" x14ac:dyDescent="0.25">
      <c r="G46" s="265"/>
      <c r="H46" s="272"/>
      <c r="I46" s="273"/>
      <c r="J46" s="274"/>
      <c r="K46" s="263"/>
      <c r="L46" s="263"/>
      <c r="M46" s="263"/>
      <c r="N46" s="263"/>
      <c r="O46" s="263"/>
      <c r="P46" s="263"/>
      <c r="Q46" s="263"/>
      <c r="R46" s="263"/>
      <c r="S46" s="263"/>
      <c r="T46" s="264"/>
    </row>
    <row r="47" spans="2:41" x14ac:dyDescent="0.2">
      <c r="G47" s="260" t="s">
        <v>142</v>
      </c>
      <c r="H47" s="272">
        <v>3171</v>
      </c>
      <c r="I47" s="273"/>
      <c r="J47" s="267">
        <v>11547678.362</v>
      </c>
      <c r="K47" s="263"/>
      <c r="L47" s="263"/>
      <c r="M47" s="263"/>
      <c r="N47" s="263"/>
      <c r="O47" s="263"/>
      <c r="P47" s="263"/>
      <c r="Q47" s="263"/>
      <c r="R47" s="263"/>
      <c r="S47" s="263"/>
      <c r="T47" s="264"/>
      <c r="AB47" s="1" t="s">
        <v>109</v>
      </c>
      <c r="AD47" s="218">
        <f t="shared" ref="AD47:AO47" si="26">AD9</f>
        <v>0.6</v>
      </c>
      <c r="AE47" s="218">
        <f t="shared" si="26"/>
        <v>0.39639561884668173</v>
      </c>
      <c r="AF47" s="218">
        <f t="shared" si="26"/>
        <v>0.36101072393511269</v>
      </c>
      <c r="AG47" s="218">
        <f t="shared" si="26"/>
        <v>0.33356406712346476</v>
      </c>
      <c r="AH47" s="218">
        <f t="shared" si="26"/>
        <v>0.28369185882616055</v>
      </c>
      <c r="AI47" s="218">
        <f t="shared" si="26"/>
        <v>0.24830696391459162</v>
      </c>
      <c r="AJ47" s="218">
        <f t="shared" si="26"/>
        <v>0.2208603071029438</v>
      </c>
      <c r="AK47" s="218">
        <f t="shared" si="26"/>
        <v>0.17947422199853458</v>
      </c>
      <c r="AL47" s="218">
        <f t="shared" si="26"/>
        <v>0.14856254731998308</v>
      </c>
      <c r="AM47" s="218">
        <f t="shared" si="26"/>
        <v>0.10333239936456906</v>
      </c>
      <c r="AN47" s="218">
        <f t="shared" si="26"/>
        <v>0.08</v>
      </c>
      <c r="AO47" s="218">
        <f t="shared" si="26"/>
        <v>0.1</v>
      </c>
    </row>
    <row r="48" spans="2:41" x14ac:dyDescent="0.2">
      <c r="G48" s="260"/>
      <c r="H48" s="272"/>
      <c r="I48" s="273"/>
      <c r="J48" s="263"/>
      <c r="K48" s="263"/>
      <c r="L48" s="263"/>
      <c r="M48" s="263"/>
      <c r="N48" s="263"/>
      <c r="O48" s="263"/>
      <c r="P48" s="263"/>
      <c r="Q48" s="263"/>
      <c r="R48" s="263"/>
      <c r="S48" s="263"/>
      <c r="T48" s="264"/>
    </row>
    <row r="49" spans="7:41" ht="15.75" thickBot="1" x14ac:dyDescent="0.25">
      <c r="G49" s="275"/>
      <c r="H49" s="276"/>
      <c r="I49" s="277"/>
      <c r="J49" s="278"/>
      <c r="K49" s="278"/>
      <c r="L49" s="278"/>
      <c r="M49" s="278"/>
      <c r="N49" s="278"/>
      <c r="O49" s="278"/>
      <c r="P49" s="278"/>
      <c r="Q49" s="278"/>
      <c r="R49" s="278"/>
      <c r="S49" s="278"/>
      <c r="T49" s="279"/>
    </row>
    <row r="50" spans="7:41" ht="15.75" x14ac:dyDescent="0.25">
      <c r="Y50" s="280" t="s">
        <v>16</v>
      </c>
      <c r="Z50" s="1">
        <f>C23</f>
        <v>28</v>
      </c>
      <c r="AB50" s="1" t="s">
        <v>103</v>
      </c>
      <c r="AD50" s="1" t="str">
        <f t="shared" ref="AD50:AN50" si="27">AD13</f>
        <v>0-40</v>
      </c>
      <c r="AE50" s="1" t="str">
        <f t="shared" si="27"/>
        <v>40-60</v>
      </c>
      <c r="AF50" s="1" t="str">
        <f t="shared" si="27"/>
        <v>60-80</v>
      </c>
      <c r="AG50" s="1" t="str">
        <f t="shared" si="27"/>
        <v>80-100</v>
      </c>
      <c r="AH50" s="1" t="str">
        <f t="shared" si="27"/>
        <v>100-150</v>
      </c>
      <c r="AI50" s="1" t="str">
        <f t="shared" si="27"/>
        <v>150-200</v>
      </c>
      <c r="AJ50" s="1" t="str">
        <f t="shared" si="27"/>
        <v>200-250</v>
      </c>
      <c r="AK50" s="1" t="str">
        <f t="shared" si="27"/>
        <v>250-350</v>
      </c>
      <c r="AL50" s="1" t="str">
        <f t="shared" si="27"/>
        <v>350-450</v>
      </c>
      <c r="AM50" s="1" t="str">
        <f t="shared" si="27"/>
        <v>450-650</v>
      </c>
      <c r="AN50" s="1" t="str">
        <f t="shared" si="27"/>
        <v>650-2000</v>
      </c>
    </row>
    <row r="51" spans="7:41" x14ac:dyDescent="0.2">
      <c r="AD51" s="1">
        <f t="shared" ref="AD51:AO51" si="28">AD6</f>
        <v>0</v>
      </c>
      <c r="AE51" s="1">
        <f t="shared" si="28"/>
        <v>40</v>
      </c>
      <c r="AF51" s="1">
        <f t="shared" si="28"/>
        <v>60</v>
      </c>
      <c r="AG51" s="1">
        <f t="shared" si="28"/>
        <v>80</v>
      </c>
      <c r="AH51" s="1">
        <f t="shared" si="28"/>
        <v>100</v>
      </c>
      <c r="AI51" s="1">
        <f t="shared" si="28"/>
        <v>150</v>
      </c>
      <c r="AJ51" s="1">
        <f t="shared" si="28"/>
        <v>200</v>
      </c>
      <c r="AK51" s="1">
        <f t="shared" si="28"/>
        <v>250</v>
      </c>
      <c r="AL51" s="1">
        <f t="shared" si="28"/>
        <v>350</v>
      </c>
      <c r="AM51" s="1">
        <f t="shared" si="28"/>
        <v>450</v>
      </c>
      <c r="AN51" s="1">
        <f t="shared" si="28"/>
        <v>650</v>
      </c>
      <c r="AO51" s="1">
        <f t="shared" si="28"/>
        <v>2000</v>
      </c>
    </row>
    <row r="52" spans="7:41" x14ac:dyDescent="0.2">
      <c r="Y52" s="235" t="s">
        <v>33</v>
      </c>
      <c r="Z52" s="1">
        <f>SUM(AD52:AO52)</f>
        <v>177693.6</v>
      </c>
      <c r="AB52" s="1" t="s">
        <v>106</v>
      </c>
      <c r="AD52" s="1">
        <f>IF($Z$50&gt;AD51,(IF($Z$50-AE51&gt;0,(AE51-AD51)*$B$9*AD54,($Z$50-AD51)*$B$9*AD54)),0)</f>
        <v>177693.6</v>
      </c>
      <c r="AE52" s="1">
        <f t="shared" ref="AE52:AN52" si="29">IF($Z$50&gt;AE51,(IF($Z$50-AF51&gt;0,(AF51-AE51)*$B$9*AE54,($Z$50-AE51)*$B$9*AE54)),0)</f>
        <v>0</v>
      </c>
      <c r="AF52" s="1">
        <f t="shared" si="29"/>
        <v>0</v>
      </c>
      <c r="AG52" s="1">
        <f t="shared" si="29"/>
        <v>0</v>
      </c>
      <c r="AH52" s="1">
        <f t="shared" si="29"/>
        <v>0</v>
      </c>
      <c r="AI52" s="1">
        <f t="shared" si="29"/>
        <v>0</v>
      </c>
      <c r="AJ52" s="1">
        <f t="shared" si="29"/>
        <v>0</v>
      </c>
      <c r="AK52" s="1">
        <f t="shared" si="29"/>
        <v>0</v>
      </c>
      <c r="AL52" s="1">
        <f t="shared" si="29"/>
        <v>0</v>
      </c>
      <c r="AM52" s="1">
        <f t="shared" si="29"/>
        <v>0</v>
      </c>
      <c r="AN52" s="1">
        <f t="shared" si="29"/>
        <v>0</v>
      </c>
    </row>
    <row r="53" spans="7:41" x14ac:dyDescent="0.2">
      <c r="G53" s="1" t="s">
        <v>137</v>
      </c>
    </row>
    <row r="54" spans="7:41" x14ac:dyDescent="0.2">
      <c r="G54" s="219"/>
      <c r="H54" s="219"/>
      <c r="I54" s="219"/>
      <c r="J54" s="219"/>
      <c r="K54" s="219"/>
      <c r="L54" s="219"/>
      <c r="M54" s="219"/>
      <c r="N54" s="219"/>
      <c r="O54" s="219"/>
      <c r="P54" s="219"/>
      <c r="Q54" s="219"/>
      <c r="R54" s="219"/>
      <c r="S54" s="219"/>
      <c r="T54" s="219"/>
      <c r="U54" s="219"/>
      <c r="V54" s="219"/>
      <c r="AB54" s="1" t="s">
        <v>109</v>
      </c>
      <c r="AD54" s="218">
        <f t="shared" ref="AD54:AO54" si="30">AD9</f>
        <v>0.6</v>
      </c>
      <c r="AE54" s="218">
        <f t="shared" si="30"/>
        <v>0.39639561884668173</v>
      </c>
      <c r="AF54" s="218">
        <f t="shared" si="30"/>
        <v>0.36101072393511269</v>
      </c>
      <c r="AG54" s="218">
        <f t="shared" si="30"/>
        <v>0.33356406712346476</v>
      </c>
      <c r="AH54" s="218">
        <f t="shared" si="30"/>
        <v>0.28369185882616055</v>
      </c>
      <c r="AI54" s="218">
        <f t="shared" si="30"/>
        <v>0.24830696391459162</v>
      </c>
      <c r="AJ54" s="218">
        <f t="shared" si="30"/>
        <v>0.2208603071029438</v>
      </c>
      <c r="AK54" s="218">
        <f t="shared" si="30"/>
        <v>0.17947422199853458</v>
      </c>
      <c r="AL54" s="218">
        <f t="shared" si="30"/>
        <v>0.14856254731998308</v>
      </c>
      <c r="AM54" s="218">
        <f t="shared" si="30"/>
        <v>0.10333239936456906</v>
      </c>
      <c r="AN54" s="218">
        <f t="shared" si="30"/>
        <v>0.08</v>
      </c>
      <c r="AO54" s="218">
        <f t="shared" si="30"/>
        <v>0.1</v>
      </c>
    </row>
    <row r="55" spans="7:41" x14ac:dyDescent="0.2">
      <c r="G55" s="219"/>
      <c r="H55" s="219"/>
      <c r="I55" s="219"/>
      <c r="J55" s="219"/>
      <c r="K55" s="219"/>
      <c r="L55" s="219"/>
      <c r="M55" s="219"/>
      <c r="N55" s="219"/>
      <c r="O55" s="219"/>
      <c r="P55" s="219"/>
      <c r="Q55" s="219"/>
      <c r="R55" s="219"/>
      <c r="S55" s="219"/>
      <c r="T55" s="219"/>
      <c r="U55" s="219"/>
      <c r="V55" s="219"/>
      <c r="W55" s="219"/>
    </row>
    <row r="58" spans="7:41" x14ac:dyDescent="0.2">
      <c r="Y58" s="235" t="s">
        <v>9</v>
      </c>
      <c r="Z58" s="1">
        <f>C24</f>
        <v>93</v>
      </c>
      <c r="AB58" s="1" t="s">
        <v>103</v>
      </c>
      <c r="AD58" s="1" t="str">
        <f t="shared" ref="AD58:AN58" si="31">AD13</f>
        <v>0-40</v>
      </c>
      <c r="AE58" s="1" t="str">
        <f t="shared" si="31"/>
        <v>40-60</v>
      </c>
      <c r="AF58" s="1" t="str">
        <f t="shared" si="31"/>
        <v>60-80</v>
      </c>
      <c r="AG58" s="1" t="str">
        <f t="shared" si="31"/>
        <v>80-100</v>
      </c>
      <c r="AH58" s="1" t="str">
        <f t="shared" si="31"/>
        <v>100-150</v>
      </c>
      <c r="AI58" s="1" t="str">
        <f t="shared" si="31"/>
        <v>150-200</v>
      </c>
      <c r="AJ58" s="1" t="str">
        <f t="shared" si="31"/>
        <v>200-250</v>
      </c>
      <c r="AK58" s="1" t="str">
        <f t="shared" si="31"/>
        <v>250-350</v>
      </c>
      <c r="AL58" s="1" t="str">
        <f t="shared" si="31"/>
        <v>350-450</v>
      </c>
      <c r="AM58" s="1" t="str">
        <f t="shared" si="31"/>
        <v>450-650</v>
      </c>
      <c r="AN58" s="1" t="str">
        <f t="shared" si="31"/>
        <v>650-2000</v>
      </c>
    </row>
    <row r="59" spans="7:41" x14ac:dyDescent="0.2">
      <c r="AD59" s="1">
        <f t="shared" ref="AD59:AO59" si="32">AD6</f>
        <v>0</v>
      </c>
      <c r="AE59" s="1">
        <f t="shared" si="32"/>
        <v>40</v>
      </c>
      <c r="AF59" s="1">
        <f t="shared" si="32"/>
        <v>60</v>
      </c>
      <c r="AG59" s="1">
        <f t="shared" si="32"/>
        <v>80</v>
      </c>
      <c r="AH59" s="1">
        <f t="shared" si="32"/>
        <v>100</v>
      </c>
      <c r="AI59" s="1">
        <f t="shared" si="32"/>
        <v>150</v>
      </c>
      <c r="AJ59" s="1">
        <f t="shared" si="32"/>
        <v>200</v>
      </c>
      <c r="AK59" s="1">
        <f t="shared" si="32"/>
        <v>250</v>
      </c>
      <c r="AL59" s="1">
        <f t="shared" si="32"/>
        <v>350</v>
      </c>
      <c r="AM59" s="1">
        <f t="shared" si="32"/>
        <v>450</v>
      </c>
      <c r="AN59" s="1">
        <f t="shared" si="32"/>
        <v>650</v>
      </c>
      <c r="AO59" s="1">
        <f t="shared" si="32"/>
        <v>2000</v>
      </c>
    </row>
    <row r="60" spans="7:41" x14ac:dyDescent="0.2">
      <c r="Y60" s="235" t="s">
        <v>33</v>
      </c>
      <c r="Z60" s="1">
        <f>SUM(AD60:AO60)</f>
        <v>459935.13054560433</v>
      </c>
      <c r="AB60" s="1" t="s">
        <v>106</v>
      </c>
      <c r="AD60" s="1">
        <f>IF($Z$58&gt;AD59,(IF($Z$58-AE59&gt;0,(AE59-AD59)*$B$9*AD62,($Z$58-AD59)*$B$9*AD62)),0)</f>
        <v>253848</v>
      </c>
      <c r="AE60" s="1">
        <f t="shared" ref="AE60:AN60" si="33">IF($Z$58&gt;AE59,(IF($Z$58-AF59&gt;0,(AF59-AE59)*$B$9*AE62,($Z$58-AE59)*$B$9*AE62)),0)</f>
        <v>83853.529210827051</v>
      </c>
      <c r="AF60" s="1">
        <f t="shared" si="33"/>
        <v>76368.208541233733</v>
      </c>
      <c r="AG60" s="1">
        <f t="shared" si="33"/>
        <v>45865.392793543528</v>
      </c>
      <c r="AH60" s="1">
        <f t="shared" si="33"/>
        <v>0</v>
      </c>
      <c r="AI60" s="1">
        <f t="shared" si="33"/>
        <v>0</v>
      </c>
      <c r="AJ60" s="1">
        <f t="shared" si="33"/>
        <v>0</v>
      </c>
      <c r="AK60" s="1">
        <f t="shared" si="33"/>
        <v>0</v>
      </c>
      <c r="AL60" s="1">
        <f t="shared" si="33"/>
        <v>0</v>
      </c>
      <c r="AM60" s="1">
        <f t="shared" si="33"/>
        <v>0</v>
      </c>
      <c r="AN60" s="1">
        <f t="shared" si="33"/>
        <v>0</v>
      </c>
    </row>
    <row r="62" spans="7:41" x14ac:dyDescent="0.2">
      <c r="AB62" s="1" t="s">
        <v>109</v>
      </c>
      <c r="AD62" s="218">
        <f t="shared" ref="AD62:AO62" si="34">AD9</f>
        <v>0.6</v>
      </c>
      <c r="AE62" s="218">
        <f t="shared" si="34"/>
        <v>0.39639561884668173</v>
      </c>
      <c r="AF62" s="218">
        <f t="shared" si="34"/>
        <v>0.36101072393511269</v>
      </c>
      <c r="AG62" s="218">
        <f t="shared" si="34"/>
        <v>0.33356406712346476</v>
      </c>
      <c r="AH62" s="218">
        <f t="shared" si="34"/>
        <v>0.28369185882616055</v>
      </c>
      <c r="AI62" s="218">
        <f t="shared" si="34"/>
        <v>0.24830696391459162</v>
      </c>
      <c r="AJ62" s="218">
        <f t="shared" si="34"/>
        <v>0.2208603071029438</v>
      </c>
      <c r="AK62" s="218">
        <f t="shared" si="34"/>
        <v>0.17947422199853458</v>
      </c>
      <c r="AL62" s="218">
        <f t="shared" si="34"/>
        <v>0.14856254731998308</v>
      </c>
      <c r="AM62" s="218">
        <f t="shared" si="34"/>
        <v>0.10333239936456906</v>
      </c>
      <c r="AN62" s="218">
        <f t="shared" si="34"/>
        <v>0.08</v>
      </c>
      <c r="AO62" s="218">
        <f t="shared" si="34"/>
        <v>0.1</v>
      </c>
    </row>
    <row r="65" spans="25:41" x14ac:dyDescent="0.2">
      <c r="Y65" s="235" t="s">
        <v>21</v>
      </c>
      <c r="Z65" s="1">
        <f>C25</f>
        <v>113</v>
      </c>
      <c r="AB65" s="1" t="s">
        <v>103</v>
      </c>
      <c r="AD65" s="1" t="str">
        <f t="shared" ref="AD65:AN65" si="35">AD13</f>
        <v>0-40</v>
      </c>
      <c r="AE65" s="1" t="str">
        <f t="shared" si="35"/>
        <v>40-60</v>
      </c>
      <c r="AF65" s="1" t="str">
        <f t="shared" si="35"/>
        <v>60-80</v>
      </c>
      <c r="AG65" s="1" t="str">
        <f t="shared" si="35"/>
        <v>80-100</v>
      </c>
      <c r="AH65" s="1" t="str">
        <f t="shared" si="35"/>
        <v>100-150</v>
      </c>
      <c r="AI65" s="1" t="str">
        <f t="shared" si="35"/>
        <v>150-200</v>
      </c>
      <c r="AJ65" s="1" t="str">
        <f t="shared" si="35"/>
        <v>200-250</v>
      </c>
      <c r="AK65" s="1" t="str">
        <f t="shared" si="35"/>
        <v>250-350</v>
      </c>
      <c r="AL65" s="1" t="str">
        <f t="shared" si="35"/>
        <v>350-450</v>
      </c>
      <c r="AM65" s="1" t="str">
        <f t="shared" si="35"/>
        <v>450-650</v>
      </c>
      <c r="AN65" s="1" t="str">
        <f t="shared" si="35"/>
        <v>650-2000</v>
      </c>
    </row>
    <row r="66" spans="25:41" x14ac:dyDescent="0.2">
      <c r="AD66" s="1">
        <f t="shared" ref="AD66:AO66" si="36">AD6</f>
        <v>0</v>
      </c>
      <c r="AE66" s="1">
        <f t="shared" si="36"/>
        <v>40</v>
      </c>
      <c r="AF66" s="1">
        <f t="shared" si="36"/>
        <v>60</v>
      </c>
      <c r="AG66" s="1">
        <f t="shared" si="36"/>
        <v>80</v>
      </c>
      <c r="AH66" s="1">
        <f t="shared" si="36"/>
        <v>100</v>
      </c>
      <c r="AI66" s="1">
        <f t="shared" si="36"/>
        <v>150</v>
      </c>
      <c r="AJ66" s="1">
        <f t="shared" si="36"/>
        <v>200</v>
      </c>
      <c r="AK66" s="1">
        <f t="shared" si="36"/>
        <v>250</v>
      </c>
      <c r="AL66" s="1">
        <f t="shared" si="36"/>
        <v>350</v>
      </c>
      <c r="AM66" s="1">
        <f t="shared" si="36"/>
        <v>450</v>
      </c>
      <c r="AN66" s="1">
        <f t="shared" si="36"/>
        <v>650</v>
      </c>
      <c r="AO66" s="1">
        <f t="shared" si="36"/>
        <v>2000</v>
      </c>
    </row>
    <row r="67" spans="25:41" x14ac:dyDescent="0.2">
      <c r="Y67" s="235" t="s">
        <v>33</v>
      </c>
      <c r="Z67" s="1">
        <f>SUM(AD67:AO67)</f>
        <v>523639.79479181446</v>
      </c>
      <c r="AB67" s="1" t="s">
        <v>106</v>
      </c>
      <c r="AD67" s="1">
        <f>IF($Z$65&gt;AD66,(IF($Z$65-AE66&gt;0,(AE66-AD66)*$B$9*AD69,($Z$65-AD66)*$B$9*AD69)),0)</f>
        <v>253848</v>
      </c>
      <c r="AE67" s="1">
        <f t="shared" ref="AE67:AN67" si="37">IF($Z$65&gt;AE66,(IF($Z$65-AF66&gt;0,(AF66-AE66)*$B$9*AE69,($Z$65-AE66)*$B$9*AE69)),0)</f>
        <v>83853.529210827051</v>
      </c>
      <c r="AF67" s="1">
        <f t="shared" si="37"/>
        <v>76368.208541233733</v>
      </c>
      <c r="AG67" s="1">
        <f t="shared" si="37"/>
        <v>70562.142759297742</v>
      </c>
      <c r="AH67" s="1">
        <f t="shared" si="37"/>
        <v>39007.914280455901</v>
      </c>
      <c r="AI67" s="1">
        <f t="shared" si="37"/>
        <v>0</v>
      </c>
      <c r="AJ67" s="1">
        <f t="shared" si="37"/>
        <v>0</v>
      </c>
      <c r="AK67" s="1">
        <f t="shared" si="37"/>
        <v>0</v>
      </c>
      <c r="AL67" s="1">
        <f t="shared" si="37"/>
        <v>0</v>
      </c>
      <c r="AM67" s="1">
        <f t="shared" si="37"/>
        <v>0</v>
      </c>
      <c r="AN67" s="1">
        <f t="shared" si="37"/>
        <v>0</v>
      </c>
    </row>
    <row r="69" spans="25:41" x14ac:dyDescent="0.2">
      <c r="AB69" s="1" t="s">
        <v>109</v>
      </c>
      <c r="AD69" s="218">
        <f t="shared" ref="AD69:AO69" si="38">AD9</f>
        <v>0.6</v>
      </c>
      <c r="AE69" s="218">
        <f t="shared" si="38"/>
        <v>0.39639561884668173</v>
      </c>
      <c r="AF69" s="218">
        <f t="shared" si="38"/>
        <v>0.36101072393511269</v>
      </c>
      <c r="AG69" s="218">
        <f t="shared" si="38"/>
        <v>0.33356406712346476</v>
      </c>
      <c r="AH69" s="218">
        <f t="shared" si="38"/>
        <v>0.28369185882616055</v>
      </c>
      <c r="AI69" s="218">
        <f t="shared" si="38"/>
        <v>0.24830696391459162</v>
      </c>
      <c r="AJ69" s="218">
        <f t="shared" si="38"/>
        <v>0.2208603071029438</v>
      </c>
      <c r="AK69" s="218">
        <f t="shared" si="38"/>
        <v>0.17947422199853458</v>
      </c>
      <c r="AL69" s="218">
        <f t="shared" si="38"/>
        <v>0.14856254731998308</v>
      </c>
      <c r="AM69" s="218">
        <f t="shared" si="38"/>
        <v>0.10333239936456906</v>
      </c>
      <c r="AN69" s="218">
        <f t="shared" si="38"/>
        <v>0.08</v>
      </c>
      <c r="AO69" s="218">
        <f t="shared" si="38"/>
        <v>0.1</v>
      </c>
    </row>
    <row r="73" spans="25:41" x14ac:dyDescent="0.2">
      <c r="Y73" s="235" t="s">
        <v>18</v>
      </c>
      <c r="Z73" s="1">
        <f>C26</f>
        <v>50</v>
      </c>
      <c r="AB73" s="1" t="s">
        <v>103</v>
      </c>
      <c r="AD73" s="1" t="str">
        <f t="shared" ref="AD73:AN73" si="39">AD13</f>
        <v>0-40</v>
      </c>
      <c r="AE73" s="1" t="str">
        <f t="shared" si="39"/>
        <v>40-60</v>
      </c>
      <c r="AF73" s="1" t="str">
        <f t="shared" si="39"/>
        <v>60-80</v>
      </c>
      <c r="AG73" s="1" t="str">
        <f t="shared" si="39"/>
        <v>80-100</v>
      </c>
      <c r="AH73" s="1" t="str">
        <f t="shared" si="39"/>
        <v>100-150</v>
      </c>
      <c r="AI73" s="1" t="str">
        <f t="shared" si="39"/>
        <v>150-200</v>
      </c>
      <c r="AJ73" s="1" t="str">
        <f t="shared" si="39"/>
        <v>200-250</v>
      </c>
      <c r="AK73" s="1" t="str">
        <f t="shared" si="39"/>
        <v>250-350</v>
      </c>
      <c r="AL73" s="1" t="str">
        <f t="shared" si="39"/>
        <v>350-450</v>
      </c>
      <c r="AM73" s="1" t="str">
        <f t="shared" si="39"/>
        <v>450-650</v>
      </c>
      <c r="AN73" s="1" t="str">
        <f t="shared" si="39"/>
        <v>650-2000</v>
      </c>
    </row>
    <row r="74" spans="25:41" x14ac:dyDescent="0.2">
      <c r="AD74" s="1">
        <f t="shared" ref="AD74:AO74" si="40">AD6</f>
        <v>0</v>
      </c>
      <c r="AE74" s="1">
        <f t="shared" si="40"/>
        <v>40</v>
      </c>
      <c r="AF74" s="1">
        <f t="shared" si="40"/>
        <v>60</v>
      </c>
      <c r="AG74" s="1">
        <f t="shared" si="40"/>
        <v>80</v>
      </c>
      <c r="AH74" s="1">
        <f t="shared" si="40"/>
        <v>100</v>
      </c>
      <c r="AI74" s="1">
        <f t="shared" si="40"/>
        <v>150</v>
      </c>
      <c r="AJ74" s="1">
        <f t="shared" si="40"/>
        <v>200</v>
      </c>
      <c r="AK74" s="1">
        <f t="shared" si="40"/>
        <v>250</v>
      </c>
      <c r="AL74" s="1">
        <f t="shared" si="40"/>
        <v>350</v>
      </c>
      <c r="AM74" s="1">
        <f t="shared" si="40"/>
        <v>450</v>
      </c>
      <c r="AN74" s="1">
        <f t="shared" si="40"/>
        <v>650</v>
      </c>
      <c r="AO74" s="1">
        <f t="shared" si="40"/>
        <v>2000</v>
      </c>
    </row>
    <row r="75" spans="25:41" x14ac:dyDescent="0.2">
      <c r="Y75" s="235" t="s">
        <v>33</v>
      </c>
      <c r="Z75" s="1">
        <f>SUM(AD75:AO75)</f>
        <v>295774.76460541354</v>
      </c>
      <c r="AB75" s="1" t="s">
        <v>106</v>
      </c>
      <c r="AD75" s="1">
        <f>IF($Z$73&gt;AD74,(IF($Z$73-AE74&gt;0,(AE74-AD74)*$B$9*AD77,($Z$73-AD74)*$B$9*AD77)),0)</f>
        <v>253848</v>
      </c>
      <c r="AE75" s="1">
        <f t="shared" ref="AE75:AN75" si="41">IF($Z$73&gt;AE74,(IF($Z$73-AF74&gt;0,(AF74-AE74)*$B$9*AE77,($Z$73-AE74)*$B$9*AE77)),0)</f>
        <v>41926.764605413526</v>
      </c>
      <c r="AF75" s="1">
        <f t="shared" si="41"/>
        <v>0</v>
      </c>
      <c r="AG75" s="1">
        <f t="shared" si="41"/>
        <v>0</v>
      </c>
      <c r="AH75" s="1">
        <f t="shared" si="41"/>
        <v>0</v>
      </c>
      <c r="AI75" s="1">
        <f t="shared" si="41"/>
        <v>0</v>
      </c>
      <c r="AJ75" s="1">
        <f t="shared" si="41"/>
        <v>0</v>
      </c>
      <c r="AK75" s="1">
        <f t="shared" si="41"/>
        <v>0</v>
      </c>
      <c r="AL75" s="1">
        <f t="shared" si="41"/>
        <v>0</v>
      </c>
      <c r="AM75" s="1">
        <f t="shared" si="41"/>
        <v>0</v>
      </c>
      <c r="AN75" s="1">
        <f t="shared" si="41"/>
        <v>0</v>
      </c>
    </row>
    <row r="77" spans="25:41" x14ac:dyDescent="0.2">
      <c r="AB77" s="1" t="s">
        <v>109</v>
      </c>
      <c r="AD77" s="218">
        <f t="shared" ref="AD77:AO77" si="42">AD9</f>
        <v>0.6</v>
      </c>
      <c r="AE77" s="218">
        <f t="shared" si="42"/>
        <v>0.39639561884668173</v>
      </c>
      <c r="AF77" s="218">
        <f t="shared" si="42"/>
        <v>0.36101072393511269</v>
      </c>
      <c r="AG77" s="218">
        <f t="shared" si="42"/>
        <v>0.33356406712346476</v>
      </c>
      <c r="AH77" s="218">
        <f t="shared" si="42"/>
        <v>0.28369185882616055</v>
      </c>
      <c r="AI77" s="218">
        <f t="shared" si="42"/>
        <v>0.24830696391459162</v>
      </c>
      <c r="AJ77" s="218">
        <f t="shared" si="42"/>
        <v>0.2208603071029438</v>
      </c>
      <c r="AK77" s="218">
        <f t="shared" si="42"/>
        <v>0.17947422199853458</v>
      </c>
      <c r="AL77" s="218">
        <f t="shared" si="42"/>
        <v>0.14856254731998308</v>
      </c>
      <c r="AM77" s="218">
        <f t="shared" si="42"/>
        <v>0.10333239936456906</v>
      </c>
      <c r="AN77" s="218">
        <f t="shared" si="42"/>
        <v>0.08</v>
      </c>
      <c r="AO77" s="218">
        <f t="shared" si="42"/>
        <v>0.1</v>
      </c>
    </row>
    <row r="80" spans="25:41" x14ac:dyDescent="0.2">
      <c r="Y80" s="235" t="s">
        <v>13</v>
      </c>
      <c r="Z80" s="1">
        <f>C27</f>
        <v>172</v>
      </c>
      <c r="AB80" s="1" t="s">
        <v>103</v>
      </c>
      <c r="AD80" s="1" t="str">
        <f t="shared" ref="AD80:AN80" si="43">AD13</f>
        <v>0-40</v>
      </c>
      <c r="AE80" s="1" t="str">
        <f t="shared" si="43"/>
        <v>40-60</v>
      </c>
      <c r="AF80" s="1" t="str">
        <f t="shared" si="43"/>
        <v>60-80</v>
      </c>
      <c r="AG80" s="1" t="str">
        <f t="shared" si="43"/>
        <v>80-100</v>
      </c>
      <c r="AH80" s="1" t="str">
        <f t="shared" si="43"/>
        <v>100-150</v>
      </c>
      <c r="AI80" s="1" t="str">
        <f t="shared" si="43"/>
        <v>150-200</v>
      </c>
      <c r="AJ80" s="1" t="str">
        <f t="shared" si="43"/>
        <v>200-250</v>
      </c>
      <c r="AK80" s="1" t="str">
        <f t="shared" si="43"/>
        <v>250-350</v>
      </c>
      <c r="AL80" s="1" t="str">
        <f t="shared" si="43"/>
        <v>350-450</v>
      </c>
      <c r="AM80" s="1" t="str">
        <f t="shared" si="43"/>
        <v>450-650</v>
      </c>
      <c r="AN80" s="1" t="str">
        <f t="shared" si="43"/>
        <v>650-2000</v>
      </c>
    </row>
    <row r="81" spans="8:41" x14ac:dyDescent="0.2">
      <c r="AD81" s="1">
        <f t="shared" ref="AD81:AO81" si="44">AD6</f>
        <v>0</v>
      </c>
      <c r="AE81" s="1">
        <f t="shared" si="44"/>
        <v>40</v>
      </c>
      <c r="AF81" s="1">
        <f t="shared" si="44"/>
        <v>60</v>
      </c>
      <c r="AG81" s="1">
        <f t="shared" si="44"/>
        <v>80</v>
      </c>
      <c r="AH81" s="1">
        <f t="shared" si="44"/>
        <v>100</v>
      </c>
      <c r="AI81" s="1">
        <f t="shared" si="44"/>
        <v>150</v>
      </c>
      <c r="AJ81" s="1">
        <f t="shared" si="44"/>
        <v>200</v>
      </c>
      <c r="AK81" s="1">
        <f t="shared" si="44"/>
        <v>250</v>
      </c>
      <c r="AL81" s="1">
        <f t="shared" si="44"/>
        <v>350</v>
      </c>
      <c r="AM81" s="1">
        <f t="shared" si="44"/>
        <v>450</v>
      </c>
      <c r="AN81" s="1">
        <f t="shared" si="44"/>
        <v>650</v>
      </c>
      <c r="AO81" s="1">
        <f t="shared" si="44"/>
        <v>2000</v>
      </c>
    </row>
    <row r="82" spans="8:41" x14ac:dyDescent="0.2">
      <c r="Y82" s="235" t="s">
        <v>33</v>
      </c>
      <c r="Z82" s="1">
        <f>SUM(AD82:AO82)</f>
        <v>692441.86071271554</v>
      </c>
      <c r="AB82" s="1" t="s">
        <v>106</v>
      </c>
      <c r="AD82" s="1">
        <f>IF($Z$80&gt;AD81,(IF($Z$80-AE81&gt;0,(AE81-AD81)*$B$9*AD84,($Z$80-AD81)*$B$9*AD84)),0)</f>
        <v>253848</v>
      </c>
      <c r="AE82" s="1">
        <f t="shared" ref="AE82:AN82" si="45">IF($Z$80&gt;AE81,(IF($Z$80-AF81&gt;0,(AF81-AE81)*$B$9*AE84,($Z$80-AE81)*$B$9*AE84)),0)</f>
        <v>83853.529210827051</v>
      </c>
      <c r="AF82" s="1">
        <f t="shared" si="45"/>
        <v>76368.208541233733</v>
      </c>
      <c r="AG82" s="1">
        <f t="shared" si="45"/>
        <v>70562.142759297742</v>
      </c>
      <c r="AH82" s="1">
        <f t="shared" si="45"/>
        <v>150030.43954021501</v>
      </c>
      <c r="AI82" s="1">
        <f t="shared" si="45"/>
        <v>57779.540661141982</v>
      </c>
      <c r="AJ82" s="1">
        <f t="shared" si="45"/>
        <v>0</v>
      </c>
      <c r="AK82" s="1">
        <f t="shared" si="45"/>
        <v>0</v>
      </c>
      <c r="AL82" s="1">
        <f t="shared" si="45"/>
        <v>0</v>
      </c>
      <c r="AM82" s="1">
        <f t="shared" si="45"/>
        <v>0</v>
      </c>
      <c r="AN82" s="1">
        <f t="shared" si="45"/>
        <v>0</v>
      </c>
    </row>
    <row r="84" spans="8:41" x14ac:dyDescent="0.2">
      <c r="AB84" s="1" t="s">
        <v>109</v>
      </c>
      <c r="AD84" s="218">
        <f t="shared" ref="AD84:AO84" si="46">AD9</f>
        <v>0.6</v>
      </c>
      <c r="AE84" s="218">
        <f t="shared" si="46"/>
        <v>0.39639561884668173</v>
      </c>
      <c r="AF84" s="218">
        <f t="shared" si="46"/>
        <v>0.36101072393511269</v>
      </c>
      <c r="AG84" s="218">
        <f t="shared" si="46"/>
        <v>0.33356406712346476</v>
      </c>
      <c r="AH84" s="218">
        <f t="shared" si="46"/>
        <v>0.28369185882616055</v>
      </c>
      <c r="AI84" s="218">
        <f t="shared" si="46"/>
        <v>0.24830696391459162</v>
      </c>
      <c r="AJ84" s="218">
        <f t="shared" si="46"/>
        <v>0.2208603071029438</v>
      </c>
      <c r="AK84" s="218">
        <f t="shared" si="46"/>
        <v>0.17947422199853458</v>
      </c>
      <c r="AL84" s="218">
        <f t="shared" si="46"/>
        <v>0.14856254731998308</v>
      </c>
      <c r="AM84" s="218">
        <f t="shared" si="46"/>
        <v>0.10333239936456906</v>
      </c>
      <c r="AN84" s="218">
        <f t="shared" si="46"/>
        <v>0.08</v>
      </c>
      <c r="AO84" s="218">
        <f t="shared" si="46"/>
        <v>0.1</v>
      </c>
    </row>
    <row r="88" spans="8:41" x14ac:dyDescent="0.2">
      <c r="Y88" s="235" t="s">
        <v>17</v>
      </c>
      <c r="Z88" s="1">
        <f>C28</f>
        <v>284</v>
      </c>
      <c r="AB88" s="1" t="s">
        <v>103</v>
      </c>
      <c r="AD88" s="1" t="str">
        <f t="shared" ref="AD88:AN88" si="47">AD13</f>
        <v>0-40</v>
      </c>
      <c r="AE88" s="1" t="str">
        <f t="shared" si="47"/>
        <v>40-60</v>
      </c>
      <c r="AF88" s="1" t="str">
        <f t="shared" si="47"/>
        <v>60-80</v>
      </c>
      <c r="AG88" s="1" t="str">
        <f t="shared" si="47"/>
        <v>80-100</v>
      </c>
      <c r="AH88" s="1" t="str">
        <f t="shared" si="47"/>
        <v>100-150</v>
      </c>
      <c r="AI88" s="1" t="str">
        <f t="shared" si="47"/>
        <v>150-200</v>
      </c>
      <c r="AJ88" s="1" t="str">
        <f t="shared" si="47"/>
        <v>200-250</v>
      </c>
      <c r="AK88" s="1" t="str">
        <f t="shared" si="47"/>
        <v>250-350</v>
      </c>
      <c r="AL88" s="1" t="str">
        <f t="shared" si="47"/>
        <v>350-450</v>
      </c>
      <c r="AM88" s="1" t="str">
        <f t="shared" si="47"/>
        <v>450-650</v>
      </c>
      <c r="AN88" s="1" t="str">
        <f t="shared" si="47"/>
        <v>650-2000</v>
      </c>
    </row>
    <row r="89" spans="8:41" x14ac:dyDescent="0.2">
      <c r="AD89" s="1">
        <f t="shared" ref="AD89:AO89" si="48">AD6</f>
        <v>0</v>
      </c>
      <c r="AE89" s="1">
        <f t="shared" si="48"/>
        <v>40</v>
      </c>
      <c r="AF89" s="1">
        <f t="shared" si="48"/>
        <v>60</v>
      </c>
      <c r="AG89" s="1">
        <f t="shared" si="48"/>
        <v>80</v>
      </c>
      <c r="AH89" s="1">
        <f t="shared" si="48"/>
        <v>100</v>
      </c>
      <c r="AI89" s="1">
        <f t="shared" si="48"/>
        <v>150</v>
      </c>
      <c r="AJ89" s="1">
        <f t="shared" si="48"/>
        <v>200</v>
      </c>
      <c r="AK89" s="1">
        <f t="shared" si="48"/>
        <v>250</v>
      </c>
      <c r="AL89" s="1">
        <f t="shared" si="48"/>
        <v>350</v>
      </c>
      <c r="AM89" s="1">
        <f t="shared" si="48"/>
        <v>450</v>
      </c>
      <c r="AN89" s="1">
        <f t="shared" si="48"/>
        <v>650</v>
      </c>
      <c r="AO89" s="1">
        <f t="shared" si="48"/>
        <v>2000</v>
      </c>
    </row>
    <row r="90" spans="8:41" x14ac:dyDescent="0.2">
      <c r="Y90" s="235" t="s">
        <v>33</v>
      </c>
      <c r="Z90" s="1">
        <f>SUM(AD90:AO90)</f>
        <v>947323.5920958661</v>
      </c>
      <c r="AB90" s="1" t="s">
        <v>106</v>
      </c>
      <c r="AD90" s="1">
        <f>IF($Z$88&gt;AD89,(IF($Z$88-AE89&gt;0,(AE89-AD89)*$B$9*AD92,($Z$88-AD89)*$B$9*AD92)),0)</f>
        <v>253848</v>
      </c>
      <c r="AE90" s="1">
        <f t="shared" ref="AE90:AN90" si="49">IF($Z$88&gt;AE89,(IF($Z$88-AF89&gt;0,(AF89-AE89)*$B$9*AE92,($Z$88-AE89)*$B$9*AE92)),0)</f>
        <v>83853.529210827051</v>
      </c>
      <c r="AF90" s="1">
        <f t="shared" si="49"/>
        <v>76368.208541233733</v>
      </c>
      <c r="AG90" s="1">
        <f t="shared" si="49"/>
        <v>70562.142759297742</v>
      </c>
      <c r="AH90" s="1">
        <f t="shared" si="49"/>
        <v>150030.43954021501</v>
      </c>
      <c r="AI90" s="1">
        <f t="shared" si="49"/>
        <v>131317.13786623179</v>
      </c>
      <c r="AJ90" s="1">
        <f t="shared" si="49"/>
        <v>116801.97341139182</v>
      </c>
      <c r="AK90" s="1">
        <f t="shared" si="49"/>
        <v>64542.160766669011</v>
      </c>
      <c r="AL90" s="1">
        <f t="shared" si="49"/>
        <v>0</v>
      </c>
      <c r="AM90" s="1">
        <f t="shared" si="49"/>
        <v>0</v>
      </c>
      <c r="AN90" s="1">
        <f t="shared" si="49"/>
        <v>0</v>
      </c>
    </row>
    <row r="92" spans="8:41" x14ac:dyDescent="0.2">
      <c r="H92" s="22"/>
      <c r="I92" s="22"/>
      <c r="J92" s="22"/>
      <c r="K92" s="22"/>
      <c r="L92" s="22"/>
      <c r="M92" s="22"/>
      <c r="N92" s="22"/>
      <c r="O92" s="22"/>
      <c r="P92" s="22"/>
      <c r="Q92" s="22"/>
      <c r="R92" s="22"/>
      <c r="S92" s="22"/>
      <c r="T92" s="22"/>
      <c r="U92" s="22"/>
      <c r="V92" s="22"/>
      <c r="W92" s="22"/>
      <c r="AB92" s="1" t="s">
        <v>109</v>
      </c>
      <c r="AD92" s="218">
        <f t="shared" ref="AD92:AO92" si="50">AD9</f>
        <v>0.6</v>
      </c>
      <c r="AE92" s="218">
        <f t="shared" si="50"/>
        <v>0.39639561884668173</v>
      </c>
      <c r="AF92" s="218">
        <f t="shared" si="50"/>
        <v>0.36101072393511269</v>
      </c>
      <c r="AG92" s="218">
        <f t="shared" si="50"/>
        <v>0.33356406712346476</v>
      </c>
      <c r="AH92" s="218">
        <f t="shared" si="50"/>
        <v>0.28369185882616055</v>
      </c>
      <c r="AI92" s="218">
        <f t="shared" si="50"/>
        <v>0.24830696391459162</v>
      </c>
      <c r="AJ92" s="218">
        <f t="shared" si="50"/>
        <v>0.2208603071029438</v>
      </c>
      <c r="AK92" s="218">
        <f t="shared" si="50"/>
        <v>0.17947422199853458</v>
      </c>
      <c r="AL92" s="218">
        <f t="shared" si="50"/>
        <v>0.14856254731998308</v>
      </c>
      <c r="AM92" s="218">
        <f t="shared" si="50"/>
        <v>0.10333239936456906</v>
      </c>
      <c r="AN92" s="218">
        <f t="shared" si="50"/>
        <v>0.08</v>
      </c>
      <c r="AO92" s="218">
        <f t="shared" si="50"/>
        <v>0.1</v>
      </c>
    </row>
    <row r="93" spans="8:41" x14ac:dyDescent="0.2">
      <c r="H93" s="22"/>
      <c r="I93" s="22"/>
      <c r="J93" s="22"/>
      <c r="K93" s="22"/>
      <c r="L93" s="22"/>
      <c r="M93" s="22"/>
      <c r="N93" s="22"/>
      <c r="O93" s="22"/>
      <c r="P93" s="22"/>
      <c r="Q93" s="22"/>
      <c r="R93" s="22"/>
      <c r="S93" s="22"/>
      <c r="T93" s="22"/>
      <c r="U93" s="22"/>
      <c r="V93" s="22"/>
      <c r="W93" s="22"/>
    </row>
    <row r="94" spans="8:41" x14ac:dyDescent="0.2">
      <c r="H94" s="22"/>
      <c r="I94" s="22"/>
      <c r="J94" s="22"/>
      <c r="K94" s="22"/>
      <c r="L94" s="22"/>
      <c r="M94" s="22"/>
      <c r="N94" s="22"/>
      <c r="O94" s="22"/>
      <c r="P94" s="22"/>
      <c r="Q94" s="22"/>
      <c r="R94" s="22"/>
      <c r="S94" s="22"/>
      <c r="T94" s="22"/>
      <c r="U94" s="22"/>
      <c r="V94" s="22"/>
      <c r="W94" s="22"/>
    </row>
    <row r="95" spans="8:41" x14ac:dyDescent="0.2">
      <c r="Y95" s="235" t="s">
        <v>19</v>
      </c>
      <c r="Z95" s="1">
        <f>C29</f>
        <v>217</v>
      </c>
      <c r="AB95" s="1" t="s">
        <v>103</v>
      </c>
      <c r="AD95" s="1" t="str">
        <f t="shared" ref="AD95:AN95" si="51">AD13</f>
        <v>0-40</v>
      </c>
      <c r="AE95" s="1" t="str">
        <f t="shared" si="51"/>
        <v>40-60</v>
      </c>
      <c r="AF95" s="1" t="str">
        <f t="shared" si="51"/>
        <v>60-80</v>
      </c>
      <c r="AG95" s="1" t="str">
        <f t="shared" si="51"/>
        <v>80-100</v>
      </c>
      <c r="AH95" s="1" t="str">
        <f t="shared" si="51"/>
        <v>100-150</v>
      </c>
      <c r="AI95" s="1" t="str">
        <f t="shared" si="51"/>
        <v>150-200</v>
      </c>
      <c r="AJ95" s="1" t="str">
        <f t="shared" si="51"/>
        <v>200-250</v>
      </c>
      <c r="AK95" s="1" t="str">
        <f t="shared" si="51"/>
        <v>250-350</v>
      </c>
      <c r="AL95" s="1" t="str">
        <f t="shared" si="51"/>
        <v>350-450</v>
      </c>
      <c r="AM95" s="1" t="str">
        <f t="shared" si="51"/>
        <v>450-650</v>
      </c>
      <c r="AN95" s="1" t="str">
        <f t="shared" si="51"/>
        <v>650-2000</v>
      </c>
    </row>
    <row r="96" spans="8:41" x14ac:dyDescent="0.2">
      <c r="H96" s="22"/>
      <c r="I96" s="22"/>
      <c r="J96" s="22"/>
      <c r="K96" s="22"/>
      <c r="L96" s="22"/>
      <c r="M96" s="22"/>
      <c r="N96" s="22"/>
      <c r="O96" s="22"/>
      <c r="P96" s="22"/>
      <c r="Q96" s="22"/>
      <c r="R96" s="22"/>
      <c r="S96" s="22"/>
      <c r="T96" s="22"/>
      <c r="U96" s="22"/>
      <c r="V96" s="22"/>
      <c r="W96" s="22"/>
      <c r="AD96" s="1">
        <f t="shared" ref="AD96:AO96" si="52">AD6</f>
        <v>0</v>
      </c>
      <c r="AE96" s="1">
        <f t="shared" si="52"/>
        <v>40</v>
      </c>
      <c r="AF96" s="1">
        <f t="shared" si="52"/>
        <v>60</v>
      </c>
      <c r="AG96" s="1">
        <f t="shared" si="52"/>
        <v>80</v>
      </c>
      <c r="AH96" s="1">
        <f t="shared" si="52"/>
        <v>100</v>
      </c>
      <c r="AI96" s="1">
        <f t="shared" si="52"/>
        <v>150</v>
      </c>
      <c r="AJ96" s="1">
        <f t="shared" si="52"/>
        <v>200</v>
      </c>
      <c r="AK96" s="1">
        <f t="shared" si="52"/>
        <v>250</v>
      </c>
      <c r="AL96" s="1">
        <f t="shared" si="52"/>
        <v>350</v>
      </c>
      <c r="AM96" s="1">
        <f t="shared" si="52"/>
        <v>450</v>
      </c>
      <c r="AN96" s="1">
        <f t="shared" si="52"/>
        <v>650</v>
      </c>
      <c r="AO96" s="1">
        <f t="shared" si="52"/>
        <v>2000</v>
      </c>
    </row>
    <row r="97" spans="8:41" x14ac:dyDescent="0.2">
      <c r="Y97" s="235" t="s">
        <v>33</v>
      </c>
      <c r="Z97" s="1">
        <f>SUM(AD97:AO97)</f>
        <v>805692.12887767854</v>
      </c>
      <c r="AB97" s="1" t="s">
        <v>106</v>
      </c>
      <c r="AD97" s="1">
        <f>IF($Z$95&gt;AD96,(IF($Z$95-AE96&gt;0,(AE96-AD96)*$B$9*AD99,($Z$95-AD96)*$B$9*AD99)),0)</f>
        <v>253848</v>
      </c>
      <c r="AE97" s="1">
        <f t="shared" ref="AE97:AN97" si="53">IF($Z$95&gt;AE96,(IF($Z$95-AF96&gt;0,(AF96-AE96)*$B$9*AE99,($Z$95-AE96)*$B$9*AE99)),0)</f>
        <v>83853.529210827051</v>
      </c>
      <c r="AF97" s="1">
        <f t="shared" si="53"/>
        <v>76368.208541233733</v>
      </c>
      <c r="AG97" s="1">
        <f t="shared" si="53"/>
        <v>70562.142759297742</v>
      </c>
      <c r="AH97" s="1">
        <f t="shared" si="53"/>
        <v>150030.43954021501</v>
      </c>
      <c r="AI97" s="1">
        <f t="shared" si="53"/>
        <v>131317.13786623179</v>
      </c>
      <c r="AJ97" s="1">
        <f t="shared" si="53"/>
        <v>39712.67095987322</v>
      </c>
      <c r="AK97" s="1">
        <f t="shared" si="53"/>
        <v>0</v>
      </c>
      <c r="AL97" s="1">
        <f t="shared" si="53"/>
        <v>0</v>
      </c>
      <c r="AM97" s="1">
        <f t="shared" si="53"/>
        <v>0</v>
      </c>
      <c r="AN97" s="1">
        <f t="shared" si="53"/>
        <v>0</v>
      </c>
    </row>
    <row r="99" spans="8:41" x14ac:dyDescent="0.2">
      <c r="AB99" s="1" t="s">
        <v>109</v>
      </c>
      <c r="AD99" s="218">
        <f t="shared" ref="AD99:AO99" si="54">AD9</f>
        <v>0.6</v>
      </c>
      <c r="AE99" s="218">
        <f t="shared" si="54"/>
        <v>0.39639561884668173</v>
      </c>
      <c r="AF99" s="218">
        <f t="shared" si="54"/>
        <v>0.36101072393511269</v>
      </c>
      <c r="AG99" s="218">
        <f t="shared" si="54"/>
        <v>0.33356406712346476</v>
      </c>
      <c r="AH99" s="218">
        <f t="shared" si="54"/>
        <v>0.28369185882616055</v>
      </c>
      <c r="AI99" s="218">
        <f t="shared" si="54"/>
        <v>0.24830696391459162</v>
      </c>
      <c r="AJ99" s="218">
        <f t="shared" si="54"/>
        <v>0.2208603071029438</v>
      </c>
      <c r="AK99" s="218">
        <f t="shared" si="54"/>
        <v>0.17947422199853458</v>
      </c>
      <c r="AL99" s="218">
        <f t="shared" si="54"/>
        <v>0.14856254731998308</v>
      </c>
      <c r="AM99" s="218">
        <f t="shared" si="54"/>
        <v>0.10333239936456906</v>
      </c>
      <c r="AN99" s="218">
        <f t="shared" si="54"/>
        <v>0.08</v>
      </c>
      <c r="AO99" s="218">
        <f t="shared" si="54"/>
        <v>0.1</v>
      </c>
    </row>
    <row r="103" spans="8:41" x14ac:dyDescent="0.2">
      <c r="H103" s="22"/>
      <c r="Y103" s="235" t="s">
        <v>10</v>
      </c>
      <c r="Z103" s="1">
        <f>C30</f>
        <v>309</v>
      </c>
      <c r="AB103" s="1" t="s">
        <v>103</v>
      </c>
      <c r="AD103" s="1" t="str">
        <f t="shared" ref="AD103:AN103" si="55">AD13</f>
        <v>0-40</v>
      </c>
      <c r="AE103" s="1" t="str">
        <f t="shared" si="55"/>
        <v>40-60</v>
      </c>
      <c r="AF103" s="1" t="str">
        <f t="shared" si="55"/>
        <v>60-80</v>
      </c>
      <c r="AG103" s="1" t="str">
        <f t="shared" si="55"/>
        <v>80-100</v>
      </c>
      <c r="AH103" s="1" t="str">
        <f t="shared" si="55"/>
        <v>100-150</v>
      </c>
      <c r="AI103" s="1" t="str">
        <f t="shared" si="55"/>
        <v>150-200</v>
      </c>
      <c r="AJ103" s="1" t="str">
        <f t="shared" si="55"/>
        <v>200-250</v>
      </c>
      <c r="AK103" s="1" t="str">
        <f t="shared" si="55"/>
        <v>250-350</v>
      </c>
      <c r="AL103" s="1" t="str">
        <f t="shared" si="55"/>
        <v>350-450</v>
      </c>
      <c r="AM103" s="1" t="str">
        <f t="shared" si="55"/>
        <v>450-650</v>
      </c>
      <c r="AN103" s="1" t="str">
        <f t="shared" si="55"/>
        <v>650-2000</v>
      </c>
    </row>
    <row r="104" spans="8:41" x14ac:dyDescent="0.2">
      <c r="AD104" s="1">
        <f t="shared" ref="AD104:AO104" si="56">AD6</f>
        <v>0</v>
      </c>
      <c r="AE104" s="1">
        <f t="shared" si="56"/>
        <v>40</v>
      </c>
      <c r="AF104" s="1">
        <f t="shared" si="56"/>
        <v>60</v>
      </c>
      <c r="AG104" s="1">
        <f t="shared" si="56"/>
        <v>80</v>
      </c>
      <c r="AH104" s="1">
        <f t="shared" si="56"/>
        <v>100</v>
      </c>
      <c r="AI104" s="1">
        <f t="shared" si="56"/>
        <v>150</v>
      </c>
      <c r="AJ104" s="1">
        <f t="shared" si="56"/>
        <v>200</v>
      </c>
      <c r="AK104" s="1">
        <f t="shared" si="56"/>
        <v>250</v>
      </c>
      <c r="AL104" s="1">
        <f t="shared" si="56"/>
        <v>350</v>
      </c>
      <c r="AM104" s="1">
        <f t="shared" si="56"/>
        <v>450</v>
      </c>
      <c r="AN104" s="1">
        <f t="shared" si="56"/>
        <v>650</v>
      </c>
      <c r="AO104" s="1">
        <f t="shared" si="56"/>
        <v>2000</v>
      </c>
    </row>
    <row r="105" spans="8:41" x14ac:dyDescent="0.2">
      <c r="Y105" s="235" t="s">
        <v>33</v>
      </c>
      <c r="Z105" s="1">
        <f>SUM(AD105:AO105)</f>
        <v>994781.06324782863</v>
      </c>
      <c r="AB105" s="1" t="s">
        <v>106</v>
      </c>
      <c r="AD105" s="1">
        <f>IF($Z$103&gt;AD104,(IF($Z$103-AE104&gt;0,(AE104-AD104)*$B$9*AD107,($Z$103-AD104)*$B$9*AD107)),0)</f>
        <v>253848</v>
      </c>
      <c r="AE105" s="1">
        <f t="shared" ref="AE105:AN105" si="57">IF($Z$103&gt;AE104,(IF($Z$103-AF104&gt;0,(AF104-AE104)*$B$9*AE107,($Z$103-AE104)*$B$9*AE107)),0)</f>
        <v>83853.529210827051</v>
      </c>
      <c r="AF105" s="1">
        <f t="shared" si="57"/>
        <v>76368.208541233733</v>
      </c>
      <c r="AG105" s="1">
        <f t="shared" si="57"/>
        <v>70562.142759297742</v>
      </c>
      <c r="AH105" s="1">
        <f t="shared" si="57"/>
        <v>150030.43954021501</v>
      </c>
      <c r="AI105" s="1">
        <f t="shared" si="57"/>
        <v>131317.13786623179</v>
      </c>
      <c r="AJ105" s="1">
        <f t="shared" si="57"/>
        <v>116801.97341139182</v>
      </c>
      <c r="AK105" s="1">
        <f t="shared" si="57"/>
        <v>111999.63191863151</v>
      </c>
      <c r="AL105" s="1">
        <f t="shared" si="57"/>
        <v>0</v>
      </c>
      <c r="AM105" s="1">
        <f t="shared" si="57"/>
        <v>0</v>
      </c>
      <c r="AN105" s="1">
        <f t="shared" si="57"/>
        <v>0</v>
      </c>
    </row>
    <row r="107" spans="8:41" x14ac:dyDescent="0.2">
      <c r="AB107" s="1" t="s">
        <v>109</v>
      </c>
      <c r="AD107" s="218">
        <f t="shared" ref="AD107:AO107" si="58">AD9</f>
        <v>0.6</v>
      </c>
      <c r="AE107" s="218">
        <f t="shared" si="58"/>
        <v>0.39639561884668173</v>
      </c>
      <c r="AF107" s="218">
        <f t="shared" si="58"/>
        <v>0.36101072393511269</v>
      </c>
      <c r="AG107" s="218">
        <f t="shared" si="58"/>
        <v>0.33356406712346476</v>
      </c>
      <c r="AH107" s="218">
        <f t="shared" si="58"/>
        <v>0.28369185882616055</v>
      </c>
      <c r="AI107" s="218">
        <f t="shared" si="58"/>
        <v>0.24830696391459162</v>
      </c>
      <c r="AJ107" s="218">
        <f t="shared" si="58"/>
        <v>0.2208603071029438</v>
      </c>
      <c r="AK107" s="218">
        <f t="shared" si="58"/>
        <v>0.17947422199853458</v>
      </c>
      <c r="AL107" s="218">
        <f t="shared" si="58"/>
        <v>0.14856254731998308</v>
      </c>
      <c r="AM107" s="218">
        <f t="shared" si="58"/>
        <v>0.10333239936456906</v>
      </c>
      <c r="AN107" s="218">
        <f t="shared" si="58"/>
        <v>0.08</v>
      </c>
      <c r="AO107" s="218">
        <f t="shared" si="58"/>
        <v>0.1</v>
      </c>
    </row>
    <row r="110" spans="8:41" x14ac:dyDescent="0.2">
      <c r="H110" s="22"/>
      <c r="I110" s="22"/>
      <c r="J110" s="22"/>
      <c r="K110" s="22"/>
      <c r="L110" s="22"/>
      <c r="M110" s="22"/>
      <c r="N110" s="22"/>
      <c r="O110" s="22"/>
      <c r="P110" s="22"/>
      <c r="Q110" s="22"/>
      <c r="R110" s="22"/>
      <c r="S110" s="22"/>
      <c r="T110" s="22"/>
      <c r="U110" s="22"/>
      <c r="V110" s="22"/>
      <c r="W110" s="22"/>
      <c r="Y110" s="235" t="s">
        <v>14</v>
      </c>
      <c r="Z110" s="1">
        <f>C31</f>
        <v>541</v>
      </c>
      <c r="AB110" s="1" t="s">
        <v>103</v>
      </c>
      <c r="AD110" s="1" t="str">
        <f t="shared" ref="AD110:AN110" si="59">AD13</f>
        <v>0-40</v>
      </c>
      <c r="AE110" s="1" t="str">
        <f t="shared" si="59"/>
        <v>40-60</v>
      </c>
      <c r="AF110" s="1" t="str">
        <f t="shared" si="59"/>
        <v>60-80</v>
      </c>
      <c r="AG110" s="1" t="str">
        <f t="shared" si="59"/>
        <v>80-100</v>
      </c>
      <c r="AH110" s="1" t="str">
        <f t="shared" si="59"/>
        <v>100-150</v>
      </c>
      <c r="AI110" s="1" t="str">
        <f t="shared" si="59"/>
        <v>150-200</v>
      </c>
      <c r="AJ110" s="1" t="str">
        <f t="shared" si="59"/>
        <v>200-250</v>
      </c>
      <c r="AK110" s="1" t="str">
        <f t="shared" si="59"/>
        <v>250-350</v>
      </c>
      <c r="AL110" s="1" t="str">
        <f t="shared" si="59"/>
        <v>350-450</v>
      </c>
      <c r="AM110" s="1" t="str">
        <f t="shared" si="59"/>
        <v>450-650</v>
      </c>
      <c r="AN110" s="1" t="str">
        <f t="shared" si="59"/>
        <v>650-2000</v>
      </c>
    </row>
    <row r="111" spans="8:41" x14ac:dyDescent="0.2">
      <c r="H111" s="22"/>
      <c r="I111" s="22"/>
      <c r="J111" s="22"/>
      <c r="K111" s="22"/>
      <c r="L111" s="22"/>
      <c r="M111" s="22"/>
      <c r="N111" s="22"/>
      <c r="O111" s="22"/>
      <c r="P111" s="22"/>
      <c r="Q111" s="22"/>
      <c r="R111" s="22"/>
      <c r="S111" s="22"/>
      <c r="T111" s="22"/>
      <c r="U111" s="22"/>
      <c r="V111" s="22"/>
      <c r="W111" s="22"/>
      <c r="AD111" s="1">
        <f t="shared" ref="AD111:AO111" si="60">AD6</f>
        <v>0</v>
      </c>
      <c r="AE111" s="1">
        <f t="shared" si="60"/>
        <v>40</v>
      </c>
      <c r="AF111" s="1">
        <f t="shared" si="60"/>
        <v>60</v>
      </c>
      <c r="AG111" s="1">
        <f t="shared" si="60"/>
        <v>80</v>
      </c>
      <c r="AH111" s="1">
        <f t="shared" si="60"/>
        <v>100</v>
      </c>
      <c r="AI111" s="1">
        <f t="shared" si="60"/>
        <v>150</v>
      </c>
      <c r="AJ111" s="1">
        <f t="shared" si="60"/>
        <v>200</v>
      </c>
      <c r="AK111" s="1">
        <f t="shared" si="60"/>
        <v>250</v>
      </c>
      <c r="AL111" s="1">
        <f t="shared" si="60"/>
        <v>350</v>
      </c>
      <c r="AM111" s="1">
        <f t="shared" si="60"/>
        <v>450</v>
      </c>
      <c r="AN111" s="1">
        <f t="shared" si="60"/>
        <v>650</v>
      </c>
      <c r="AO111" s="1">
        <f t="shared" si="60"/>
        <v>2000</v>
      </c>
    </row>
    <row r="112" spans="8:41" x14ac:dyDescent="0.2">
      <c r="Y112" s="235" t="s">
        <v>33</v>
      </c>
      <c r="Z112" s="1">
        <f>SUM(AD112:AO112)</f>
        <v>1329204.0799525864</v>
      </c>
      <c r="AB112" s="1" t="s">
        <v>106</v>
      </c>
      <c r="AD112" s="1">
        <f>IF($Z$110&gt;AD111,(IF($Z$110-AE111&gt;0,(AE111-AD111)*$B$9*AD114,($Z$110-AD111)*$B$9*AD114)),0)</f>
        <v>253848</v>
      </c>
      <c r="AE112" s="1">
        <f t="shared" ref="AE112:AN112" si="61">IF($Z$110&gt;AE111,(IF($Z$110-AF111&gt;0,(AF111-AE111)*$B$9*AE114,($Z$110-AE111)*$B$9*AE114)),0)</f>
        <v>83853.529210827051</v>
      </c>
      <c r="AF112" s="1">
        <f t="shared" si="61"/>
        <v>76368.208541233733</v>
      </c>
      <c r="AG112" s="1">
        <f t="shared" si="61"/>
        <v>70562.142759297742</v>
      </c>
      <c r="AH112" s="1">
        <f t="shared" si="61"/>
        <v>150030.43954021501</v>
      </c>
      <c r="AI112" s="1">
        <f t="shared" si="61"/>
        <v>131317.13786623179</v>
      </c>
      <c r="AJ112" s="1">
        <f t="shared" si="61"/>
        <v>116801.97341139182</v>
      </c>
      <c r="AK112" s="1">
        <f t="shared" si="61"/>
        <v>189829.88460785002</v>
      </c>
      <c r="AL112" s="1">
        <f t="shared" si="61"/>
        <v>157134.60630034612</v>
      </c>
      <c r="AM112" s="1">
        <f t="shared" si="61"/>
        <v>99458.157715193272</v>
      </c>
      <c r="AN112" s="1">
        <f t="shared" si="61"/>
        <v>0</v>
      </c>
    </row>
    <row r="113" spans="7:41" x14ac:dyDescent="0.2">
      <c r="G113" s="24"/>
      <c r="H113" s="281"/>
      <c r="I113" s="281"/>
      <c r="J113" s="281"/>
      <c r="K113" s="281"/>
      <c r="L113" s="281"/>
      <c r="M113" s="281"/>
      <c r="N113" s="281"/>
      <c r="O113" s="281"/>
      <c r="P113" s="281"/>
      <c r="Q113" s="281"/>
      <c r="R113" s="281"/>
      <c r="S113" s="281"/>
      <c r="T113" s="281"/>
      <c r="U113" s="281"/>
      <c r="V113" s="281"/>
      <c r="W113" s="281"/>
    </row>
    <row r="114" spans="7:41" x14ac:dyDescent="0.2">
      <c r="H114" s="25"/>
      <c r="I114" s="25"/>
      <c r="J114" s="25"/>
      <c r="K114" s="25"/>
      <c r="L114" s="25"/>
      <c r="M114" s="25"/>
      <c r="N114" s="25"/>
      <c r="O114" s="25"/>
      <c r="P114" s="25"/>
      <c r="Q114" s="25"/>
      <c r="R114" s="25"/>
      <c r="S114" s="25"/>
      <c r="T114" s="25"/>
      <c r="U114" s="25"/>
      <c r="V114" s="25"/>
      <c r="W114" s="25"/>
      <c r="AB114" s="1" t="s">
        <v>109</v>
      </c>
      <c r="AD114" s="218">
        <f t="shared" ref="AD114:AO114" si="62">AD9</f>
        <v>0.6</v>
      </c>
      <c r="AE114" s="218">
        <f t="shared" si="62"/>
        <v>0.39639561884668173</v>
      </c>
      <c r="AF114" s="218">
        <f t="shared" si="62"/>
        <v>0.36101072393511269</v>
      </c>
      <c r="AG114" s="218">
        <f t="shared" si="62"/>
        <v>0.33356406712346476</v>
      </c>
      <c r="AH114" s="218">
        <f t="shared" si="62"/>
        <v>0.28369185882616055</v>
      </c>
      <c r="AI114" s="218">
        <f t="shared" si="62"/>
        <v>0.24830696391459162</v>
      </c>
      <c r="AJ114" s="218">
        <f t="shared" si="62"/>
        <v>0.2208603071029438</v>
      </c>
      <c r="AK114" s="218">
        <f t="shared" si="62"/>
        <v>0.17947422199853458</v>
      </c>
      <c r="AL114" s="218">
        <f t="shared" si="62"/>
        <v>0.14856254731998308</v>
      </c>
      <c r="AM114" s="218">
        <f t="shared" si="62"/>
        <v>0.10333239936456906</v>
      </c>
      <c r="AN114" s="218">
        <f t="shared" si="62"/>
        <v>0.08</v>
      </c>
      <c r="AO114" s="218">
        <f t="shared" si="62"/>
        <v>0.1</v>
      </c>
    </row>
    <row r="115" spans="7:41" x14ac:dyDescent="0.2">
      <c r="H115" s="115"/>
      <c r="I115" s="115"/>
      <c r="J115" s="115"/>
      <c r="K115" s="115"/>
      <c r="L115" s="115"/>
      <c r="M115" s="115"/>
      <c r="N115" s="115"/>
      <c r="O115" s="115"/>
      <c r="P115" s="115"/>
      <c r="Q115" s="115"/>
      <c r="R115" s="115"/>
      <c r="S115" s="115"/>
      <c r="T115" s="115"/>
      <c r="U115" s="115"/>
      <c r="V115" s="115"/>
      <c r="W115" s="115"/>
    </row>
    <row r="118" spans="7:41" x14ac:dyDescent="0.2">
      <c r="Y118" s="235" t="s">
        <v>23</v>
      </c>
      <c r="Z118" s="1">
        <f>C32</f>
        <v>1117</v>
      </c>
      <c r="AB118" s="1" t="s">
        <v>103</v>
      </c>
      <c r="AD118" s="1" t="str">
        <f t="shared" ref="AD118:AN118" si="63">AD110</f>
        <v>0-40</v>
      </c>
      <c r="AE118" s="1" t="str">
        <f t="shared" si="63"/>
        <v>40-60</v>
      </c>
      <c r="AF118" s="1" t="str">
        <f t="shared" si="63"/>
        <v>60-80</v>
      </c>
      <c r="AG118" s="1" t="str">
        <f t="shared" si="63"/>
        <v>80-100</v>
      </c>
      <c r="AH118" s="1" t="str">
        <f t="shared" si="63"/>
        <v>100-150</v>
      </c>
      <c r="AI118" s="1" t="str">
        <f t="shared" si="63"/>
        <v>150-200</v>
      </c>
      <c r="AJ118" s="1" t="str">
        <f t="shared" si="63"/>
        <v>200-250</v>
      </c>
      <c r="AK118" s="1" t="str">
        <f t="shared" si="63"/>
        <v>250-350</v>
      </c>
      <c r="AL118" s="1" t="str">
        <f t="shared" si="63"/>
        <v>350-450</v>
      </c>
      <c r="AM118" s="1" t="str">
        <f t="shared" si="63"/>
        <v>450-650</v>
      </c>
      <c r="AN118" s="1" t="str">
        <f t="shared" si="63"/>
        <v>650-2000</v>
      </c>
    </row>
    <row r="119" spans="7:41" x14ac:dyDescent="0.2">
      <c r="AD119" s="1">
        <f t="shared" ref="AD119:AO119" si="64">AD6</f>
        <v>0</v>
      </c>
      <c r="AE119" s="1">
        <f t="shared" si="64"/>
        <v>40</v>
      </c>
      <c r="AF119" s="1">
        <f t="shared" si="64"/>
        <v>60</v>
      </c>
      <c r="AG119" s="1">
        <f t="shared" si="64"/>
        <v>80</v>
      </c>
      <c r="AH119" s="1">
        <f t="shared" si="64"/>
        <v>100</v>
      </c>
      <c r="AI119" s="1">
        <f t="shared" si="64"/>
        <v>150</v>
      </c>
      <c r="AJ119" s="1">
        <f t="shared" si="64"/>
        <v>200</v>
      </c>
      <c r="AK119" s="1">
        <f t="shared" si="64"/>
        <v>250</v>
      </c>
      <c r="AL119" s="1">
        <f t="shared" si="64"/>
        <v>350</v>
      </c>
      <c r="AM119" s="1">
        <f t="shared" si="64"/>
        <v>450</v>
      </c>
      <c r="AN119" s="1">
        <f t="shared" si="64"/>
        <v>650</v>
      </c>
      <c r="AO119" s="1">
        <f t="shared" si="64"/>
        <v>2000</v>
      </c>
    </row>
    <row r="120" spans="7:41" x14ac:dyDescent="0.2">
      <c r="Y120" s="235" t="s">
        <v>33</v>
      </c>
      <c r="Z120" s="1">
        <f>SUM(AD120:AO120)</f>
        <v>1843491.9998532026</v>
      </c>
      <c r="AB120" s="1" t="s">
        <v>106</v>
      </c>
      <c r="AD120" s="1">
        <f>IF($Z$118&gt;AD119,(IF($Z$118-AE119&gt;0,(AE119-AD119)*$B$9*AD122,($Z$118-AD119)*$B$9*AD122)),0)</f>
        <v>253848</v>
      </c>
      <c r="AE120" s="1">
        <f t="shared" ref="AE120:AN120" si="65">IF($Z$118&gt;AE119,(IF($Z$118-AF119&gt;0,(AF119-AE119)*$B$9*AE122,($Z$118-AE119)*$B$9*AE122)),0)</f>
        <v>83853.529210827051</v>
      </c>
      <c r="AF120" s="1">
        <f t="shared" si="65"/>
        <v>76368.208541233733</v>
      </c>
      <c r="AG120" s="1">
        <f t="shared" si="65"/>
        <v>70562.142759297742</v>
      </c>
      <c r="AH120" s="1">
        <f t="shared" si="65"/>
        <v>150030.43954021501</v>
      </c>
      <c r="AI120" s="1">
        <f t="shared" si="65"/>
        <v>131317.13786623179</v>
      </c>
      <c r="AJ120" s="1">
        <f t="shared" si="65"/>
        <v>116801.97341139182</v>
      </c>
      <c r="AK120" s="1">
        <f t="shared" si="65"/>
        <v>189829.88460785002</v>
      </c>
      <c r="AL120" s="1">
        <f t="shared" si="65"/>
        <v>157134.60630034612</v>
      </c>
      <c r="AM120" s="1">
        <f t="shared" si="65"/>
        <v>218589.35761580939</v>
      </c>
      <c r="AN120" s="1">
        <f t="shared" si="65"/>
        <v>395156.72000000003</v>
      </c>
    </row>
    <row r="122" spans="7:41" x14ac:dyDescent="0.2">
      <c r="AB122" s="1" t="s">
        <v>109</v>
      </c>
      <c r="AD122" s="218">
        <f t="shared" ref="AD122:AO122" si="66">AD9</f>
        <v>0.6</v>
      </c>
      <c r="AE122" s="218">
        <f t="shared" si="66"/>
        <v>0.39639561884668173</v>
      </c>
      <c r="AF122" s="218">
        <f t="shared" si="66"/>
        <v>0.36101072393511269</v>
      </c>
      <c r="AG122" s="218">
        <f t="shared" si="66"/>
        <v>0.33356406712346476</v>
      </c>
      <c r="AH122" s="218">
        <f t="shared" si="66"/>
        <v>0.28369185882616055</v>
      </c>
      <c r="AI122" s="218">
        <f t="shared" si="66"/>
        <v>0.24830696391459162</v>
      </c>
      <c r="AJ122" s="218">
        <f t="shared" si="66"/>
        <v>0.2208603071029438</v>
      </c>
      <c r="AK122" s="218">
        <f t="shared" si="66"/>
        <v>0.17947422199853458</v>
      </c>
      <c r="AL122" s="218">
        <f t="shared" si="66"/>
        <v>0.14856254731998308</v>
      </c>
      <c r="AM122" s="218">
        <f t="shared" si="66"/>
        <v>0.10333239936456906</v>
      </c>
      <c r="AN122" s="218">
        <f t="shared" si="66"/>
        <v>0.08</v>
      </c>
      <c r="AO122" s="218">
        <f t="shared" si="66"/>
        <v>0.1</v>
      </c>
    </row>
    <row r="125" spans="7:41" x14ac:dyDescent="0.2">
      <c r="Y125" s="235" t="s">
        <v>138</v>
      </c>
      <c r="Z125" s="1">
        <f>SUM(Z118+Z110+Z103+Z95+Z88+Z80+Z73+Z65+Z58+Z50+Z43+Z35+Z28+Z20+Z13+Z5)</f>
        <v>3171</v>
      </c>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O125"/>
  <sheetViews>
    <sheetView topLeftCell="A4" zoomScale="85" zoomScaleNormal="85" workbookViewId="0">
      <selection activeCell="I15" sqref="I15"/>
    </sheetView>
  </sheetViews>
  <sheetFormatPr defaultColWidth="8.88671875" defaultRowHeight="15" x14ac:dyDescent="0.2"/>
  <cols>
    <col min="1" max="1" width="8.88671875" style="1"/>
    <col min="2" max="2" width="14.88671875" style="1" customWidth="1"/>
    <col min="3" max="3" width="8.88671875" style="1"/>
    <col min="4" max="4" width="12" style="1" customWidth="1"/>
    <col min="5" max="6" width="8.88671875" style="1"/>
    <col min="7" max="7" width="18.6640625" style="1" customWidth="1"/>
    <col min="8" max="8" width="12.109375" style="1" customWidth="1"/>
    <col min="9" max="9" width="19.44140625" style="1" customWidth="1"/>
    <col min="10" max="10" width="22.88671875" style="1" customWidth="1"/>
    <col min="11" max="11" width="7.33203125" style="1" customWidth="1"/>
    <col min="12" max="12" width="7.88671875" style="1" customWidth="1"/>
    <col min="13" max="13" width="10.77734375" style="1" customWidth="1"/>
    <col min="14" max="19" width="10.44140625" style="1" bestFit="1" customWidth="1"/>
    <col min="20" max="22" width="8.88671875" style="1"/>
    <col min="23" max="23" width="11.109375" style="1" customWidth="1"/>
    <col min="24" max="24" width="8.88671875" style="1"/>
    <col min="25" max="25" width="8.88671875" style="235"/>
    <col min="26" max="31" width="8.88671875" style="1"/>
    <col min="32" max="32" width="13.109375" style="1" customWidth="1"/>
    <col min="33" max="16384" width="8.88671875" style="1"/>
  </cols>
  <sheetData>
    <row r="3" spans="1:41" ht="16.5" thickBot="1" x14ac:dyDescent="0.3">
      <c r="B3" s="234" t="s">
        <v>101</v>
      </c>
    </row>
    <row r="5" spans="1:41" x14ac:dyDescent="0.2">
      <c r="Y5" s="235" t="s">
        <v>102</v>
      </c>
      <c r="Z5" s="1">
        <f>C17</f>
        <v>44</v>
      </c>
      <c r="AB5" s="1" t="s">
        <v>103</v>
      </c>
      <c r="AD5" s="1" t="str">
        <f>I11</f>
        <v>0-40</v>
      </c>
      <c r="AE5" s="1" t="str">
        <f t="shared" ref="AE5:AN5" si="0">J11</f>
        <v>40-60</v>
      </c>
      <c r="AF5" s="1" t="str">
        <f t="shared" si="0"/>
        <v>60-80</v>
      </c>
      <c r="AG5" s="1" t="str">
        <f t="shared" si="0"/>
        <v>80-100</v>
      </c>
      <c r="AH5" s="1" t="str">
        <f t="shared" si="0"/>
        <v>100-150</v>
      </c>
      <c r="AI5" s="1" t="str">
        <f t="shared" si="0"/>
        <v>150-200</v>
      </c>
      <c r="AJ5" s="1" t="str">
        <f t="shared" si="0"/>
        <v>200-250</v>
      </c>
      <c r="AK5" s="1" t="str">
        <f t="shared" si="0"/>
        <v>250-350</v>
      </c>
      <c r="AL5" s="1" t="str">
        <f t="shared" si="0"/>
        <v>350-450</v>
      </c>
      <c r="AM5" s="1" t="str">
        <f t="shared" si="0"/>
        <v>450-650</v>
      </c>
      <c r="AN5" s="1" t="str">
        <f t="shared" si="0"/>
        <v>650-2000</v>
      </c>
    </row>
    <row r="6" spans="1:41" ht="16.5" thickBot="1" x14ac:dyDescent="0.3">
      <c r="G6" s="5" t="s">
        <v>104</v>
      </c>
      <c r="AD6" s="1">
        <f t="shared" ref="AD6:AO6" si="1">I12</f>
        <v>0</v>
      </c>
      <c r="AE6" s="1">
        <f t="shared" si="1"/>
        <v>40</v>
      </c>
      <c r="AF6" s="1">
        <f t="shared" si="1"/>
        <v>60</v>
      </c>
      <c r="AG6" s="1">
        <f t="shared" si="1"/>
        <v>80</v>
      </c>
      <c r="AH6" s="1">
        <f t="shared" si="1"/>
        <v>100</v>
      </c>
      <c r="AI6" s="1">
        <f t="shared" si="1"/>
        <v>150</v>
      </c>
      <c r="AJ6" s="1">
        <f t="shared" si="1"/>
        <v>200</v>
      </c>
      <c r="AK6" s="1">
        <f t="shared" si="1"/>
        <v>250</v>
      </c>
      <c r="AL6" s="1">
        <f t="shared" si="1"/>
        <v>350</v>
      </c>
      <c r="AM6" s="1">
        <f t="shared" si="1"/>
        <v>450</v>
      </c>
      <c r="AN6" s="1">
        <f t="shared" si="1"/>
        <v>650</v>
      </c>
      <c r="AO6" s="1">
        <f t="shared" si="1"/>
        <v>2000</v>
      </c>
    </row>
    <row r="7" spans="1:41" ht="15.75" x14ac:dyDescent="0.25">
      <c r="B7" s="229" t="s">
        <v>143</v>
      </c>
      <c r="G7" s="99"/>
      <c r="H7" s="100"/>
      <c r="I7" s="100"/>
      <c r="J7" s="100"/>
      <c r="K7" s="100"/>
      <c r="L7" s="100"/>
      <c r="M7" s="100"/>
      <c r="N7" s="100"/>
      <c r="O7" s="100"/>
      <c r="P7" s="100"/>
      <c r="Q7" s="100"/>
      <c r="R7" s="100"/>
      <c r="S7" s="100"/>
      <c r="T7" s="101"/>
      <c r="Y7" s="235" t="s">
        <v>33</v>
      </c>
      <c r="Z7" s="1">
        <f>SUM(AD7:AO7)</f>
        <v>258260.86950655363</v>
      </c>
      <c r="AB7" s="1" t="s">
        <v>106</v>
      </c>
      <c r="AD7" s="1">
        <f>IF($Z$5&gt;AD6,(IF($Z$5-AE6&gt;0,(AE6-AD6)*$B$9*AD9,($Z$5-AD6)*$B$9*AD9)),0)</f>
        <v>242256</v>
      </c>
      <c r="AE7" s="1">
        <f t="shared" ref="AE7:AN7" si="2">IF($Z$5&gt;AE6,(IF($Z$5-AF6&gt;0,(AF6-AE6)*$B$9*AE9,($Z$5-AE6)*$B$9*AE9)),0)</f>
        <v>16004.869506553621</v>
      </c>
      <c r="AF7" s="1">
        <f t="shared" si="2"/>
        <v>0</v>
      </c>
      <c r="AG7" s="1">
        <f t="shared" si="2"/>
        <v>0</v>
      </c>
      <c r="AH7" s="1">
        <f t="shared" si="2"/>
        <v>0</v>
      </c>
      <c r="AI7" s="1">
        <f t="shared" si="2"/>
        <v>0</v>
      </c>
      <c r="AJ7" s="1">
        <f t="shared" si="2"/>
        <v>0</v>
      </c>
      <c r="AK7" s="1">
        <f t="shared" si="2"/>
        <v>0</v>
      </c>
      <c r="AL7" s="1">
        <f t="shared" si="2"/>
        <v>0</v>
      </c>
      <c r="AM7" s="1">
        <f t="shared" si="2"/>
        <v>0</v>
      </c>
      <c r="AN7" s="1">
        <f t="shared" si="2"/>
        <v>0</v>
      </c>
    </row>
    <row r="8" spans="1:41" ht="15.75" x14ac:dyDescent="0.25">
      <c r="B8" s="236" t="s">
        <v>0</v>
      </c>
      <c r="G8" s="237"/>
      <c r="H8" s="97"/>
      <c r="I8" s="66" t="s">
        <v>107</v>
      </c>
      <c r="J8" s="97"/>
      <c r="K8" s="97"/>
      <c r="L8" s="97"/>
      <c r="M8" s="97"/>
      <c r="N8" s="97"/>
      <c r="O8" s="97"/>
      <c r="P8" s="97"/>
      <c r="Q8" s="97"/>
      <c r="R8" s="97"/>
      <c r="S8" s="97"/>
      <c r="T8" s="102"/>
    </row>
    <row r="9" spans="1:41" ht="15.75" x14ac:dyDescent="0.25">
      <c r="B9" s="236">
        <v>10094</v>
      </c>
      <c r="G9" s="237"/>
      <c r="H9" s="240" t="s">
        <v>108</v>
      </c>
      <c r="I9" s="241">
        <v>1</v>
      </c>
      <c r="J9" s="97"/>
      <c r="K9" s="97"/>
      <c r="L9" s="97"/>
      <c r="M9" s="97"/>
      <c r="N9" s="97"/>
      <c r="O9" s="97"/>
      <c r="P9" s="97"/>
      <c r="Q9" s="97"/>
      <c r="R9" s="97"/>
      <c r="S9" s="97"/>
      <c r="T9" s="102"/>
      <c r="AB9" s="1" t="s">
        <v>109</v>
      </c>
      <c r="AD9" s="218">
        <f t="shared" ref="AD9:AO9" si="3">I15</f>
        <v>0.6</v>
      </c>
      <c r="AE9" s="218">
        <f t="shared" si="3"/>
        <v>0.39639561884668173</v>
      </c>
      <c r="AF9" s="218">
        <f t="shared" si="3"/>
        <v>0.36101072393511269</v>
      </c>
      <c r="AG9" s="218">
        <f t="shared" si="3"/>
        <v>0.33356406712346476</v>
      </c>
      <c r="AH9" s="218">
        <f t="shared" si="3"/>
        <v>0.28369185882616055</v>
      </c>
      <c r="AI9" s="218">
        <f t="shared" si="3"/>
        <v>0.24830696391459162</v>
      </c>
      <c r="AJ9" s="218">
        <f t="shared" si="3"/>
        <v>0.2208603071029438</v>
      </c>
      <c r="AK9" s="218">
        <f t="shared" si="3"/>
        <v>0.17947422199853458</v>
      </c>
      <c r="AL9" s="218">
        <f t="shared" si="3"/>
        <v>0.14856254731998308</v>
      </c>
      <c r="AM9" s="218">
        <f t="shared" si="3"/>
        <v>0.10333239936456906</v>
      </c>
      <c r="AN9" s="218">
        <f t="shared" si="3"/>
        <v>0.08</v>
      </c>
      <c r="AO9" s="218">
        <f t="shared" si="3"/>
        <v>0.1</v>
      </c>
    </row>
    <row r="10" spans="1:41" x14ac:dyDescent="0.2">
      <c r="G10" s="237"/>
      <c r="H10" s="97"/>
      <c r="I10" s="97"/>
      <c r="J10" s="97"/>
      <c r="K10" s="97"/>
      <c r="L10" s="97"/>
      <c r="M10" s="97"/>
      <c r="N10" s="97"/>
      <c r="O10" s="97"/>
      <c r="P10" s="97"/>
      <c r="Q10" s="97"/>
      <c r="R10" s="97"/>
      <c r="S10" s="97"/>
      <c r="T10" s="102"/>
    </row>
    <row r="11" spans="1:41" ht="15.75" x14ac:dyDescent="0.25">
      <c r="G11" s="242" t="s">
        <v>103</v>
      </c>
      <c r="H11" s="243"/>
      <c r="I11" s="243" t="s">
        <v>110</v>
      </c>
      <c r="J11" s="243" t="s">
        <v>111</v>
      </c>
      <c r="K11" s="243" t="s">
        <v>112</v>
      </c>
      <c r="L11" s="243" t="s">
        <v>113</v>
      </c>
      <c r="M11" s="243" t="s">
        <v>114</v>
      </c>
      <c r="N11" s="243" t="s">
        <v>115</v>
      </c>
      <c r="O11" s="243" t="s">
        <v>116</v>
      </c>
      <c r="P11" s="243" t="s">
        <v>117</v>
      </c>
      <c r="Q11" s="243" t="s">
        <v>118</v>
      </c>
      <c r="R11" s="243" t="s">
        <v>119</v>
      </c>
      <c r="S11" s="243" t="s">
        <v>120</v>
      </c>
      <c r="T11" s="244"/>
      <c r="U11" s="5"/>
      <c r="V11" s="5"/>
      <c r="W11" s="5"/>
      <c r="X11" s="5"/>
      <c r="Z11" s="5"/>
      <c r="AA11" s="5"/>
      <c r="AB11" s="5"/>
      <c r="AC11" s="5"/>
      <c r="AD11" s="5"/>
    </row>
    <row r="12" spans="1:41" ht="15.75" x14ac:dyDescent="0.25">
      <c r="F12" s="245" t="s">
        <v>121</v>
      </c>
      <c r="G12" s="229" t="s">
        <v>122</v>
      </c>
      <c r="H12" s="229"/>
      <c r="I12" s="229">
        <v>0</v>
      </c>
      <c r="J12" s="229">
        <v>40</v>
      </c>
      <c r="K12" s="229">
        <v>60</v>
      </c>
      <c r="L12" s="229">
        <v>80</v>
      </c>
      <c r="M12" s="229">
        <v>100</v>
      </c>
      <c r="N12" s="229">
        <v>150</v>
      </c>
      <c r="O12" s="229">
        <v>200</v>
      </c>
      <c r="P12" s="229">
        <v>250</v>
      </c>
      <c r="Q12" s="229">
        <v>350</v>
      </c>
      <c r="R12" s="229">
        <v>450</v>
      </c>
      <c r="S12" s="229">
        <v>650</v>
      </c>
      <c r="T12" s="229">
        <v>2000</v>
      </c>
    </row>
    <row r="13" spans="1:41" ht="15.75" x14ac:dyDescent="0.25">
      <c r="G13" s="246" t="s">
        <v>106</v>
      </c>
      <c r="H13" s="97"/>
      <c r="I13" s="98">
        <f>IF($I$9&gt;I12,(IF($I$9-J12&gt;0,(J12-I12)*$B$9*I15,($I$9-I12)*$B$9*I15)),0)</f>
        <v>6056.4</v>
      </c>
      <c r="J13" s="98">
        <f t="shared" ref="J13:S13" si="4">IF($I$9&gt;J12,(IF($I$9-K12&gt;0,(K12-J12)*$B$9*J15,($I$9-J12)*$B$9*J15)),0)</f>
        <v>0</v>
      </c>
      <c r="K13" s="98">
        <f t="shared" si="4"/>
        <v>0</v>
      </c>
      <c r="L13" s="98">
        <f t="shared" si="4"/>
        <v>0</v>
      </c>
      <c r="M13" s="98">
        <f t="shared" si="4"/>
        <v>0</v>
      </c>
      <c r="N13" s="98">
        <f t="shared" si="4"/>
        <v>0</v>
      </c>
      <c r="O13" s="98">
        <f t="shared" si="4"/>
        <v>0</v>
      </c>
      <c r="P13" s="98">
        <f t="shared" si="4"/>
        <v>0</v>
      </c>
      <c r="Q13" s="98">
        <f t="shared" si="4"/>
        <v>0</v>
      </c>
      <c r="R13" s="98">
        <f t="shared" si="4"/>
        <v>0</v>
      </c>
      <c r="S13" s="98">
        <f t="shared" si="4"/>
        <v>0</v>
      </c>
      <c r="T13" s="247"/>
      <c r="Y13" s="235" t="s">
        <v>8</v>
      </c>
      <c r="Z13" s="1">
        <f>C18</f>
        <v>46</v>
      </c>
      <c r="AB13" s="1" t="s">
        <v>103</v>
      </c>
      <c r="AD13" s="1" t="str">
        <f t="shared" ref="AD13:AO14" si="5">AD5</f>
        <v>0-40</v>
      </c>
      <c r="AE13" s="1" t="str">
        <f t="shared" si="5"/>
        <v>40-60</v>
      </c>
      <c r="AF13" s="1" t="str">
        <f t="shared" si="5"/>
        <v>60-80</v>
      </c>
      <c r="AG13" s="1" t="str">
        <f t="shared" si="5"/>
        <v>80-100</v>
      </c>
      <c r="AH13" s="1" t="str">
        <f t="shared" si="5"/>
        <v>100-150</v>
      </c>
      <c r="AI13" s="1" t="str">
        <f t="shared" si="5"/>
        <v>150-200</v>
      </c>
      <c r="AJ13" s="1" t="str">
        <f t="shared" si="5"/>
        <v>200-250</v>
      </c>
      <c r="AK13" s="1" t="str">
        <f t="shared" si="5"/>
        <v>250-350</v>
      </c>
      <c r="AL13" s="1" t="str">
        <f t="shared" si="5"/>
        <v>350-450</v>
      </c>
      <c r="AM13" s="1" t="str">
        <f t="shared" si="5"/>
        <v>450-650</v>
      </c>
      <c r="AN13" s="1" t="str">
        <f t="shared" si="5"/>
        <v>650-2000</v>
      </c>
    </row>
    <row r="14" spans="1:41" ht="15.75" x14ac:dyDescent="0.25">
      <c r="A14" s="5"/>
      <c r="B14" s="5"/>
      <c r="C14" s="5"/>
      <c r="G14" s="237"/>
      <c r="H14" s="97"/>
      <c r="I14" s="97"/>
      <c r="J14" s="97"/>
      <c r="K14" s="97"/>
      <c r="L14" s="97"/>
      <c r="M14" s="97"/>
      <c r="N14" s="97"/>
      <c r="O14" s="97"/>
      <c r="P14" s="97"/>
      <c r="Q14" s="97"/>
      <c r="R14" s="97"/>
      <c r="S14" s="97"/>
      <c r="T14" s="102"/>
      <c r="AD14" s="1">
        <f t="shared" si="5"/>
        <v>0</v>
      </c>
      <c r="AE14" s="1">
        <f t="shared" si="5"/>
        <v>40</v>
      </c>
      <c r="AF14" s="1">
        <f t="shared" si="5"/>
        <v>60</v>
      </c>
      <c r="AG14" s="1">
        <f t="shared" si="5"/>
        <v>80</v>
      </c>
      <c r="AH14" s="1">
        <f t="shared" si="5"/>
        <v>100</v>
      </c>
      <c r="AI14" s="1">
        <f t="shared" si="5"/>
        <v>150</v>
      </c>
      <c r="AJ14" s="1">
        <f t="shared" si="5"/>
        <v>200</v>
      </c>
      <c r="AK14" s="1">
        <f t="shared" si="5"/>
        <v>250</v>
      </c>
      <c r="AL14" s="1">
        <f t="shared" si="5"/>
        <v>350</v>
      </c>
      <c r="AM14" s="1">
        <f t="shared" si="5"/>
        <v>450</v>
      </c>
      <c r="AN14" s="1">
        <f t="shared" si="5"/>
        <v>650</v>
      </c>
      <c r="AO14" s="1">
        <f t="shared" si="5"/>
        <v>2000</v>
      </c>
    </row>
    <row r="15" spans="1:41" ht="15.75" x14ac:dyDescent="0.25">
      <c r="A15" s="5"/>
      <c r="B15" s="5" t="s">
        <v>123</v>
      </c>
      <c r="C15" s="5" t="s">
        <v>124</v>
      </c>
      <c r="F15" s="245" t="s">
        <v>125</v>
      </c>
      <c r="G15" s="248" t="s">
        <v>109</v>
      </c>
      <c r="H15" s="249"/>
      <c r="I15" s="250">
        <v>0.6</v>
      </c>
      <c r="J15" s="250">
        <f>-0.123*LN(K12)+0.9</f>
        <v>0.39639561884668173</v>
      </c>
      <c r="K15" s="250">
        <f t="shared" ref="K15:R15" si="6">-0.123*LN(L12)+0.9</f>
        <v>0.36101072393511269</v>
      </c>
      <c r="L15" s="250">
        <f t="shared" si="6"/>
        <v>0.33356406712346476</v>
      </c>
      <c r="M15" s="250">
        <f t="shared" si="6"/>
        <v>0.28369185882616055</v>
      </c>
      <c r="N15" s="250">
        <f t="shared" si="6"/>
        <v>0.24830696391459162</v>
      </c>
      <c r="O15" s="250">
        <f t="shared" si="6"/>
        <v>0.2208603071029438</v>
      </c>
      <c r="P15" s="250">
        <f t="shared" si="6"/>
        <v>0.17947422199853458</v>
      </c>
      <c r="Q15" s="250">
        <f t="shared" si="6"/>
        <v>0.14856254731998308</v>
      </c>
      <c r="R15" s="250">
        <f t="shared" si="6"/>
        <v>0.10333239936456906</v>
      </c>
      <c r="S15" s="250">
        <v>0.08</v>
      </c>
      <c r="T15" s="251">
        <v>0.1</v>
      </c>
      <c r="Y15" s="235" t="s">
        <v>33</v>
      </c>
      <c r="Z15" s="1">
        <f>SUM(AD15:AO15)</f>
        <v>266263.30425983045</v>
      </c>
      <c r="AB15" s="1" t="s">
        <v>106</v>
      </c>
      <c r="AD15" s="1">
        <f>IF($Z$13&gt;AD14,(IF($Z$13-AE14&gt;0,(AE14-AD14)*$B$9*AD17,($Z$13-AD14)*$B$9*AD17)),0)</f>
        <v>242256</v>
      </c>
      <c r="AE15" s="1">
        <f t="shared" ref="AE15:AN15" si="7">IF($Z$13&gt;AE14,(IF($Z$13-AF14&gt;0,(AF14-AE14)*$B$9*AE17,($Z$13-AE14)*$B$9*AE17)),0)</f>
        <v>24007.304259830431</v>
      </c>
      <c r="AF15" s="1">
        <f t="shared" si="7"/>
        <v>0</v>
      </c>
      <c r="AG15" s="1">
        <f t="shared" si="7"/>
        <v>0</v>
      </c>
      <c r="AH15" s="1">
        <f t="shared" si="7"/>
        <v>0</v>
      </c>
      <c r="AI15" s="1">
        <f t="shared" si="7"/>
        <v>0</v>
      </c>
      <c r="AJ15" s="1">
        <f t="shared" si="7"/>
        <v>0</v>
      </c>
      <c r="AK15" s="1">
        <f t="shared" si="7"/>
        <v>0</v>
      </c>
      <c r="AL15" s="1">
        <f t="shared" si="7"/>
        <v>0</v>
      </c>
      <c r="AM15" s="1">
        <f t="shared" si="7"/>
        <v>0</v>
      </c>
      <c r="AN15" s="1">
        <f t="shared" si="7"/>
        <v>0</v>
      </c>
    </row>
    <row r="16" spans="1:41" ht="15.75" x14ac:dyDescent="0.25">
      <c r="A16" s="252" t="s">
        <v>126</v>
      </c>
      <c r="B16" s="5"/>
      <c r="C16" s="5" t="s">
        <v>144</v>
      </c>
      <c r="G16" s="237"/>
      <c r="H16" s="97"/>
      <c r="I16" s="97"/>
      <c r="J16" s="97"/>
      <c r="K16" s="97"/>
      <c r="L16" s="97"/>
      <c r="M16" s="97"/>
      <c r="N16" s="97"/>
      <c r="O16" s="97"/>
      <c r="P16" s="97"/>
      <c r="Q16" s="97"/>
      <c r="R16" s="97"/>
      <c r="S16" s="97"/>
      <c r="T16" s="102"/>
    </row>
    <row r="17" spans="2:41" ht="16.5" thickBot="1" x14ac:dyDescent="0.3">
      <c r="B17" s="229" t="s">
        <v>102</v>
      </c>
      <c r="C17" s="229">
        <v>44</v>
      </c>
      <c r="G17" s="253"/>
      <c r="H17" s="105"/>
      <c r="I17" s="105"/>
      <c r="J17" s="105"/>
      <c r="K17" s="105"/>
      <c r="L17" s="105"/>
      <c r="M17" s="105"/>
      <c r="N17" s="105"/>
      <c r="O17" s="105"/>
      <c r="P17" s="105"/>
      <c r="Q17" s="105"/>
      <c r="R17" s="105"/>
      <c r="S17" s="105"/>
      <c r="T17" s="106"/>
      <c r="AB17" s="1" t="s">
        <v>109</v>
      </c>
      <c r="AD17" s="218">
        <f t="shared" ref="AD17:AO17" si="8">AD9</f>
        <v>0.6</v>
      </c>
      <c r="AE17" s="218">
        <f t="shared" si="8"/>
        <v>0.39639561884668173</v>
      </c>
      <c r="AF17" s="218">
        <f t="shared" si="8"/>
        <v>0.36101072393511269</v>
      </c>
      <c r="AG17" s="218">
        <f t="shared" si="8"/>
        <v>0.33356406712346476</v>
      </c>
      <c r="AH17" s="218">
        <f t="shared" si="8"/>
        <v>0.28369185882616055</v>
      </c>
      <c r="AI17" s="218">
        <f t="shared" si="8"/>
        <v>0.24830696391459162</v>
      </c>
      <c r="AJ17" s="218">
        <f t="shared" si="8"/>
        <v>0.2208603071029438</v>
      </c>
      <c r="AK17" s="218">
        <f t="shared" si="8"/>
        <v>0.17947422199853458</v>
      </c>
      <c r="AL17" s="218">
        <f t="shared" si="8"/>
        <v>0.14856254731998308</v>
      </c>
      <c r="AM17" s="218">
        <f t="shared" si="8"/>
        <v>0.10333239936456906</v>
      </c>
      <c r="AN17" s="218">
        <f t="shared" si="8"/>
        <v>0.08</v>
      </c>
      <c r="AO17" s="218">
        <f t="shared" si="8"/>
        <v>0.1</v>
      </c>
    </row>
    <row r="18" spans="2:41" ht="15.75" x14ac:dyDescent="0.25">
      <c r="B18" s="229" t="s">
        <v>8</v>
      </c>
      <c r="C18" s="229">
        <v>46</v>
      </c>
    </row>
    <row r="19" spans="2:41" ht="15.75" x14ac:dyDescent="0.25">
      <c r="B19" s="229" t="s">
        <v>11</v>
      </c>
      <c r="C19" s="229">
        <v>60</v>
      </c>
      <c r="L19" s="22"/>
    </row>
    <row r="20" spans="2:41" ht="15.75" x14ac:dyDescent="0.25">
      <c r="B20" s="254" t="s">
        <v>22</v>
      </c>
      <c r="C20" s="255">
        <v>53</v>
      </c>
      <c r="Y20" s="235" t="s">
        <v>11</v>
      </c>
      <c r="Z20" s="1">
        <f>C19</f>
        <v>60</v>
      </c>
      <c r="AB20" s="1" t="s">
        <v>103</v>
      </c>
      <c r="AD20" s="1" t="str">
        <f t="shared" ref="AD20:AN20" si="9">AD13</f>
        <v>0-40</v>
      </c>
      <c r="AE20" s="1" t="str">
        <f t="shared" si="9"/>
        <v>40-60</v>
      </c>
      <c r="AF20" s="1" t="str">
        <f t="shared" si="9"/>
        <v>60-80</v>
      </c>
      <c r="AG20" s="1" t="str">
        <f t="shared" si="9"/>
        <v>80-100</v>
      </c>
      <c r="AH20" s="1" t="str">
        <f t="shared" si="9"/>
        <v>100-150</v>
      </c>
      <c r="AI20" s="1" t="str">
        <f t="shared" si="9"/>
        <v>150-200</v>
      </c>
      <c r="AJ20" s="1" t="str">
        <f t="shared" si="9"/>
        <v>200-250</v>
      </c>
      <c r="AK20" s="1" t="str">
        <f t="shared" si="9"/>
        <v>250-350</v>
      </c>
      <c r="AL20" s="1" t="str">
        <f t="shared" si="9"/>
        <v>350-450</v>
      </c>
      <c r="AM20" s="1" t="str">
        <f t="shared" si="9"/>
        <v>450-650</v>
      </c>
      <c r="AN20" s="1" t="str">
        <f t="shared" si="9"/>
        <v>650-2000</v>
      </c>
    </row>
    <row r="21" spans="2:41" ht="15.75" x14ac:dyDescent="0.25">
      <c r="B21" s="229" t="s">
        <v>15</v>
      </c>
      <c r="C21" s="229">
        <v>32</v>
      </c>
      <c r="AD21" s="1">
        <f t="shared" ref="AD21:AO21" si="10">AD6</f>
        <v>0</v>
      </c>
      <c r="AE21" s="1">
        <f t="shared" si="10"/>
        <v>40</v>
      </c>
      <c r="AF21" s="1">
        <f t="shared" si="10"/>
        <v>60</v>
      </c>
      <c r="AG21" s="1">
        <f t="shared" si="10"/>
        <v>80</v>
      </c>
      <c r="AH21" s="1">
        <f t="shared" si="10"/>
        <v>100</v>
      </c>
      <c r="AI21" s="1">
        <f t="shared" si="10"/>
        <v>150</v>
      </c>
      <c r="AJ21" s="1">
        <f t="shared" si="10"/>
        <v>200</v>
      </c>
      <c r="AK21" s="1">
        <f t="shared" si="10"/>
        <v>250</v>
      </c>
      <c r="AL21" s="1">
        <f t="shared" si="10"/>
        <v>350</v>
      </c>
      <c r="AM21" s="1">
        <f t="shared" si="10"/>
        <v>450</v>
      </c>
      <c r="AN21" s="1">
        <f t="shared" si="10"/>
        <v>650</v>
      </c>
      <c r="AO21" s="1">
        <f t="shared" si="10"/>
        <v>2000</v>
      </c>
    </row>
    <row r="22" spans="2:41" ht="15.75" x14ac:dyDescent="0.25">
      <c r="B22" s="229" t="s">
        <v>128</v>
      </c>
      <c r="C22" s="229">
        <v>14</v>
      </c>
      <c r="G22" s="5" t="s">
        <v>33</v>
      </c>
      <c r="H22" s="5"/>
      <c r="I22" s="217">
        <f>SUM(I13:S13)</f>
        <v>6056.4</v>
      </c>
      <c r="Y22" s="235" t="s">
        <v>33</v>
      </c>
      <c r="Z22" s="1">
        <f>SUM(AD22:AO22)</f>
        <v>322280.34753276809</v>
      </c>
      <c r="AB22" s="1" t="s">
        <v>106</v>
      </c>
      <c r="AD22" s="1">
        <f>IF($Z$20&gt;AD21,(IF($Z$20-AE21&gt;0,(AE21-AD21)*$B$9*AD24,($Z$20-AD21)*$B$9*AD24)),0)</f>
        <v>242256</v>
      </c>
      <c r="AE22" s="1">
        <f t="shared" ref="AE22:AN22" si="11">IF($Z$20&gt;AE21,(IF($Z$20-AF21&gt;0,(AF21-AE21)*$B$9*AE24,($Z$20-AE21)*$B$9*AE24)),0)</f>
        <v>80024.347532768108</v>
      </c>
      <c r="AF22" s="1">
        <f t="shared" si="11"/>
        <v>0</v>
      </c>
      <c r="AG22" s="1">
        <f t="shared" si="11"/>
        <v>0</v>
      </c>
      <c r="AH22" s="1">
        <f t="shared" si="11"/>
        <v>0</v>
      </c>
      <c r="AI22" s="1">
        <f t="shared" si="11"/>
        <v>0</v>
      </c>
      <c r="AJ22" s="1">
        <f t="shared" si="11"/>
        <v>0</v>
      </c>
      <c r="AK22" s="1">
        <f t="shared" si="11"/>
        <v>0</v>
      </c>
      <c r="AL22" s="1">
        <f t="shared" si="11"/>
        <v>0</v>
      </c>
      <c r="AM22" s="1">
        <f t="shared" si="11"/>
        <v>0</v>
      </c>
      <c r="AN22" s="1">
        <f t="shared" si="11"/>
        <v>0</v>
      </c>
    </row>
    <row r="23" spans="2:41" ht="15.75" x14ac:dyDescent="0.25">
      <c r="B23" s="229" t="s">
        <v>16</v>
      </c>
      <c r="C23" s="229">
        <v>30</v>
      </c>
    </row>
    <row r="24" spans="2:41" ht="15.75" x14ac:dyDescent="0.25">
      <c r="B24" s="229" t="s">
        <v>9</v>
      </c>
      <c r="C24" s="229">
        <v>99</v>
      </c>
      <c r="AB24" s="1" t="s">
        <v>109</v>
      </c>
      <c r="AD24" s="218">
        <f t="shared" ref="AD24:AO24" si="12">AD9</f>
        <v>0.6</v>
      </c>
      <c r="AE24" s="218">
        <f t="shared" si="12"/>
        <v>0.39639561884668173</v>
      </c>
      <c r="AF24" s="218">
        <f t="shared" si="12"/>
        <v>0.36101072393511269</v>
      </c>
      <c r="AG24" s="218">
        <f t="shared" si="12"/>
        <v>0.33356406712346476</v>
      </c>
      <c r="AH24" s="218">
        <f t="shared" si="12"/>
        <v>0.28369185882616055</v>
      </c>
      <c r="AI24" s="218">
        <f t="shared" si="12"/>
        <v>0.24830696391459162</v>
      </c>
      <c r="AJ24" s="218">
        <f t="shared" si="12"/>
        <v>0.2208603071029438</v>
      </c>
      <c r="AK24" s="218">
        <f t="shared" si="12"/>
        <v>0.17947422199853458</v>
      </c>
      <c r="AL24" s="218">
        <f t="shared" si="12"/>
        <v>0.14856254731998308</v>
      </c>
      <c r="AM24" s="218">
        <f t="shared" si="12"/>
        <v>0.10333239936456906</v>
      </c>
      <c r="AN24" s="218">
        <f t="shared" si="12"/>
        <v>0.08</v>
      </c>
      <c r="AO24" s="218">
        <f t="shared" si="12"/>
        <v>0.1</v>
      </c>
    </row>
    <row r="25" spans="2:41" ht="16.5" thickBot="1" x14ac:dyDescent="0.3">
      <c r="B25" s="256" t="s">
        <v>21</v>
      </c>
      <c r="C25" s="256">
        <v>121</v>
      </c>
    </row>
    <row r="26" spans="2:41" ht="15.75" x14ac:dyDescent="0.25">
      <c r="B26" s="229" t="s">
        <v>18</v>
      </c>
      <c r="C26" s="229">
        <v>56</v>
      </c>
      <c r="G26" s="257"/>
      <c r="H26" s="258"/>
      <c r="I26" s="258"/>
      <c r="J26" s="258"/>
      <c r="K26" s="258"/>
      <c r="L26" s="258"/>
      <c r="M26" s="258"/>
      <c r="N26" s="258"/>
      <c r="O26" s="258"/>
      <c r="P26" s="258"/>
      <c r="Q26" s="258"/>
      <c r="R26" s="258"/>
      <c r="S26" s="258"/>
      <c r="T26" s="259"/>
    </row>
    <row r="27" spans="2:41" ht="15.75" x14ac:dyDescent="0.25">
      <c r="B27" s="229" t="s">
        <v>13</v>
      </c>
      <c r="C27" s="229">
        <v>165</v>
      </c>
      <c r="G27" s="260"/>
      <c r="H27" s="261" t="s">
        <v>123</v>
      </c>
      <c r="I27" s="261" t="s">
        <v>129</v>
      </c>
      <c r="J27" s="261" t="s">
        <v>145</v>
      </c>
      <c r="K27" s="262" t="s">
        <v>131</v>
      </c>
      <c r="L27" s="262"/>
      <c r="M27" s="262" t="s">
        <v>132</v>
      </c>
      <c r="N27" s="263"/>
      <c r="O27" s="263"/>
      <c r="P27" s="263"/>
      <c r="Q27" s="263"/>
      <c r="R27" s="263"/>
      <c r="S27" s="263"/>
      <c r="T27" s="264"/>
    </row>
    <row r="28" spans="2:41" ht="15.75" x14ac:dyDescent="0.25">
      <c r="B28" s="229" t="s">
        <v>17</v>
      </c>
      <c r="C28" s="229">
        <v>281</v>
      </c>
      <c r="G28" s="265" t="s">
        <v>102</v>
      </c>
      <c r="H28" s="266">
        <v>44</v>
      </c>
      <c r="I28" s="267">
        <f>Z7</f>
        <v>258260.86950655363</v>
      </c>
      <c r="J28" s="268">
        <v>322311.23805212212</v>
      </c>
      <c r="K28" s="269">
        <f>I28/J28</f>
        <v>0.80127789234823188</v>
      </c>
      <c r="L28" s="263"/>
      <c r="M28" s="270">
        <f>I28/H28</f>
        <v>5869.5652160580366</v>
      </c>
      <c r="N28" s="263"/>
      <c r="O28" s="263"/>
      <c r="P28" s="263"/>
      <c r="Q28" s="263"/>
      <c r="R28" s="263"/>
      <c r="S28" s="263"/>
      <c r="T28" s="264"/>
      <c r="Y28" s="235" t="s">
        <v>22</v>
      </c>
      <c r="Z28" s="1">
        <f>C20</f>
        <v>53</v>
      </c>
      <c r="AB28" s="1" t="s">
        <v>103</v>
      </c>
      <c r="AD28" s="1" t="str">
        <f t="shared" ref="AD28:AN28" si="13">AD13</f>
        <v>0-40</v>
      </c>
      <c r="AE28" s="1" t="str">
        <f t="shared" si="13"/>
        <v>40-60</v>
      </c>
      <c r="AF28" s="1" t="str">
        <f t="shared" si="13"/>
        <v>60-80</v>
      </c>
      <c r="AG28" s="1" t="str">
        <f t="shared" si="13"/>
        <v>80-100</v>
      </c>
      <c r="AH28" s="1" t="str">
        <f t="shared" si="13"/>
        <v>100-150</v>
      </c>
      <c r="AI28" s="1" t="str">
        <f t="shared" si="13"/>
        <v>150-200</v>
      </c>
      <c r="AJ28" s="1" t="str">
        <f t="shared" si="13"/>
        <v>200-250</v>
      </c>
      <c r="AK28" s="1" t="str">
        <f t="shared" si="13"/>
        <v>250-350</v>
      </c>
      <c r="AL28" s="1" t="str">
        <f t="shared" si="13"/>
        <v>350-450</v>
      </c>
      <c r="AM28" s="1" t="str">
        <f t="shared" si="13"/>
        <v>450-650</v>
      </c>
      <c r="AN28" s="1" t="str">
        <f t="shared" si="13"/>
        <v>650-2000</v>
      </c>
    </row>
    <row r="29" spans="2:41" ht="15.75" x14ac:dyDescent="0.25">
      <c r="B29" s="229" t="s">
        <v>19</v>
      </c>
      <c r="C29" s="229">
        <v>213</v>
      </c>
      <c r="G29" s="265" t="s">
        <v>8</v>
      </c>
      <c r="H29" s="271">
        <v>46</v>
      </c>
      <c r="I29" s="268">
        <f>Z15</f>
        <v>266263.30425983045</v>
      </c>
      <c r="J29" s="268">
        <v>336961.74887267314</v>
      </c>
      <c r="K29" s="269">
        <f t="shared" ref="K29:K45" si="14">I29/J29</f>
        <v>0.79018851590909411</v>
      </c>
      <c r="L29" s="263"/>
      <c r="M29" s="270">
        <f t="shared" ref="M29:M45" si="15">I29/H29</f>
        <v>5788.3327013006619</v>
      </c>
      <c r="N29" s="263"/>
      <c r="O29" s="263"/>
      <c r="P29" s="263"/>
      <c r="Q29" s="263"/>
      <c r="R29" s="263"/>
      <c r="S29" s="263"/>
      <c r="T29" s="264"/>
      <c r="AD29" s="1">
        <f t="shared" ref="AD29:AO29" si="16">AD6</f>
        <v>0</v>
      </c>
      <c r="AE29" s="1">
        <f t="shared" si="16"/>
        <v>40</v>
      </c>
      <c r="AF29" s="1">
        <f t="shared" si="16"/>
        <v>60</v>
      </c>
      <c r="AG29" s="1">
        <f t="shared" si="16"/>
        <v>80</v>
      </c>
      <c r="AH29" s="1">
        <f t="shared" si="16"/>
        <v>100</v>
      </c>
      <c r="AI29" s="1">
        <f t="shared" si="16"/>
        <v>150</v>
      </c>
      <c r="AJ29" s="1">
        <f t="shared" si="16"/>
        <v>200</v>
      </c>
      <c r="AK29" s="1">
        <f t="shared" si="16"/>
        <v>250</v>
      </c>
      <c r="AL29" s="1">
        <f t="shared" si="16"/>
        <v>350</v>
      </c>
      <c r="AM29" s="1">
        <f t="shared" si="16"/>
        <v>450</v>
      </c>
      <c r="AN29" s="1">
        <f t="shared" si="16"/>
        <v>650</v>
      </c>
      <c r="AO29" s="1">
        <f t="shared" si="16"/>
        <v>2000</v>
      </c>
    </row>
    <row r="30" spans="2:41" ht="15.75" x14ac:dyDescent="0.25">
      <c r="B30" s="229" t="s">
        <v>133</v>
      </c>
      <c r="C30" s="229">
        <v>320</v>
      </c>
      <c r="G30" s="265" t="s">
        <v>11</v>
      </c>
      <c r="H30" s="266">
        <v>60</v>
      </c>
      <c r="I30" s="267">
        <f>Z22</f>
        <v>322280.34753276809</v>
      </c>
      <c r="J30" s="268">
        <v>439515.32461653021</v>
      </c>
      <c r="K30" s="269">
        <f t="shared" si="14"/>
        <v>0.73326305018818705</v>
      </c>
      <c r="L30" s="263"/>
      <c r="M30" s="270">
        <f t="shared" si="15"/>
        <v>5371.3391255461347</v>
      </c>
      <c r="N30" s="263"/>
      <c r="O30" s="263"/>
      <c r="P30" s="263"/>
      <c r="Q30" s="263"/>
      <c r="R30" s="263"/>
      <c r="S30" s="263"/>
      <c r="T30" s="264"/>
      <c r="Y30" s="235" t="s">
        <v>33</v>
      </c>
      <c r="Z30" s="1">
        <f>SUM(AD30:AO30)</f>
        <v>294271.82589629927</v>
      </c>
      <c r="AB30" s="1" t="s">
        <v>106</v>
      </c>
      <c r="AD30" s="1">
        <f>IF($Z$28&gt;AD29,(IF($Z$28-AE29&gt;0,(AE29-AD29)*$B$9*AD32,($Z$28-AD29)*$B$9*AD32)),0)</f>
        <v>242256</v>
      </c>
      <c r="AE30" s="1">
        <f t="shared" ref="AE30:AN30" si="17">IF($Z$28&gt;AE29,(IF($Z$28-AF29&gt;0,(AF29-AE29)*$B$9*AE32,($Z$28-AE29)*$B$9*AE32)),0)</f>
        <v>52015.82589629927</v>
      </c>
      <c r="AF30" s="1">
        <f t="shared" si="17"/>
        <v>0</v>
      </c>
      <c r="AG30" s="1">
        <f t="shared" si="17"/>
        <v>0</v>
      </c>
      <c r="AH30" s="1">
        <f t="shared" si="17"/>
        <v>0</v>
      </c>
      <c r="AI30" s="1">
        <f t="shared" si="17"/>
        <v>0</v>
      </c>
      <c r="AJ30" s="1">
        <f t="shared" si="17"/>
        <v>0</v>
      </c>
      <c r="AK30" s="1">
        <f t="shared" si="17"/>
        <v>0</v>
      </c>
      <c r="AL30" s="1">
        <f t="shared" si="17"/>
        <v>0</v>
      </c>
      <c r="AM30" s="1">
        <f t="shared" si="17"/>
        <v>0</v>
      </c>
      <c r="AN30" s="1">
        <f t="shared" si="17"/>
        <v>0</v>
      </c>
    </row>
    <row r="31" spans="2:41" ht="15.75" x14ac:dyDescent="0.25">
      <c r="B31" s="229" t="s">
        <v>134</v>
      </c>
      <c r="C31" s="229">
        <v>509</v>
      </c>
      <c r="G31" s="265" t="s">
        <v>22</v>
      </c>
      <c r="H31" s="266">
        <v>53</v>
      </c>
      <c r="I31" s="267">
        <f>Z30</f>
        <v>294271.82589629927</v>
      </c>
      <c r="J31" s="268">
        <v>388238.53674460162</v>
      </c>
      <c r="K31" s="269">
        <f t="shared" si="14"/>
        <v>0.75796655418027892</v>
      </c>
      <c r="L31" s="263"/>
      <c r="M31" s="270">
        <f t="shared" si="15"/>
        <v>5552.2986018169677</v>
      </c>
      <c r="N31" s="263"/>
      <c r="O31" s="263"/>
      <c r="P31" s="263"/>
      <c r="Q31" s="263"/>
      <c r="R31" s="263"/>
      <c r="S31" s="263"/>
      <c r="T31" s="264"/>
    </row>
    <row r="32" spans="2:41" ht="15.75" customHeight="1" x14ac:dyDescent="0.25">
      <c r="B32" s="229" t="s">
        <v>135</v>
      </c>
      <c r="C32" s="229">
        <v>1125</v>
      </c>
      <c r="G32" s="265" t="s">
        <v>15</v>
      </c>
      <c r="H32" s="266">
        <v>32</v>
      </c>
      <c r="I32" s="267">
        <f>Z37</f>
        <v>193804.79999999999</v>
      </c>
      <c r="J32" s="268">
        <v>234408.17312881607</v>
      </c>
      <c r="K32" s="269">
        <f t="shared" si="14"/>
        <v>0.82678345815824861</v>
      </c>
      <c r="L32" s="263"/>
      <c r="M32" s="270">
        <f t="shared" si="15"/>
        <v>6056.4</v>
      </c>
      <c r="N32" s="263"/>
      <c r="O32" s="263"/>
      <c r="P32" s="263"/>
      <c r="Q32" s="263"/>
      <c r="R32" s="263"/>
      <c r="S32" s="263"/>
      <c r="T32" s="264"/>
      <c r="AB32" s="1" t="s">
        <v>109</v>
      </c>
      <c r="AD32" s="218">
        <f t="shared" ref="AD32:AO32" si="18">AD9</f>
        <v>0.6</v>
      </c>
      <c r="AE32" s="218">
        <f t="shared" si="18"/>
        <v>0.39639561884668173</v>
      </c>
      <c r="AF32" s="218">
        <f t="shared" si="18"/>
        <v>0.36101072393511269</v>
      </c>
      <c r="AG32" s="218">
        <f t="shared" si="18"/>
        <v>0.33356406712346476</v>
      </c>
      <c r="AH32" s="218">
        <f t="shared" si="18"/>
        <v>0.28369185882616055</v>
      </c>
      <c r="AI32" s="218">
        <f t="shared" si="18"/>
        <v>0.24830696391459162</v>
      </c>
      <c r="AJ32" s="218">
        <f t="shared" si="18"/>
        <v>0.2208603071029438</v>
      </c>
      <c r="AK32" s="218">
        <f t="shared" si="18"/>
        <v>0.17947422199853458</v>
      </c>
      <c r="AL32" s="218">
        <f t="shared" si="18"/>
        <v>0.14856254731998308</v>
      </c>
      <c r="AM32" s="218">
        <f t="shared" si="18"/>
        <v>0.10333239936456906</v>
      </c>
      <c r="AN32" s="218">
        <f t="shared" si="18"/>
        <v>0.08</v>
      </c>
      <c r="AO32" s="218">
        <f t="shared" si="18"/>
        <v>0.1</v>
      </c>
    </row>
    <row r="33" spans="2:41" ht="15" customHeight="1" x14ac:dyDescent="0.25">
      <c r="B33" s="229"/>
      <c r="C33" s="229"/>
      <c r="G33" s="265" t="s">
        <v>128</v>
      </c>
      <c r="H33" s="266">
        <v>14</v>
      </c>
      <c r="I33" s="267">
        <f>Z45</f>
        <v>84789.599999999991</v>
      </c>
      <c r="J33" s="268">
        <v>102553.57574385703</v>
      </c>
      <c r="K33" s="269">
        <f t="shared" si="14"/>
        <v>0.8267834581582485</v>
      </c>
      <c r="L33" s="263"/>
      <c r="M33" s="270">
        <f t="shared" si="15"/>
        <v>6056.4</v>
      </c>
      <c r="N33" s="263"/>
      <c r="O33" s="263"/>
      <c r="P33" s="263"/>
      <c r="Q33" s="263"/>
      <c r="R33" s="263"/>
      <c r="S33" s="263"/>
      <c r="T33" s="264"/>
    </row>
    <row r="34" spans="2:41" ht="15.75" x14ac:dyDescent="0.25">
      <c r="B34" s="229" t="s">
        <v>32</v>
      </c>
      <c r="C34" s="229">
        <f>SUM(C15:C32)</f>
        <v>3168</v>
      </c>
      <c r="G34" s="265" t="s">
        <v>16</v>
      </c>
      <c r="H34" s="266">
        <v>30</v>
      </c>
      <c r="I34" s="267">
        <f>Z52</f>
        <v>181692</v>
      </c>
      <c r="J34" s="268">
        <v>219757.66230826511</v>
      </c>
      <c r="K34" s="269">
        <f t="shared" si="14"/>
        <v>0.8267834581582485</v>
      </c>
      <c r="L34" s="263"/>
      <c r="M34" s="270">
        <f t="shared" si="15"/>
        <v>6056.4</v>
      </c>
      <c r="N34" s="263"/>
      <c r="O34" s="263"/>
      <c r="P34" s="263"/>
      <c r="Q34" s="263"/>
      <c r="R34" s="263"/>
      <c r="S34" s="263"/>
      <c r="T34" s="264"/>
    </row>
    <row r="35" spans="2:41" ht="15.75" x14ac:dyDescent="0.25">
      <c r="B35" s="229"/>
      <c r="C35" s="229"/>
      <c r="G35" s="265" t="s">
        <v>9</v>
      </c>
      <c r="H35" s="266">
        <v>99</v>
      </c>
      <c r="I35" s="267">
        <f>Z60</f>
        <v>459134.11065812944</v>
      </c>
      <c r="J35" s="268">
        <v>543900.21421295602</v>
      </c>
      <c r="K35" s="269">
        <f t="shared" si="14"/>
        <v>0.84415136942447011</v>
      </c>
      <c r="L35" s="263"/>
      <c r="M35" s="270">
        <f t="shared" si="15"/>
        <v>4637.7182894760554</v>
      </c>
      <c r="N35" s="263"/>
      <c r="O35" s="263"/>
      <c r="P35" s="263"/>
      <c r="Q35" s="263"/>
      <c r="R35" s="263"/>
      <c r="S35" s="263"/>
      <c r="T35" s="264"/>
      <c r="Y35" s="235" t="s">
        <v>15</v>
      </c>
      <c r="Z35" s="1">
        <f>C21</f>
        <v>32</v>
      </c>
      <c r="AB35" s="1" t="s">
        <v>103</v>
      </c>
      <c r="AD35" s="1" t="str">
        <f t="shared" ref="AD35:AN35" si="19">AD13</f>
        <v>0-40</v>
      </c>
      <c r="AE35" s="1" t="str">
        <f t="shared" si="19"/>
        <v>40-60</v>
      </c>
      <c r="AF35" s="1" t="str">
        <f t="shared" si="19"/>
        <v>60-80</v>
      </c>
      <c r="AG35" s="1" t="str">
        <f t="shared" si="19"/>
        <v>80-100</v>
      </c>
      <c r="AH35" s="1" t="str">
        <f t="shared" si="19"/>
        <v>100-150</v>
      </c>
      <c r="AI35" s="1" t="str">
        <f t="shared" si="19"/>
        <v>150-200</v>
      </c>
      <c r="AJ35" s="1" t="str">
        <f t="shared" si="19"/>
        <v>200-250</v>
      </c>
      <c r="AK35" s="1" t="str">
        <f t="shared" si="19"/>
        <v>250-350</v>
      </c>
      <c r="AL35" s="1" t="str">
        <f t="shared" si="19"/>
        <v>350-450</v>
      </c>
      <c r="AM35" s="1" t="str">
        <f t="shared" si="19"/>
        <v>450-650</v>
      </c>
      <c r="AN35" s="1" t="str">
        <f t="shared" si="19"/>
        <v>650-2000</v>
      </c>
    </row>
    <row r="36" spans="2:41" ht="15.75" x14ac:dyDescent="0.25">
      <c r="B36" s="229" t="s">
        <v>136</v>
      </c>
      <c r="C36" s="229">
        <v>3168</v>
      </c>
      <c r="G36" s="265" t="s">
        <v>21</v>
      </c>
      <c r="H36" s="266">
        <v>121</v>
      </c>
      <c r="I36" s="267">
        <f>Z67</f>
        <v>522636.40443449025</v>
      </c>
      <c r="J36" s="268">
        <v>664766.92848250177</v>
      </c>
      <c r="K36" s="269">
        <f t="shared" si="14"/>
        <v>0.78619495351181157</v>
      </c>
      <c r="L36" s="263"/>
      <c r="M36" s="270">
        <f t="shared" si="15"/>
        <v>4319.3091275577708</v>
      </c>
      <c r="N36" s="263"/>
      <c r="O36" s="263"/>
      <c r="P36" s="263"/>
      <c r="Q36" s="263"/>
      <c r="R36" s="263"/>
      <c r="S36" s="263"/>
      <c r="T36" s="264"/>
      <c r="AD36" s="1">
        <f t="shared" ref="AD36:AO36" si="20">AD6</f>
        <v>0</v>
      </c>
      <c r="AE36" s="1">
        <f t="shared" si="20"/>
        <v>40</v>
      </c>
      <c r="AF36" s="1">
        <f t="shared" si="20"/>
        <v>60</v>
      </c>
      <c r="AG36" s="1">
        <f t="shared" si="20"/>
        <v>80</v>
      </c>
      <c r="AH36" s="1">
        <f t="shared" si="20"/>
        <v>100</v>
      </c>
      <c r="AI36" s="1">
        <f t="shared" si="20"/>
        <v>150</v>
      </c>
      <c r="AJ36" s="1">
        <f t="shared" si="20"/>
        <v>200</v>
      </c>
      <c r="AK36" s="1">
        <f t="shared" si="20"/>
        <v>250</v>
      </c>
      <c r="AL36" s="1">
        <f t="shared" si="20"/>
        <v>350</v>
      </c>
      <c r="AM36" s="1">
        <f t="shared" si="20"/>
        <v>450</v>
      </c>
      <c r="AN36" s="1">
        <f t="shared" si="20"/>
        <v>650</v>
      </c>
      <c r="AO36" s="1">
        <f t="shared" si="20"/>
        <v>2000</v>
      </c>
    </row>
    <row r="37" spans="2:41" ht="15.75" x14ac:dyDescent="0.25">
      <c r="G37" s="265" t="s">
        <v>18</v>
      </c>
      <c r="H37" s="271">
        <v>56</v>
      </c>
      <c r="I37" s="268">
        <f>Z75</f>
        <v>306275.47802621446</v>
      </c>
      <c r="J37" s="268">
        <v>307660.72723157104</v>
      </c>
      <c r="K37" s="269">
        <f t="shared" si="14"/>
        <v>0.99549747795949939</v>
      </c>
      <c r="L37" s="263"/>
      <c r="M37" s="270">
        <f t="shared" si="15"/>
        <v>5469.2049647538297</v>
      </c>
      <c r="N37" s="263"/>
      <c r="O37" s="263"/>
      <c r="P37" s="263"/>
      <c r="Q37" s="263"/>
      <c r="R37" s="263"/>
      <c r="S37" s="263"/>
      <c r="T37" s="264"/>
      <c r="Y37" s="235" t="s">
        <v>33</v>
      </c>
      <c r="Z37" s="1">
        <f>SUM(AD37:AO37)</f>
        <v>193804.79999999999</v>
      </c>
      <c r="AB37" s="1" t="s">
        <v>106</v>
      </c>
      <c r="AD37" s="1">
        <f>IF($Z$35&gt;AD36,(IF($Z$35-AE36&gt;0,(AE36-AD36)*$B$9*AD39,($Z$35-AD36)*$B$9*AD39)),0)</f>
        <v>193804.79999999999</v>
      </c>
      <c r="AE37" s="1">
        <f t="shared" ref="AE37:AN37" si="21">IF($Z$35&gt;AE36,(IF($Z$35-AF36&gt;0,(AF36-AE36)*$B$9*AE39,($Z$35-AE36)*$B$9*AE39)),0)</f>
        <v>0</v>
      </c>
      <c r="AF37" s="1">
        <f t="shared" si="21"/>
        <v>0</v>
      </c>
      <c r="AG37" s="1">
        <f t="shared" si="21"/>
        <v>0</v>
      </c>
      <c r="AH37" s="1">
        <f t="shared" si="21"/>
        <v>0</v>
      </c>
      <c r="AI37" s="1">
        <f t="shared" si="21"/>
        <v>0</v>
      </c>
      <c r="AJ37" s="1">
        <f t="shared" si="21"/>
        <v>0</v>
      </c>
      <c r="AK37" s="1">
        <f t="shared" si="21"/>
        <v>0</v>
      </c>
      <c r="AL37" s="1">
        <f t="shared" si="21"/>
        <v>0</v>
      </c>
      <c r="AM37" s="1">
        <f t="shared" si="21"/>
        <v>0</v>
      </c>
      <c r="AN37" s="1">
        <f t="shared" si="21"/>
        <v>0</v>
      </c>
    </row>
    <row r="38" spans="2:41" ht="15.75" x14ac:dyDescent="0.25">
      <c r="G38" s="265" t="s">
        <v>13</v>
      </c>
      <c r="H38" s="271">
        <v>165</v>
      </c>
      <c r="I38" s="268">
        <f>Z82</f>
        <v>643276.54490754532</v>
      </c>
      <c r="J38" s="268">
        <v>906500.35702159337</v>
      </c>
      <c r="K38" s="269">
        <f t="shared" si="14"/>
        <v>0.70962635582527644</v>
      </c>
      <c r="L38" s="263"/>
      <c r="M38" s="270">
        <f t="shared" si="15"/>
        <v>3898.645726712396</v>
      </c>
      <c r="N38" s="263"/>
      <c r="O38" s="263"/>
      <c r="P38" s="263"/>
      <c r="Q38" s="263"/>
      <c r="R38" s="263"/>
      <c r="S38" s="263"/>
      <c r="T38" s="264"/>
    </row>
    <row r="39" spans="2:41" ht="15.75" x14ac:dyDescent="0.25">
      <c r="G39" s="265" t="s">
        <v>17</v>
      </c>
      <c r="H39" s="266">
        <v>281</v>
      </c>
      <c r="I39" s="267">
        <f>Z90</f>
        <v>898629.10588623653</v>
      </c>
      <c r="J39" s="268">
        <v>1157848.1832866715</v>
      </c>
      <c r="K39" s="269">
        <f t="shared" si="14"/>
        <v>0.77611997743554351</v>
      </c>
      <c r="L39" s="263"/>
      <c r="M39" s="270">
        <f t="shared" si="15"/>
        <v>3197.968348349596</v>
      </c>
      <c r="N39" s="263"/>
      <c r="O39" s="263"/>
      <c r="P39" s="263"/>
      <c r="Q39" s="263"/>
      <c r="R39" s="263"/>
      <c r="S39" s="263"/>
      <c r="T39" s="264"/>
      <c r="AB39" s="1" t="s">
        <v>109</v>
      </c>
      <c r="AD39" s="218">
        <f t="shared" ref="AD39:AO39" si="22">AD9</f>
        <v>0.6</v>
      </c>
      <c r="AE39" s="218">
        <f t="shared" si="22"/>
        <v>0.39639561884668173</v>
      </c>
      <c r="AF39" s="218">
        <f t="shared" si="22"/>
        <v>0.36101072393511269</v>
      </c>
      <c r="AG39" s="218">
        <f t="shared" si="22"/>
        <v>0.33356406712346476</v>
      </c>
      <c r="AH39" s="218">
        <f t="shared" si="22"/>
        <v>0.28369185882616055</v>
      </c>
      <c r="AI39" s="218">
        <f t="shared" si="22"/>
        <v>0.24830696391459162</v>
      </c>
      <c r="AJ39" s="218">
        <f t="shared" si="22"/>
        <v>0.2208603071029438</v>
      </c>
      <c r="AK39" s="218">
        <f t="shared" si="22"/>
        <v>0.17947422199853458</v>
      </c>
      <c r="AL39" s="218">
        <f t="shared" si="22"/>
        <v>0.14856254731998308</v>
      </c>
      <c r="AM39" s="218">
        <f t="shared" si="22"/>
        <v>0.10333239936456906</v>
      </c>
      <c r="AN39" s="218">
        <f t="shared" si="22"/>
        <v>0.08</v>
      </c>
      <c r="AO39" s="218">
        <f t="shared" si="22"/>
        <v>0.1</v>
      </c>
    </row>
    <row r="40" spans="2:41" ht="15.75" x14ac:dyDescent="0.25">
      <c r="G40" s="265" t="s">
        <v>19</v>
      </c>
      <c r="H40" s="266">
        <v>213</v>
      </c>
      <c r="I40" s="267">
        <f>Z97</f>
        <v>759982.64340759383</v>
      </c>
      <c r="J40" s="268">
        <v>877657.16384363361</v>
      </c>
      <c r="K40" s="269">
        <f t="shared" si="14"/>
        <v>0.86592199632861988</v>
      </c>
      <c r="L40" s="263"/>
      <c r="M40" s="270">
        <f t="shared" si="15"/>
        <v>3567.9936310215671</v>
      </c>
      <c r="N40" s="263"/>
      <c r="O40" s="263"/>
      <c r="P40" s="263"/>
      <c r="Q40" s="263"/>
      <c r="R40" s="263"/>
      <c r="S40" s="263"/>
      <c r="T40" s="264"/>
    </row>
    <row r="41" spans="2:41" ht="15.75" x14ac:dyDescent="0.25">
      <c r="G41" s="265" t="s">
        <v>133</v>
      </c>
      <c r="H41" s="266">
        <v>320</v>
      </c>
      <c r="I41" s="267">
        <f>Z105</f>
        <v>969282.00496351172</v>
      </c>
      <c r="J41" s="268">
        <v>1172040.8656440803</v>
      </c>
      <c r="K41" s="269">
        <f t="shared" si="14"/>
        <v>0.82700359123643263</v>
      </c>
      <c r="L41" s="263"/>
      <c r="M41" s="270">
        <f t="shared" si="15"/>
        <v>3029.0062655109741</v>
      </c>
      <c r="N41" s="263"/>
      <c r="O41" s="263"/>
      <c r="P41" s="263"/>
      <c r="Q41" s="263"/>
      <c r="R41" s="263"/>
      <c r="S41" s="263"/>
      <c r="T41" s="264"/>
    </row>
    <row r="42" spans="2:41" ht="15.75" x14ac:dyDescent="0.25">
      <c r="G42" s="265" t="s">
        <v>134</v>
      </c>
      <c r="H42" s="266">
        <v>509</v>
      </c>
      <c r="I42" s="267">
        <f>Z112</f>
        <v>1235128.6212458706</v>
      </c>
      <c r="J42" s="268">
        <v>1631242.8141757257</v>
      </c>
      <c r="K42" s="269">
        <f t="shared" si="14"/>
        <v>0.75717030629188498</v>
      </c>
      <c r="L42" s="263"/>
      <c r="M42" s="270">
        <f t="shared" si="15"/>
        <v>2426.5788236657577</v>
      </c>
      <c r="N42" s="263"/>
      <c r="O42" s="263"/>
      <c r="P42" s="263"/>
      <c r="Q42" s="263"/>
      <c r="R42" s="263"/>
      <c r="S42" s="263"/>
      <c r="T42" s="264"/>
    </row>
    <row r="43" spans="2:41" ht="15.75" x14ac:dyDescent="0.25">
      <c r="G43" s="265" t="s">
        <v>135</v>
      </c>
      <c r="H43" s="266">
        <v>1125</v>
      </c>
      <c r="I43" s="267">
        <f>Z120</f>
        <v>1765768.871971091</v>
      </c>
      <c r="J43" s="268">
        <v>2060228.084139985</v>
      </c>
      <c r="K43" s="269">
        <f t="shared" si="14"/>
        <v>0.85707445965051388</v>
      </c>
      <c r="L43" s="263"/>
      <c r="M43" s="270">
        <f t="shared" si="15"/>
        <v>1569.5723306409698</v>
      </c>
      <c r="N43" s="263"/>
      <c r="O43" s="263"/>
      <c r="P43" s="263"/>
      <c r="Q43" s="263"/>
      <c r="R43" s="263"/>
      <c r="S43" s="263"/>
      <c r="T43" s="264"/>
      <c r="Y43" s="235" t="s">
        <v>128</v>
      </c>
      <c r="Z43" s="1">
        <f>C22</f>
        <v>14</v>
      </c>
      <c r="AB43" s="1" t="s">
        <v>103</v>
      </c>
      <c r="AD43" s="1" t="str">
        <f t="shared" ref="AD43:AN43" si="23">AD13</f>
        <v>0-40</v>
      </c>
      <c r="AE43" s="1" t="str">
        <f t="shared" si="23"/>
        <v>40-60</v>
      </c>
      <c r="AF43" s="1" t="str">
        <f t="shared" si="23"/>
        <v>60-80</v>
      </c>
      <c r="AG43" s="1" t="str">
        <f t="shared" si="23"/>
        <v>80-100</v>
      </c>
      <c r="AH43" s="1" t="str">
        <f t="shared" si="23"/>
        <v>100-150</v>
      </c>
      <c r="AI43" s="1" t="str">
        <f t="shared" si="23"/>
        <v>150-200</v>
      </c>
      <c r="AJ43" s="1" t="str">
        <f t="shared" si="23"/>
        <v>200-250</v>
      </c>
      <c r="AK43" s="1" t="str">
        <f t="shared" si="23"/>
        <v>250-350</v>
      </c>
      <c r="AL43" s="1" t="str">
        <f t="shared" si="23"/>
        <v>350-450</v>
      </c>
      <c r="AM43" s="1" t="str">
        <f t="shared" si="23"/>
        <v>450-650</v>
      </c>
      <c r="AN43" s="1" t="str">
        <f t="shared" si="23"/>
        <v>650-2000</v>
      </c>
    </row>
    <row r="44" spans="2:41" ht="15.75" x14ac:dyDescent="0.25">
      <c r="G44" s="265"/>
      <c r="H44" s="266"/>
      <c r="I44" s="267"/>
      <c r="J44" s="268"/>
      <c r="K44" s="269"/>
      <c r="L44" s="263"/>
      <c r="M44" s="270"/>
      <c r="N44" s="263"/>
      <c r="O44" s="263"/>
      <c r="P44" s="263"/>
      <c r="Q44" s="263"/>
      <c r="R44" s="263"/>
      <c r="S44" s="263"/>
      <c r="T44" s="264"/>
      <c r="AD44" s="1">
        <f t="shared" ref="AD44:AO44" si="24">AD6</f>
        <v>0</v>
      </c>
      <c r="AE44" s="1">
        <f t="shared" si="24"/>
        <v>40</v>
      </c>
      <c r="AF44" s="1">
        <f t="shared" si="24"/>
        <v>60</v>
      </c>
      <c r="AG44" s="1">
        <f t="shared" si="24"/>
        <v>80</v>
      </c>
      <c r="AH44" s="1">
        <f t="shared" si="24"/>
        <v>100</v>
      </c>
      <c r="AI44" s="1">
        <f t="shared" si="24"/>
        <v>150</v>
      </c>
      <c r="AJ44" s="1">
        <f t="shared" si="24"/>
        <v>200</v>
      </c>
      <c r="AK44" s="1">
        <f t="shared" si="24"/>
        <v>250</v>
      </c>
      <c r="AL44" s="1">
        <f t="shared" si="24"/>
        <v>350</v>
      </c>
      <c r="AM44" s="1">
        <f t="shared" si="24"/>
        <v>450</v>
      </c>
      <c r="AN44" s="1">
        <f t="shared" si="24"/>
        <v>650</v>
      </c>
      <c r="AO44" s="1">
        <f t="shared" si="24"/>
        <v>2000</v>
      </c>
    </row>
    <row r="45" spans="2:41" ht="15.75" x14ac:dyDescent="0.25">
      <c r="G45" s="265" t="s">
        <v>32</v>
      </c>
      <c r="H45" s="266">
        <f>SUM(H28:H43)</f>
        <v>3168</v>
      </c>
      <c r="I45" s="267">
        <f>SUM(I28:I43)</f>
        <v>9161476.5326961335</v>
      </c>
      <c r="J45" s="267">
        <f>SUM(J28:J43)</f>
        <v>11365591.597505584</v>
      </c>
      <c r="K45" s="269">
        <f t="shared" si="14"/>
        <v>0.80607124179147971</v>
      </c>
      <c r="L45" s="263"/>
      <c r="M45" s="270">
        <f t="shared" si="15"/>
        <v>2891.8802186540825</v>
      </c>
      <c r="N45" s="263"/>
      <c r="O45" s="263"/>
      <c r="P45" s="263"/>
      <c r="Q45" s="263"/>
      <c r="R45" s="263"/>
      <c r="S45" s="263"/>
      <c r="T45" s="264"/>
      <c r="Y45" s="235" t="s">
        <v>33</v>
      </c>
      <c r="Z45" s="1">
        <f>SUM(AD45:AO45)</f>
        <v>84789.599999999991</v>
      </c>
      <c r="AB45" s="1" t="s">
        <v>106</v>
      </c>
      <c r="AD45" s="1">
        <f>IF($Z$43&gt;AD44,(IF($Z$43-AE44&gt;0,(AE44-AD44)*$B$9*AD47,($Z$43-AD44)*$B$9*AD47)),0)</f>
        <v>84789.599999999991</v>
      </c>
      <c r="AE45" s="1">
        <f t="shared" ref="AE45:AN45" si="25">IF($Z$43&gt;AE44,(IF($Z$43-AF44&gt;0,(AF44-AE44)*$B$9*AE47,($Z$43-AE44)*$B$9*AE47)),0)</f>
        <v>0</v>
      </c>
      <c r="AF45" s="1">
        <f t="shared" si="25"/>
        <v>0</v>
      </c>
      <c r="AG45" s="1">
        <f t="shared" si="25"/>
        <v>0</v>
      </c>
      <c r="AH45" s="1">
        <f t="shared" si="25"/>
        <v>0</v>
      </c>
      <c r="AI45" s="1">
        <f t="shared" si="25"/>
        <v>0</v>
      </c>
      <c r="AJ45" s="1">
        <f t="shared" si="25"/>
        <v>0</v>
      </c>
      <c r="AK45" s="1">
        <f t="shared" si="25"/>
        <v>0</v>
      </c>
      <c r="AL45" s="1">
        <f t="shared" si="25"/>
        <v>0</v>
      </c>
      <c r="AM45" s="1">
        <f t="shared" si="25"/>
        <v>0</v>
      </c>
      <c r="AN45" s="1">
        <f t="shared" si="25"/>
        <v>0</v>
      </c>
    </row>
    <row r="46" spans="2:41" ht="15.75" x14ac:dyDescent="0.25">
      <c r="G46" s="265"/>
      <c r="H46" s="272"/>
      <c r="I46" s="273"/>
      <c r="J46" s="274"/>
      <c r="K46" s="263"/>
      <c r="L46" s="263"/>
      <c r="M46" s="263"/>
      <c r="N46" s="263"/>
      <c r="O46" s="263"/>
      <c r="P46" s="263"/>
      <c r="Q46" s="263"/>
      <c r="R46" s="263"/>
      <c r="S46" s="263"/>
      <c r="T46" s="264"/>
    </row>
    <row r="47" spans="2:41" x14ac:dyDescent="0.2">
      <c r="G47" s="260" t="s">
        <v>142</v>
      </c>
      <c r="H47" s="272">
        <v>3168</v>
      </c>
      <c r="I47" s="273"/>
      <c r="J47" s="267">
        <v>11365591.597505584</v>
      </c>
      <c r="K47" s="263"/>
      <c r="L47" s="263"/>
      <c r="M47" s="263"/>
      <c r="N47" s="263"/>
      <c r="O47" s="263"/>
      <c r="P47" s="263"/>
      <c r="Q47" s="263"/>
      <c r="R47" s="263"/>
      <c r="S47" s="263"/>
      <c r="T47" s="264"/>
      <c r="AB47" s="1" t="s">
        <v>109</v>
      </c>
      <c r="AD47" s="218">
        <f t="shared" ref="AD47:AO47" si="26">AD9</f>
        <v>0.6</v>
      </c>
      <c r="AE47" s="218">
        <f t="shared" si="26"/>
        <v>0.39639561884668173</v>
      </c>
      <c r="AF47" s="218">
        <f t="shared" si="26"/>
        <v>0.36101072393511269</v>
      </c>
      <c r="AG47" s="218">
        <f t="shared" si="26"/>
        <v>0.33356406712346476</v>
      </c>
      <c r="AH47" s="218">
        <f t="shared" si="26"/>
        <v>0.28369185882616055</v>
      </c>
      <c r="AI47" s="218">
        <f t="shared" si="26"/>
        <v>0.24830696391459162</v>
      </c>
      <c r="AJ47" s="218">
        <f t="shared" si="26"/>
        <v>0.2208603071029438</v>
      </c>
      <c r="AK47" s="218">
        <f t="shared" si="26"/>
        <v>0.17947422199853458</v>
      </c>
      <c r="AL47" s="218">
        <f t="shared" si="26"/>
        <v>0.14856254731998308</v>
      </c>
      <c r="AM47" s="218">
        <f t="shared" si="26"/>
        <v>0.10333239936456906</v>
      </c>
      <c r="AN47" s="218">
        <f t="shared" si="26"/>
        <v>0.08</v>
      </c>
      <c r="AO47" s="218">
        <f t="shared" si="26"/>
        <v>0.1</v>
      </c>
    </row>
    <row r="48" spans="2:41" x14ac:dyDescent="0.2">
      <c r="G48" s="260"/>
      <c r="H48" s="272"/>
      <c r="I48" s="273"/>
      <c r="J48" s="263"/>
      <c r="K48" s="263"/>
      <c r="L48" s="263"/>
      <c r="M48" s="263"/>
      <c r="N48" s="263"/>
      <c r="O48" s="263"/>
      <c r="P48" s="263"/>
      <c r="Q48" s="263"/>
      <c r="R48" s="263"/>
      <c r="S48" s="263"/>
      <c r="T48" s="264"/>
    </row>
    <row r="49" spans="7:41" ht="15.75" thickBot="1" x14ac:dyDescent="0.25">
      <c r="G49" s="275"/>
      <c r="H49" s="276"/>
      <c r="I49" s="277"/>
      <c r="J49" s="278"/>
      <c r="K49" s="278"/>
      <c r="L49" s="278"/>
      <c r="M49" s="278"/>
      <c r="N49" s="278"/>
      <c r="O49" s="278"/>
      <c r="P49" s="278"/>
      <c r="Q49" s="278"/>
      <c r="R49" s="278"/>
      <c r="S49" s="278"/>
      <c r="T49" s="279"/>
    </row>
    <row r="50" spans="7:41" ht="15.75" x14ac:dyDescent="0.25">
      <c r="Y50" s="280" t="s">
        <v>16</v>
      </c>
      <c r="Z50" s="1">
        <f>C23</f>
        <v>30</v>
      </c>
      <c r="AB50" s="1" t="s">
        <v>103</v>
      </c>
      <c r="AD50" s="1" t="str">
        <f t="shared" ref="AD50:AN50" si="27">AD13</f>
        <v>0-40</v>
      </c>
      <c r="AE50" s="1" t="str">
        <f t="shared" si="27"/>
        <v>40-60</v>
      </c>
      <c r="AF50" s="1" t="str">
        <f t="shared" si="27"/>
        <v>60-80</v>
      </c>
      <c r="AG50" s="1" t="str">
        <f t="shared" si="27"/>
        <v>80-100</v>
      </c>
      <c r="AH50" s="1" t="str">
        <f t="shared" si="27"/>
        <v>100-150</v>
      </c>
      <c r="AI50" s="1" t="str">
        <f t="shared" si="27"/>
        <v>150-200</v>
      </c>
      <c r="AJ50" s="1" t="str">
        <f t="shared" si="27"/>
        <v>200-250</v>
      </c>
      <c r="AK50" s="1" t="str">
        <f t="shared" si="27"/>
        <v>250-350</v>
      </c>
      <c r="AL50" s="1" t="str">
        <f t="shared" si="27"/>
        <v>350-450</v>
      </c>
      <c r="AM50" s="1" t="str">
        <f t="shared" si="27"/>
        <v>450-650</v>
      </c>
      <c r="AN50" s="1" t="str">
        <f t="shared" si="27"/>
        <v>650-2000</v>
      </c>
    </row>
    <row r="51" spans="7:41" x14ac:dyDescent="0.2">
      <c r="AD51" s="1">
        <f t="shared" ref="AD51:AO51" si="28">AD6</f>
        <v>0</v>
      </c>
      <c r="AE51" s="1">
        <f t="shared" si="28"/>
        <v>40</v>
      </c>
      <c r="AF51" s="1">
        <f t="shared" si="28"/>
        <v>60</v>
      </c>
      <c r="AG51" s="1">
        <f t="shared" si="28"/>
        <v>80</v>
      </c>
      <c r="AH51" s="1">
        <f t="shared" si="28"/>
        <v>100</v>
      </c>
      <c r="AI51" s="1">
        <f t="shared" si="28"/>
        <v>150</v>
      </c>
      <c r="AJ51" s="1">
        <f t="shared" si="28"/>
        <v>200</v>
      </c>
      <c r="AK51" s="1">
        <f t="shared" si="28"/>
        <v>250</v>
      </c>
      <c r="AL51" s="1">
        <f t="shared" si="28"/>
        <v>350</v>
      </c>
      <c r="AM51" s="1">
        <f t="shared" si="28"/>
        <v>450</v>
      </c>
      <c r="AN51" s="1">
        <f t="shared" si="28"/>
        <v>650</v>
      </c>
      <c r="AO51" s="1">
        <f t="shared" si="28"/>
        <v>2000</v>
      </c>
    </row>
    <row r="52" spans="7:41" x14ac:dyDescent="0.2">
      <c r="Y52" s="235" t="s">
        <v>33</v>
      </c>
      <c r="Z52" s="1">
        <f>SUM(AD52:AO52)</f>
        <v>181692</v>
      </c>
      <c r="AB52" s="1" t="s">
        <v>106</v>
      </c>
      <c r="AD52" s="1">
        <f>IF($Z$50&gt;AD51,(IF($Z$50-AE51&gt;0,(AE51-AD51)*$B$9*AD54,($Z$50-AD51)*$B$9*AD54)),0)</f>
        <v>181692</v>
      </c>
      <c r="AE52" s="1">
        <f t="shared" ref="AE52:AN52" si="29">IF($Z$50&gt;AE51,(IF($Z$50-AF51&gt;0,(AF51-AE51)*$B$9*AE54,($Z$50-AE51)*$B$9*AE54)),0)</f>
        <v>0</v>
      </c>
      <c r="AF52" s="1">
        <f t="shared" si="29"/>
        <v>0</v>
      </c>
      <c r="AG52" s="1">
        <f t="shared" si="29"/>
        <v>0</v>
      </c>
      <c r="AH52" s="1">
        <f t="shared" si="29"/>
        <v>0</v>
      </c>
      <c r="AI52" s="1">
        <f t="shared" si="29"/>
        <v>0</v>
      </c>
      <c r="AJ52" s="1">
        <f t="shared" si="29"/>
        <v>0</v>
      </c>
      <c r="AK52" s="1">
        <f t="shared" si="29"/>
        <v>0</v>
      </c>
      <c r="AL52" s="1">
        <f t="shared" si="29"/>
        <v>0</v>
      </c>
      <c r="AM52" s="1">
        <f t="shared" si="29"/>
        <v>0</v>
      </c>
      <c r="AN52" s="1">
        <f t="shared" si="29"/>
        <v>0</v>
      </c>
    </row>
    <row r="53" spans="7:41" x14ac:dyDescent="0.2">
      <c r="G53" s="1" t="s">
        <v>137</v>
      </c>
    </row>
    <row r="54" spans="7:41" x14ac:dyDescent="0.2">
      <c r="G54" s="219"/>
      <c r="H54" s="219"/>
      <c r="I54" s="219"/>
      <c r="J54" s="219"/>
      <c r="K54" s="219"/>
      <c r="L54" s="219"/>
      <c r="M54" s="219"/>
      <c r="N54" s="219"/>
      <c r="O54" s="219"/>
      <c r="P54" s="219"/>
      <c r="Q54" s="219"/>
      <c r="R54" s="219"/>
      <c r="S54" s="219"/>
      <c r="T54" s="219"/>
      <c r="U54" s="219"/>
      <c r="V54" s="219"/>
      <c r="AB54" s="1" t="s">
        <v>109</v>
      </c>
      <c r="AD54" s="218">
        <f t="shared" ref="AD54:AO54" si="30">AD9</f>
        <v>0.6</v>
      </c>
      <c r="AE54" s="218">
        <f t="shared" si="30"/>
        <v>0.39639561884668173</v>
      </c>
      <c r="AF54" s="218">
        <f t="shared" si="30"/>
        <v>0.36101072393511269</v>
      </c>
      <c r="AG54" s="218">
        <f t="shared" si="30"/>
        <v>0.33356406712346476</v>
      </c>
      <c r="AH54" s="218">
        <f t="shared" si="30"/>
        <v>0.28369185882616055</v>
      </c>
      <c r="AI54" s="218">
        <f t="shared" si="30"/>
        <v>0.24830696391459162</v>
      </c>
      <c r="AJ54" s="218">
        <f t="shared" si="30"/>
        <v>0.2208603071029438</v>
      </c>
      <c r="AK54" s="218">
        <f t="shared" si="30"/>
        <v>0.17947422199853458</v>
      </c>
      <c r="AL54" s="218">
        <f t="shared" si="30"/>
        <v>0.14856254731998308</v>
      </c>
      <c r="AM54" s="218">
        <f t="shared" si="30"/>
        <v>0.10333239936456906</v>
      </c>
      <c r="AN54" s="218">
        <f t="shared" si="30"/>
        <v>0.08</v>
      </c>
      <c r="AO54" s="218">
        <f t="shared" si="30"/>
        <v>0.1</v>
      </c>
    </row>
    <row r="55" spans="7:41" x14ac:dyDescent="0.2">
      <c r="G55" s="219"/>
      <c r="H55" s="219"/>
      <c r="I55" s="219"/>
      <c r="J55" s="219"/>
      <c r="K55" s="219"/>
      <c r="L55" s="219"/>
      <c r="M55" s="219"/>
      <c r="N55" s="219"/>
      <c r="O55" s="219"/>
      <c r="P55" s="219"/>
      <c r="Q55" s="219"/>
      <c r="R55" s="219"/>
      <c r="S55" s="219"/>
      <c r="T55" s="219"/>
      <c r="U55" s="219"/>
      <c r="V55" s="219"/>
      <c r="W55" s="219"/>
    </row>
    <row r="58" spans="7:41" x14ac:dyDescent="0.2">
      <c r="Y58" s="235" t="s">
        <v>9</v>
      </c>
      <c r="Z58" s="1">
        <f>C24</f>
        <v>99</v>
      </c>
      <c r="AB58" s="1" t="s">
        <v>103</v>
      </c>
      <c r="AD58" s="1" t="str">
        <f t="shared" ref="AD58:AN58" si="31">AD13</f>
        <v>0-40</v>
      </c>
      <c r="AE58" s="1" t="str">
        <f t="shared" si="31"/>
        <v>40-60</v>
      </c>
      <c r="AF58" s="1" t="str">
        <f t="shared" si="31"/>
        <v>60-80</v>
      </c>
      <c r="AG58" s="1" t="str">
        <f t="shared" si="31"/>
        <v>80-100</v>
      </c>
      <c r="AH58" s="1" t="str">
        <f t="shared" si="31"/>
        <v>100-150</v>
      </c>
      <c r="AI58" s="1" t="str">
        <f t="shared" si="31"/>
        <v>150-200</v>
      </c>
      <c r="AJ58" s="1" t="str">
        <f t="shared" si="31"/>
        <v>200-250</v>
      </c>
      <c r="AK58" s="1" t="str">
        <f t="shared" si="31"/>
        <v>250-350</v>
      </c>
      <c r="AL58" s="1" t="str">
        <f t="shared" si="31"/>
        <v>350-450</v>
      </c>
      <c r="AM58" s="1" t="str">
        <f t="shared" si="31"/>
        <v>450-650</v>
      </c>
      <c r="AN58" s="1" t="str">
        <f t="shared" si="31"/>
        <v>650-2000</v>
      </c>
    </row>
    <row r="59" spans="7:41" x14ac:dyDescent="0.2">
      <c r="AD59" s="1">
        <f t="shared" ref="AD59:AO59" si="32">AD6</f>
        <v>0</v>
      </c>
      <c r="AE59" s="1">
        <f t="shared" si="32"/>
        <v>40</v>
      </c>
      <c r="AF59" s="1">
        <f t="shared" si="32"/>
        <v>60</v>
      </c>
      <c r="AG59" s="1">
        <f t="shared" si="32"/>
        <v>80</v>
      </c>
      <c r="AH59" s="1">
        <f t="shared" si="32"/>
        <v>100</v>
      </c>
      <c r="AI59" s="1">
        <f t="shared" si="32"/>
        <v>150</v>
      </c>
      <c r="AJ59" s="1">
        <f t="shared" si="32"/>
        <v>200</v>
      </c>
      <c r="AK59" s="1">
        <f t="shared" si="32"/>
        <v>250</v>
      </c>
      <c r="AL59" s="1">
        <f t="shared" si="32"/>
        <v>350</v>
      </c>
      <c r="AM59" s="1">
        <f t="shared" si="32"/>
        <v>450</v>
      </c>
      <c r="AN59" s="1">
        <f t="shared" si="32"/>
        <v>650</v>
      </c>
      <c r="AO59" s="1">
        <f t="shared" si="32"/>
        <v>2000</v>
      </c>
    </row>
    <row r="60" spans="7:41" x14ac:dyDescent="0.2">
      <c r="Y60" s="235" t="s">
        <v>33</v>
      </c>
      <c r="Z60" s="1">
        <f>SUM(AD60:AO60)</f>
        <v>459134.11065812944</v>
      </c>
      <c r="AB60" s="1" t="s">
        <v>106</v>
      </c>
      <c r="AD60" s="1">
        <f>IF($Z$58&gt;AD59,(IF($Z$58-AE59&gt;0,(AE59-AD59)*$B$9*AD62,($Z$58-AD59)*$B$9*AD62)),0)</f>
        <v>242256</v>
      </c>
      <c r="AE60" s="1">
        <f t="shared" ref="AE60:AN60" si="33">IF($Z$58&gt;AE59,(IF($Z$58-AF59&gt;0,(AF59-AE59)*$B$9*AE62,($Z$58-AE59)*$B$9*AE62)),0)</f>
        <v>80024.347532768108</v>
      </c>
      <c r="AF60" s="1">
        <f t="shared" si="33"/>
        <v>72880.844948020545</v>
      </c>
      <c r="AG60" s="1">
        <f t="shared" si="33"/>
        <v>63972.918177340813</v>
      </c>
      <c r="AH60" s="1">
        <f t="shared" si="33"/>
        <v>0</v>
      </c>
      <c r="AI60" s="1">
        <f t="shared" si="33"/>
        <v>0</v>
      </c>
      <c r="AJ60" s="1">
        <f t="shared" si="33"/>
        <v>0</v>
      </c>
      <c r="AK60" s="1">
        <f t="shared" si="33"/>
        <v>0</v>
      </c>
      <c r="AL60" s="1">
        <f t="shared" si="33"/>
        <v>0</v>
      </c>
      <c r="AM60" s="1">
        <f t="shared" si="33"/>
        <v>0</v>
      </c>
      <c r="AN60" s="1">
        <f t="shared" si="33"/>
        <v>0</v>
      </c>
    </row>
    <row r="62" spans="7:41" x14ac:dyDescent="0.2">
      <c r="AB62" s="1" t="s">
        <v>109</v>
      </c>
      <c r="AD62" s="218">
        <f t="shared" ref="AD62:AO62" si="34">AD9</f>
        <v>0.6</v>
      </c>
      <c r="AE62" s="218">
        <f t="shared" si="34"/>
        <v>0.39639561884668173</v>
      </c>
      <c r="AF62" s="218">
        <f t="shared" si="34"/>
        <v>0.36101072393511269</v>
      </c>
      <c r="AG62" s="218">
        <f t="shared" si="34"/>
        <v>0.33356406712346476</v>
      </c>
      <c r="AH62" s="218">
        <f t="shared" si="34"/>
        <v>0.28369185882616055</v>
      </c>
      <c r="AI62" s="218">
        <f t="shared" si="34"/>
        <v>0.24830696391459162</v>
      </c>
      <c r="AJ62" s="218">
        <f t="shared" si="34"/>
        <v>0.2208603071029438</v>
      </c>
      <c r="AK62" s="218">
        <f t="shared" si="34"/>
        <v>0.17947422199853458</v>
      </c>
      <c r="AL62" s="218">
        <f t="shared" si="34"/>
        <v>0.14856254731998308</v>
      </c>
      <c r="AM62" s="218">
        <f t="shared" si="34"/>
        <v>0.10333239936456906</v>
      </c>
      <c r="AN62" s="218">
        <f t="shared" si="34"/>
        <v>0.08</v>
      </c>
      <c r="AO62" s="218">
        <f t="shared" si="34"/>
        <v>0.1</v>
      </c>
    </row>
    <row r="65" spans="25:41" x14ac:dyDescent="0.2">
      <c r="Y65" s="235" t="s">
        <v>21</v>
      </c>
      <c r="Z65" s="1">
        <f>C25</f>
        <v>121</v>
      </c>
      <c r="AB65" s="1" t="s">
        <v>103</v>
      </c>
      <c r="AD65" s="1" t="str">
        <f t="shared" ref="AD65:AN65" si="35">AD13</f>
        <v>0-40</v>
      </c>
      <c r="AE65" s="1" t="str">
        <f t="shared" si="35"/>
        <v>40-60</v>
      </c>
      <c r="AF65" s="1" t="str">
        <f t="shared" si="35"/>
        <v>60-80</v>
      </c>
      <c r="AG65" s="1" t="str">
        <f t="shared" si="35"/>
        <v>80-100</v>
      </c>
      <c r="AH65" s="1" t="str">
        <f t="shared" si="35"/>
        <v>100-150</v>
      </c>
      <c r="AI65" s="1" t="str">
        <f t="shared" si="35"/>
        <v>150-200</v>
      </c>
      <c r="AJ65" s="1" t="str">
        <f t="shared" si="35"/>
        <v>200-250</v>
      </c>
      <c r="AK65" s="1" t="str">
        <f t="shared" si="35"/>
        <v>250-350</v>
      </c>
      <c r="AL65" s="1" t="str">
        <f t="shared" si="35"/>
        <v>350-450</v>
      </c>
      <c r="AM65" s="1" t="str">
        <f t="shared" si="35"/>
        <v>450-650</v>
      </c>
      <c r="AN65" s="1" t="str">
        <f t="shared" si="35"/>
        <v>650-2000</v>
      </c>
    </row>
    <row r="66" spans="25:41" x14ac:dyDescent="0.2">
      <c r="AD66" s="1">
        <f t="shared" ref="AD66:AO66" si="36">AD6</f>
        <v>0</v>
      </c>
      <c r="AE66" s="1">
        <f t="shared" si="36"/>
        <v>40</v>
      </c>
      <c r="AF66" s="1">
        <f t="shared" si="36"/>
        <v>60</v>
      </c>
      <c r="AG66" s="1">
        <f t="shared" si="36"/>
        <v>80</v>
      </c>
      <c r="AH66" s="1">
        <f t="shared" si="36"/>
        <v>100</v>
      </c>
      <c r="AI66" s="1">
        <f t="shared" si="36"/>
        <v>150</v>
      </c>
      <c r="AJ66" s="1">
        <f t="shared" si="36"/>
        <v>200</v>
      </c>
      <c r="AK66" s="1">
        <f t="shared" si="36"/>
        <v>250</v>
      </c>
      <c r="AL66" s="1">
        <f t="shared" si="36"/>
        <v>350</v>
      </c>
      <c r="AM66" s="1">
        <f t="shared" si="36"/>
        <v>450</v>
      </c>
      <c r="AN66" s="1">
        <f t="shared" si="36"/>
        <v>650</v>
      </c>
      <c r="AO66" s="1">
        <f t="shared" si="36"/>
        <v>2000</v>
      </c>
    </row>
    <row r="67" spans="25:41" x14ac:dyDescent="0.2">
      <c r="Y67" s="235" t="s">
        <v>33</v>
      </c>
      <c r="Z67" s="1">
        <f>SUM(AD67:AO67)</f>
        <v>522636.40443449025</v>
      </c>
      <c r="AB67" s="1" t="s">
        <v>106</v>
      </c>
      <c r="AD67" s="1">
        <f>IF($Z$65&gt;AD66,(IF($Z$65-AE66&gt;0,(AE66-AD66)*$B$9*AD69,($Z$65-AD66)*$B$9*AD69)),0)</f>
        <v>242256</v>
      </c>
      <c r="AE67" s="1">
        <f t="shared" ref="AE67:AN67" si="37">IF($Z$65&gt;AE66,(IF($Z$65-AF66&gt;0,(AF66-AE66)*$B$9*AE69,($Z$65-AE66)*$B$9*AE69)),0)</f>
        <v>80024.347532768108</v>
      </c>
      <c r="AF67" s="1">
        <f t="shared" si="37"/>
        <v>72880.844948020545</v>
      </c>
      <c r="AG67" s="1">
        <f t="shared" si="37"/>
        <v>67339.913870885066</v>
      </c>
      <c r="AH67" s="1">
        <f t="shared" si="37"/>
        <v>60135.298082816553</v>
      </c>
      <c r="AI67" s="1">
        <f t="shared" si="37"/>
        <v>0</v>
      </c>
      <c r="AJ67" s="1">
        <f t="shared" si="37"/>
        <v>0</v>
      </c>
      <c r="AK67" s="1">
        <f t="shared" si="37"/>
        <v>0</v>
      </c>
      <c r="AL67" s="1">
        <f t="shared" si="37"/>
        <v>0</v>
      </c>
      <c r="AM67" s="1">
        <f t="shared" si="37"/>
        <v>0</v>
      </c>
      <c r="AN67" s="1">
        <f t="shared" si="37"/>
        <v>0</v>
      </c>
    </row>
    <row r="69" spans="25:41" x14ac:dyDescent="0.2">
      <c r="AB69" s="1" t="s">
        <v>109</v>
      </c>
      <c r="AD69" s="218">
        <f t="shared" ref="AD69:AO69" si="38">AD9</f>
        <v>0.6</v>
      </c>
      <c r="AE69" s="218">
        <f t="shared" si="38"/>
        <v>0.39639561884668173</v>
      </c>
      <c r="AF69" s="218">
        <f t="shared" si="38"/>
        <v>0.36101072393511269</v>
      </c>
      <c r="AG69" s="218">
        <f t="shared" si="38"/>
        <v>0.33356406712346476</v>
      </c>
      <c r="AH69" s="218">
        <f t="shared" si="38"/>
        <v>0.28369185882616055</v>
      </c>
      <c r="AI69" s="218">
        <f t="shared" si="38"/>
        <v>0.24830696391459162</v>
      </c>
      <c r="AJ69" s="218">
        <f t="shared" si="38"/>
        <v>0.2208603071029438</v>
      </c>
      <c r="AK69" s="218">
        <f t="shared" si="38"/>
        <v>0.17947422199853458</v>
      </c>
      <c r="AL69" s="218">
        <f t="shared" si="38"/>
        <v>0.14856254731998308</v>
      </c>
      <c r="AM69" s="218">
        <f t="shared" si="38"/>
        <v>0.10333239936456906</v>
      </c>
      <c r="AN69" s="218">
        <f t="shared" si="38"/>
        <v>0.08</v>
      </c>
      <c r="AO69" s="218">
        <f t="shared" si="38"/>
        <v>0.1</v>
      </c>
    </row>
    <row r="73" spans="25:41" x14ac:dyDescent="0.2">
      <c r="Y73" s="235" t="s">
        <v>18</v>
      </c>
      <c r="Z73" s="1">
        <f>C26</f>
        <v>56</v>
      </c>
      <c r="AB73" s="1" t="s">
        <v>103</v>
      </c>
      <c r="AD73" s="1" t="str">
        <f t="shared" ref="AD73:AN73" si="39">AD13</f>
        <v>0-40</v>
      </c>
      <c r="AE73" s="1" t="str">
        <f t="shared" si="39"/>
        <v>40-60</v>
      </c>
      <c r="AF73" s="1" t="str">
        <f t="shared" si="39"/>
        <v>60-80</v>
      </c>
      <c r="AG73" s="1" t="str">
        <f t="shared" si="39"/>
        <v>80-100</v>
      </c>
      <c r="AH73" s="1" t="str">
        <f t="shared" si="39"/>
        <v>100-150</v>
      </c>
      <c r="AI73" s="1" t="str">
        <f t="shared" si="39"/>
        <v>150-200</v>
      </c>
      <c r="AJ73" s="1" t="str">
        <f t="shared" si="39"/>
        <v>200-250</v>
      </c>
      <c r="AK73" s="1" t="str">
        <f t="shared" si="39"/>
        <v>250-350</v>
      </c>
      <c r="AL73" s="1" t="str">
        <f t="shared" si="39"/>
        <v>350-450</v>
      </c>
      <c r="AM73" s="1" t="str">
        <f t="shared" si="39"/>
        <v>450-650</v>
      </c>
      <c r="AN73" s="1" t="str">
        <f t="shared" si="39"/>
        <v>650-2000</v>
      </c>
    </row>
    <row r="74" spans="25:41" x14ac:dyDescent="0.2">
      <c r="AD74" s="1">
        <f t="shared" ref="AD74:AO74" si="40">AD6</f>
        <v>0</v>
      </c>
      <c r="AE74" s="1">
        <f t="shared" si="40"/>
        <v>40</v>
      </c>
      <c r="AF74" s="1">
        <f t="shared" si="40"/>
        <v>60</v>
      </c>
      <c r="AG74" s="1">
        <f t="shared" si="40"/>
        <v>80</v>
      </c>
      <c r="AH74" s="1">
        <f t="shared" si="40"/>
        <v>100</v>
      </c>
      <c r="AI74" s="1">
        <f t="shared" si="40"/>
        <v>150</v>
      </c>
      <c r="AJ74" s="1">
        <f t="shared" si="40"/>
        <v>200</v>
      </c>
      <c r="AK74" s="1">
        <f t="shared" si="40"/>
        <v>250</v>
      </c>
      <c r="AL74" s="1">
        <f t="shared" si="40"/>
        <v>350</v>
      </c>
      <c r="AM74" s="1">
        <f t="shared" si="40"/>
        <v>450</v>
      </c>
      <c r="AN74" s="1">
        <f t="shared" si="40"/>
        <v>650</v>
      </c>
      <c r="AO74" s="1">
        <f t="shared" si="40"/>
        <v>2000</v>
      </c>
    </row>
    <row r="75" spans="25:41" x14ac:dyDescent="0.2">
      <c r="Y75" s="235" t="s">
        <v>33</v>
      </c>
      <c r="Z75" s="1">
        <f>SUM(AD75:AO75)</f>
        <v>306275.47802621446</v>
      </c>
      <c r="AB75" s="1" t="s">
        <v>106</v>
      </c>
      <c r="AD75" s="1">
        <f>IF($Z$73&gt;AD74,(IF($Z$73-AE74&gt;0,(AE74-AD74)*$B$9*AD77,($Z$73-AD74)*$B$9*AD77)),0)</f>
        <v>242256</v>
      </c>
      <c r="AE75" s="1">
        <f t="shared" ref="AE75:AN75" si="41">IF($Z$73&gt;AE74,(IF($Z$73-AF74&gt;0,(AF74-AE74)*$B$9*AE77,($Z$73-AE74)*$B$9*AE77)),0)</f>
        <v>64019.478026214485</v>
      </c>
      <c r="AF75" s="1">
        <f t="shared" si="41"/>
        <v>0</v>
      </c>
      <c r="AG75" s="1">
        <f t="shared" si="41"/>
        <v>0</v>
      </c>
      <c r="AH75" s="1">
        <f t="shared" si="41"/>
        <v>0</v>
      </c>
      <c r="AI75" s="1">
        <f t="shared" si="41"/>
        <v>0</v>
      </c>
      <c r="AJ75" s="1">
        <f t="shared" si="41"/>
        <v>0</v>
      </c>
      <c r="AK75" s="1">
        <f t="shared" si="41"/>
        <v>0</v>
      </c>
      <c r="AL75" s="1">
        <f t="shared" si="41"/>
        <v>0</v>
      </c>
      <c r="AM75" s="1">
        <f t="shared" si="41"/>
        <v>0</v>
      </c>
      <c r="AN75" s="1">
        <f t="shared" si="41"/>
        <v>0</v>
      </c>
    </row>
    <row r="77" spans="25:41" x14ac:dyDescent="0.2">
      <c r="AB77" s="1" t="s">
        <v>109</v>
      </c>
      <c r="AD77" s="218">
        <f t="shared" ref="AD77:AO77" si="42">AD9</f>
        <v>0.6</v>
      </c>
      <c r="AE77" s="218">
        <f t="shared" si="42"/>
        <v>0.39639561884668173</v>
      </c>
      <c r="AF77" s="218">
        <f t="shared" si="42"/>
        <v>0.36101072393511269</v>
      </c>
      <c r="AG77" s="218">
        <f t="shared" si="42"/>
        <v>0.33356406712346476</v>
      </c>
      <c r="AH77" s="218">
        <f t="shared" si="42"/>
        <v>0.28369185882616055</v>
      </c>
      <c r="AI77" s="218">
        <f t="shared" si="42"/>
        <v>0.24830696391459162</v>
      </c>
      <c r="AJ77" s="218">
        <f t="shared" si="42"/>
        <v>0.2208603071029438</v>
      </c>
      <c r="AK77" s="218">
        <f t="shared" si="42"/>
        <v>0.17947422199853458</v>
      </c>
      <c r="AL77" s="218">
        <f t="shared" si="42"/>
        <v>0.14856254731998308</v>
      </c>
      <c r="AM77" s="218">
        <f t="shared" si="42"/>
        <v>0.10333239936456906</v>
      </c>
      <c r="AN77" s="218">
        <f t="shared" si="42"/>
        <v>0.08</v>
      </c>
      <c r="AO77" s="218">
        <f t="shared" si="42"/>
        <v>0.1</v>
      </c>
    </row>
    <row r="80" spans="25:41" x14ac:dyDescent="0.2">
      <c r="Y80" s="235" t="s">
        <v>13</v>
      </c>
      <c r="Z80" s="1">
        <f>C27</f>
        <v>165</v>
      </c>
      <c r="AB80" s="1" t="s">
        <v>103</v>
      </c>
      <c r="AD80" s="1" t="str">
        <f t="shared" ref="AD80:AN80" si="43">AD13</f>
        <v>0-40</v>
      </c>
      <c r="AE80" s="1" t="str">
        <f t="shared" si="43"/>
        <v>40-60</v>
      </c>
      <c r="AF80" s="1" t="str">
        <f t="shared" si="43"/>
        <v>60-80</v>
      </c>
      <c r="AG80" s="1" t="str">
        <f t="shared" si="43"/>
        <v>80-100</v>
      </c>
      <c r="AH80" s="1" t="str">
        <f t="shared" si="43"/>
        <v>100-150</v>
      </c>
      <c r="AI80" s="1" t="str">
        <f t="shared" si="43"/>
        <v>150-200</v>
      </c>
      <c r="AJ80" s="1" t="str">
        <f t="shared" si="43"/>
        <v>200-250</v>
      </c>
      <c r="AK80" s="1" t="str">
        <f t="shared" si="43"/>
        <v>250-350</v>
      </c>
      <c r="AL80" s="1" t="str">
        <f t="shared" si="43"/>
        <v>350-450</v>
      </c>
      <c r="AM80" s="1" t="str">
        <f t="shared" si="43"/>
        <v>450-650</v>
      </c>
      <c r="AN80" s="1" t="str">
        <f t="shared" si="43"/>
        <v>650-2000</v>
      </c>
    </row>
    <row r="81" spans="8:41" x14ac:dyDescent="0.2">
      <c r="AD81" s="1">
        <f t="shared" ref="AD81:AO81" si="44">AD6</f>
        <v>0</v>
      </c>
      <c r="AE81" s="1">
        <f t="shared" si="44"/>
        <v>40</v>
      </c>
      <c r="AF81" s="1">
        <f t="shared" si="44"/>
        <v>60</v>
      </c>
      <c r="AG81" s="1">
        <f t="shared" si="44"/>
        <v>80</v>
      </c>
      <c r="AH81" s="1">
        <f t="shared" si="44"/>
        <v>100</v>
      </c>
      <c r="AI81" s="1">
        <f t="shared" si="44"/>
        <v>150</v>
      </c>
      <c r="AJ81" s="1">
        <f t="shared" si="44"/>
        <v>200</v>
      </c>
      <c r="AK81" s="1">
        <f t="shared" si="44"/>
        <v>250</v>
      </c>
      <c r="AL81" s="1">
        <f t="shared" si="44"/>
        <v>350</v>
      </c>
      <c r="AM81" s="1">
        <f t="shared" si="44"/>
        <v>450</v>
      </c>
      <c r="AN81" s="1">
        <f t="shared" si="44"/>
        <v>650</v>
      </c>
      <c r="AO81" s="1">
        <f t="shared" si="44"/>
        <v>2000</v>
      </c>
    </row>
    <row r="82" spans="8:41" x14ac:dyDescent="0.2">
      <c r="Y82" s="235" t="s">
        <v>33</v>
      </c>
      <c r="Z82" s="1">
        <f>SUM(AD82:AO82)</f>
        <v>643276.54490754532</v>
      </c>
      <c r="AB82" s="1" t="s">
        <v>106</v>
      </c>
      <c r="AD82" s="1">
        <f>IF($Z$80&gt;AD81,(IF($Z$80-AE81&gt;0,(AE81-AD81)*$B$9*AD84,($Z$80-AD81)*$B$9*AD84)),0)</f>
        <v>242256</v>
      </c>
      <c r="AE82" s="1">
        <f t="shared" ref="AE82:AN82" si="45">IF($Z$80&gt;AE81,(IF($Z$80-AF81&gt;0,(AF81-AE81)*$B$9*AE84,($Z$80-AE81)*$B$9*AE84)),0)</f>
        <v>80024.347532768108</v>
      </c>
      <c r="AF82" s="1">
        <f t="shared" si="45"/>
        <v>72880.844948020545</v>
      </c>
      <c r="AG82" s="1">
        <f t="shared" si="45"/>
        <v>67339.913870885066</v>
      </c>
      <c r="AH82" s="1">
        <f t="shared" si="45"/>
        <v>143179.28114956323</v>
      </c>
      <c r="AI82" s="1">
        <f t="shared" si="45"/>
        <v>37596.157406308317</v>
      </c>
      <c r="AJ82" s="1">
        <f t="shared" si="45"/>
        <v>0</v>
      </c>
      <c r="AK82" s="1">
        <f t="shared" si="45"/>
        <v>0</v>
      </c>
      <c r="AL82" s="1">
        <f t="shared" si="45"/>
        <v>0</v>
      </c>
      <c r="AM82" s="1">
        <f t="shared" si="45"/>
        <v>0</v>
      </c>
      <c r="AN82" s="1">
        <f t="shared" si="45"/>
        <v>0</v>
      </c>
    </row>
    <row r="84" spans="8:41" x14ac:dyDescent="0.2">
      <c r="AB84" s="1" t="s">
        <v>109</v>
      </c>
      <c r="AD84" s="218">
        <f t="shared" ref="AD84:AO84" si="46">AD9</f>
        <v>0.6</v>
      </c>
      <c r="AE84" s="218">
        <f t="shared" si="46"/>
        <v>0.39639561884668173</v>
      </c>
      <c r="AF84" s="218">
        <f t="shared" si="46"/>
        <v>0.36101072393511269</v>
      </c>
      <c r="AG84" s="218">
        <f t="shared" si="46"/>
        <v>0.33356406712346476</v>
      </c>
      <c r="AH84" s="218">
        <f t="shared" si="46"/>
        <v>0.28369185882616055</v>
      </c>
      <c r="AI84" s="218">
        <f t="shared" si="46"/>
        <v>0.24830696391459162</v>
      </c>
      <c r="AJ84" s="218">
        <f t="shared" si="46"/>
        <v>0.2208603071029438</v>
      </c>
      <c r="AK84" s="218">
        <f t="shared" si="46"/>
        <v>0.17947422199853458</v>
      </c>
      <c r="AL84" s="218">
        <f t="shared" si="46"/>
        <v>0.14856254731998308</v>
      </c>
      <c r="AM84" s="218">
        <f t="shared" si="46"/>
        <v>0.10333239936456906</v>
      </c>
      <c r="AN84" s="218">
        <f t="shared" si="46"/>
        <v>0.08</v>
      </c>
      <c r="AO84" s="218">
        <f t="shared" si="46"/>
        <v>0.1</v>
      </c>
    </row>
    <row r="88" spans="8:41" x14ac:dyDescent="0.2">
      <c r="Y88" s="235" t="s">
        <v>17</v>
      </c>
      <c r="Z88" s="1">
        <f>C28</f>
        <v>281</v>
      </c>
      <c r="AB88" s="1" t="s">
        <v>103</v>
      </c>
      <c r="AD88" s="1" t="str">
        <f t="shared" ref="AD88:AN88" si="47">AD13</f>
        <v>0-40</v>
      </c>
      <c r="AE88" s="1" t="str">
        <f t="shared" si="47"/>
        <v>40-60</v>
      </c>
      <c r="AF88" s="1" t="str">
        <f t="shared" si="47"/>
        <v>60-80</v>
      </c>
      <c r="AG88" s="1" t="str">
        <f t="shared" si="47"/>
        <v>80-100</v>
      </c>
      <c r="AH88" s="1" t="str">
        <f t="shared" si="47"/>
        <v>100-150</v>
      </c>
      <c r="AI88" s="1" t="str">
        <f t="shared" si="47"/>
        <v>150-200</v>
      </c>
      <c r="AJ88" s="1" t="str">
        <f t="shared" si="47"/>
        <v>200-250</v>
      </c>
      <c r="AK88" s="1" t="str">
        <f t="shared" si="47"/>
        <v>250-350</v>
      </c>
      <c r="AL88" s="1" t="str">
        <f t="shared" si="47"/>
        <v>350-450</v>
      </c>
      <c r="AM88" s="1" t="str">
        <f t="shared" si="47"/>
        <v>450-650</v>
      </c>
      <c r="AN88" s="1" t="str">
        <f t="shared" si="47"/>
        <v>650-2000</v>
      </c>
    </row>
    <row r="89" spans="8:41" x14ac:dyDescent="0.2">
      <c r="AD89" s="1">
        <f t="shared" ref="AD89:AO89" si="48">AD6</f>
        <v>0</v>
      </c>
      <c r="AE89" s="1">
        <f t="shared" si="48"/>
        <v>40</v>
      </c>
      <c r="AF89" s="1">
        <f t="shared" si="48"/>
        <v>60</v>
      </c>
      <c r="AG89" s="1">
        <f t="shared" si="48"/>
        <v>80</v>
      </c>
      <c r="AH89" s="1">
        <f t="shared" si="48"/>
        <v>100</v>
      </c>
      <c r="AI89" s="1">
        <f t="shared" si="48"/>
        <v>150</v>
      </c>
      <c r="AJ89" s="1">
        <f t="shared" si="48"/>
        <v>200</v>
      </c>
      <c r="AK89" s="1">
        <f t="shared" si="48"/>
        <v>250</v>
      </c>
      <c r="AL89" s="1">
        <f t="shared" si="48"/>
        <v>350</v>
      </c>
      <c r="AM89" s="1">
        <f t="shared" si="48"/>
        <v>450</v>
      </c>
      <c r="AN89" s="1">
        <f t="shared" si="48"/>
        <v>650</v>
      </c>
      <c r="AO89" s="1">
        <f t="shared" si="48"/>
        <v>2000</v>
      </c>
    </row>
    <row r="90" spans="8:41" x14ac:dyDescent="0.2">
      <c r="Y90" s="235" t="s">
        <v>33</v>
      </c>
      <c r="Z90" s="1">
        <f>SUM(AD90:AO90)</f>
        <v>898629.10588623653</v>
      </c>
      <c r="AB90" s="1" t="s">
        <v>106</v>
      </c>
      <c r="AD90" s="1">
        <f>IF($Z$88&gt;AD89,(IF($Z$88-AE89&gt;0,(AE89-AD89)*$B$9*AD92,($Z$88-AD89)*$B$9*AD92)),0)</f>
        <v>242256</v>
      </c>
      <c r="AE90" s="1">
        <f t="shared" ref="AE90:AN90" si="49">IF($Z$88&gt;AE89,(IF($Z$88-AF89&gt;0,(AF89-AE89)*$B$9*AE92,($Z$88-AE89)*$B$9*AE92)),0)</f>
        <v>80024.347532768108</v>
      </c>
      <c r="AF90" s="1">
        <f t="shared" si="49"/>
        <v>72880.844948020545</v>
      </c>
      <c r="AG90" s="1">
        <f t="shared" si="49"/>
        <v>67339.913870885066</v>
      </c>
      <c r="AH90" s="1">
        <f t="shared" si="49"/>
        <v>143179.28114956323</v>
      </c>
      <c r="AI90" s="1">
        <f t="shared" si="49"/>
        <v>125320.52468769439</v>
      </c>
      <c r="AJ90" s="1">
        <f t="shared" si="49"/>
        <v>111468.19699485574</v>
      </c>
      <c r="AK90" s="1">
        <f t="shared" si="49"/>
        <v>56159.996702449447</v>
      </c>
      <c r="AL90" s="1">
        <f t="shared" si="49"/>
        <v>0</v>
      </c>
      <c r="AM90" s="1">
        <f t="shared" si="49"/>
        <v>0</v>
      </c>
      <c r="AN90" s="1">
        <f t="shared" si="49"/>
        <v>0</v>
      </c>
    </row>
    <row r="92" spans="8:41" x14ac:dyDescent="0.2">
      <c r="H92" s="22"/>
      <c r="I92" s="22"/>
      <c r="J92" s="22"/>
      <c r="K92" s="22"/>
      <c r="L92" s="22"/>
      <c r="M92" s="22"/>
      <c r="N92" s="22"/>
      <c r="O92" s="22"/>
      <c r="P92" s="22"/>
      <c r="Q92" s="22"/>
      <c r="R92" s="22"/>
      <c r="S92" s="22"/>
      <c r="T92" s="22"/>
      <c r="U92" s="22"/>
      <c r="V92" s="22"/>
      <c r="W92" s="22"/>
      <c r="AB92" s="1" t="s">
        <v>109</v>
      </c>
      <c r="AD92" s="218">
        <f t="shared" ref="AD92:AO92" si="50">AD9</f>
        <v>0.6</v>
      </c>
      <c r="AE92" s="218">
        <f t="shared" si="50"/>
        <v>0.39639561884668173</v>
      </c>
      <c r="AF92" s="218">
        <f t="shared" si="50"/>
        <v>0.36101072393511269</v>
      </c>
      <c r="AG92" s="218">
        <f t="shared" si="50"/>
        <v>0.33356406712346476</v>
      </c>
      <c r="AH92" s="218">
        <f t="shared" si="50"/>
        <v>0.28369185882616055</v>
      </c>
      <c r="AI92" s="218">
        <f t="shared" si="50"/>
        <v>0.24830696391459162</v>
      </c>
      <c r="AJ92" s="218">
        <f t="shared" si="50"/>
        <v>0.2208603071029438</v>
      </c>
      <c r="AK92" s="218">
        <f t="shared" si="50"/>
        <v>0.17947422199853458</v>
      </c>
      <c r="AL92" s="218">
        <f t="shared" si="50"/>
        <v>0.14856254731998308</v>
      </c>
      <c r="AM92" s="218">
        <f t="shared" si="50"/>
        <v>0.10333239936456906</v>
      </c>
      <c r="AN92" s="218">
        <f t="shared" si="50"/>
        <v>0.08</v>
      </c>
      <c r="AO92" s="218">
        <f t="shared" si="50"/>
        <v>0.1</v>
      </c>
    </row>
    <row r="93" spans="8:41" x14ac:dyDescent="0.2">
      <c r="H93" s="22"/>
      <c r="I93" s="22"/>
      <c r="J93" s="22"/>
      <c r="K93" s="22"/>
      <c r="L93" s="22"/>
      <c r="M93" s="22"/>
      <c r="N93" s="22"/>
      <c r="O93" s="22"/>
      <c r="P93" s="22"/>
      <c r="Q93" s="22"/>
      <c r="R93" s="22"/>
      <c r="S93" s="22"/>
      <c r="T93" s="22"/>
      <c r="U93" s="22"/>
      <c r="V93" s="22"/>
      <c r="W93" s="22"/>
    </row>
    <row r="94" spans="8:41" x14ac:dyDescent="0.2">
      <c r="H94" s="22"/>
      <c r="I94" s="22"/>
      <c r="J94" s="22"/>
      <c r="K94" s="22"/>
      <c r="L94" s="22"/>
      <c r="M94" s="22"/>
      <c r="N94" s="22"/>
      <c r="O94" s="22"/>
      <c r="P94" s="22"/>
      <c r="Q94" s="22"/>
      <c r="R94" s="22"/>
      <c r="S94" s="22"/>
      <c r="T94" s="22"/>
      <c r="U94" s="22"/>
      <c r="V94" s="22"/>
      <c r="W94" s="22"/>
    </row>
    <row r="95" spans="8:41" x14ac:dyDescent="0.2">
      <c r="Y95" s="235" t="s">
        <v>19</v>
      </c>
      <c r="Z95" s="1">
        <f>C29</f>
        <v>213</v>
      </c>
      <c r="AB95" s="1" t="s">
        <v>103</v>
      </c>
      <c r="AD95" s="1" t="str">
        <f t="shared" ref="AD95:AN95" si="51">AD13</f>
        <v>0-40</v>
      </c>
      <c r="AE95" s="1" t="str">
        <f t="shared" si="51"/>
        <v>40-60</v>
      </c>
      <c r="AF95" s="1" t="str">
        <f t="shared" si="51"/>
        <v>60-80</v>
      </c>
      <c r="AG95" s="1" t="str">
        <f t="shared" si="51"/>
        <v>80-100</v>
      </c>
      <c r="AH95" s="1" t="str">
        <f t="shared" si="51"/>
        <v>100-150</v>
      </c>
      <c r="AI95" s="1" t="str">
        <f t="shared" si="51"/>
        <v>150-200</v>
      </c>
      <c r="AJ95" s="1" t="str">
        <f t="shared" si="51"/>
        <v>200-250</v>
      </c>
      <c r="AK95" s="1" t="str">
        <f t="shared" si="51"/>
        <v>250-350</v>
      </c>
      <c r="AL95" s="1" t="str">
        <f t="shared" si="51"/>
        <v>350-450</v>
      </c>
      <c r="AM95" s="1" t="str">
        <f t="shared" si="51"/>
        <v>450-650</v>
      </c>
      <c r="AN95" s="1" t="str">
        <f t="shared" si="51"/>
        <v>650-2000</v>
      </c>
    </row>
    <row r="96" spans="8:41" x14ac:dyDescent="0.2">
      <c r="H96" s="22"/>
      <c r="I96" s="22"/>
      <c r="J96" s="22"/>
      <c r="K96" s="22"/>
      <c r="L96" s="22"/>
      <c r="M96" s="22"/>
      <c r="N96" s="22"/>
      <c r="O96" s="22"/>
      <c r="P96" s="22"/>
      <c r="Q96" s="22"/>
      <c r="R96" s="22"/>
      <c r="S96" s="22"/>
      <c r="T96" s="22"/>
      <c r="U96" s="22"/>
      <c r="V96" s="22"/>
      <c r="W96" s="22"/>
      <c r="AD96" s="1">
        <f t="shared" ref="AD96:AO96" si="52">AD6</f>
        <v>0</v>
      </c>
      <c r="AE96" s="1">
        <f t="shared" si="52"/>
        <v>40</v>
      </c>
      <c r="AF96" s="1">
        <f t="shared" si="52"/>
        <v>60</v>
      </c>
      <c r="AG96" s="1">
        <f t="shared" si="52"/>
        <v>80</v>
      </c>
      <c r="AH96" s="1">
        <f t="shared" si="52"/>
        <v>100</v>
      </c>
      <c r="AI96" s="1">
        <f t="shared" si="52"/>
        <v>150</v>
      </c>
      <c r="AJ96" s="1">
        <f t="shared" si="52"/>
        <v>200</v>
      </c>
      <c r="AK96" s="1">
        <f t="shared" si="52"/>
        <v>250</v>
      </c>
      <c r="AL96" s="1">
        <f t="shared" si="52"/>
        <v>350</v>
      </c>
      <c r="AM96" s="1">
        <f t="shared" si="52"/>
        <v>450</v>
      </c>
      <c r="AN96" s="1">
        <f t="shared" si="52"/>
        <v>650</v>
      </c>
      <c r="AO96" s="1">
        <f t="shared" si="52"/>
        <v>2000</v>
      </c>
    </row>
    <row r="97" spans="8:41" x14ac:dyDescent="0.2">
      <c r="Y97" s="235" t="s">
        <v>33</v>
      </c>
      <c r="Z97" s="1">
        <f>SUM(AD97:AO97)</f>
        <v>759982.64340759383</v>
      </c>
      <c r="AB97" s="1" t="s">
        <v>106</v>
      </c>
      <c r="AD97" s="1">
        <f>IF($Z$95&gt;AD96,(IF($Z$95-AE96&gt;0,(AE96-AD96)*$B$9*AD99,($Z$95-AD96)*$B$9*AD99)),0)</f>
        <v>242256</v>
      </c>
      <c r="AE97" s="1">
        <f t="shared" ref="AE97:AN97" si="53">IF($Z$95&gt;AE96,(IF($Z$95-AF96&gt;0,(AF96-AE96)*$B$9*AE99,($Z$95-AE96)*$B$9*AE99)),0)</f>
        <v>80024.347532768108</v>
      </c>
      <c r="AF97" s="1">
        <f t="shared" si="53"/>
        <v>72880.844948020545</v>
      </c>
      <c r="AG97" s="1">
        <f t="shared" si="53"/>
        <v>67339.913870885066</v>
      </c>
      <c r="AH97" s="1">
        <f t="shared" si="53"/>
        <v>143179.28114956323</v>
      </c>
      <c r="AI97" s="1">
        <f t="shared" si="53"/>
        <v>125320.52468769439</v>
      </c>
      <c r="AJ97" s="1">
        <f t="shared" si="53"/>
        <v>28981.731218662491</v>
      </c>
      <c r="AK97" s="1">
        <f t="shared" si="53"/>
        <v>0</v>
      </c>
      <c r="AL97" s="1">
        <f t="shared" si="53"/>
        <v>0</v>
      </c>
      <c r="AM97" s="1">
        <f t="shared" si="53"/>
        <v>0</v>
      </c>
      <c r="AN97" s="1">
        <f t="shared" si="53"/>
        <v>0</v>
      </c>
    </row>
    <row r="99" spans="8:41" x14ac:dyDescent="0.2">
      <c r="AB99" s="1" t="s">
        <v>109</v>
      </c>
      <c r="AD99" s="218">
        <f t="shared" ref="AD99:AO99" si="54">AD9</f>
        <v>0.6</v>
      </c>
      <c r="AE99" s="218">
        <f t="shared" si="54"/>
        <v>0.39639561884668173</v>
      </c>
      <c r="AF99" s="218">
        <f t="shared" si="54"/>
        <v>0.36101072393511269</v>
      </c>
      <c r="AG99" s="218">
        <f t="shared" si="54"/>
        <v>0.33356406712346476</v>
      </c>
      <c r="AH99" s="218">
        <f t="shared" si="54"/>
        <v>0.28369185882616055</v>
      </c>
      <c r="AI99" s="218">
        <f t="shared" si="54"/>
        <v>0.24830696391459162</v>
      </c>
      <c r="AJ99" s="218">
        <f t="shared" si="54"/>
        <v>0.2208603071029438</v>
      </c>
      <c r="AK99" s="218">
        <f t="shared" si="54"/>
        <v>0.17947422199853458</v>
      </c>
      <c r="AL99" s="218">
        <f t="shared" si="54"/>
        <v>0.14856254731998308</v>
      </c>
      <c r="AM99" s="218">
        <f t="shared" si="54"/>
        <v>0.10333239936456906</v>
      </c>
      <c r="AN99" s="218">
        <f t="shared" si="54"/>
        <v>0.08</v>
      </c>
      <c r="AO99" s="218">
        <f t="shared" si="54"/>
        <v>0.1</v>
      </c>
    </row>
    <row r="103" spans="8:41" x14ac:dyDescent="0.2">
      <c r="H103" s="22"/>
      <c r="Y103" s="235" t="s">
        <v>10</v>
      </c>
      <c r="Z103" s="1">
        <f>C30</f>
        <v>320</v>
      </c>
      <c r="AB103" s="1" t="s">
        <v>103</v>
      </c>
      <c r="AD103" s="1" t="str">
        <f t="shared" ref="AD103:AN103" si="55">AD13</f>
        <v>0-40</v>
      </c>
      <c r="AE103" s="1" t="str">
        <f t="shared" si="55"/>
        <v>40-60</v>
      </c>
      <c r="AF103" s="1" t="str">
        <f t="shared" si="55"/>
        <v>60-80</v>
      </c>
      <c r="AG103" s="1" t="str">
        <f t="shared" si="55"/>
        <v>80-100</v>
      </c>
      <c r="AH103" s="1" t="str">
        <f t="shared" si="55"/>
        <v>100-150</v>
      </c>
      <c r="AI103" s="1" t="str">
        <f t="shared" si="55"/>
        <v>150-200</v>
      </c>
      <c r="AJ103" s="1" t="str">
        <f t="shared" si="55"/>
        <v>200-250</v>
      </c>
      <c r="AK103" s="1" t="str">
        <f t="shared" si="55"/>
        <v>250-350</v>
      </c>
      <c r="AL103" s="1" t="str">
        <f t="shared" si="55"/>
        <v>350-450</v>
      </c>
      <c r="AM103" s="1" t="str">
        <f t="shared" si="55"/>
        <v>450-650</v>
      </c>
      <c r="AN103" s="1" t="str">
        <f t="shared" si="55"/>
        <v>650-2000</v>
      </c>
    </row>
    <row r="104" spans="8:41" x14ac:dyDescent="0.2">
      <c r="AD104" s="1">
        <f t="shared" ref="AD104:AO104" si="56">AD6</f>
        <v>0</v>
      </c>
      <c r="AE104" s="1">
        <f t="shared" si="56"/>
        <v>40</v>
      </c>
      <c r="AF104" s="1">
        <f t="shared" si="56"/>
        <v>60</v>
      </c>
      <c r="AG104" s="1">
        <f t="shared" si="56"/>
        <v>80</v>
      </c>
      <c r="AH104" s="1">
        <f t="shared" si="56"/>
        <v>100</v>
      </c>
      <c r="AI104" s="1">
        <f t="shared" si="56"/>
        <v>150</v>
      </c>
      <c r="AJ104" s="1">
        <f t="shared" si="56"/>
        <v>200</v>
      </c>
      <c r="AK104" s="1">
        <f t="shared" si="56"/>
        <v>250</v>
      </c>
      <c r="AL104" s="1">
        <f t="shared" si="56"/>
        <v>350</v>
      </c>
      <c r="AM104" s="1">
        <f t="shared" si="56"/>
        <v>450</v>
      </c>
      <c r="AN104" s="1">
        <f t="shared" si="56"/>
        <v>650</v>
      </c>
      <c r="AO104" s="1">
        <f t="shared" si="56"/>
        <v>2000</v>
      </c>
    </row>
    <row r="105" spans="8:41" x14ac:dyDescent="0.2">
      <c r="Y105" s="235" t="s">
        <v>33</v>
      </c>
      <c r="Z105" s="1">
        <f>SUM(AD105:AO105)</f>
        <v>969282.00496351172</v>
      </c>
      <c r="AB105" s="1" t="s">
        <v>106</v>
      </c>
      <c r="AD105" s="1">
        <f>IF($Z$103&gt;AD104,(IF($Z$103-AE104&gt;0,(AE104-AD104)*$B$9*AD107,($Z$103-AD104)*$B$9*AD107)),0)</f>
        <v>242256</v>
      </c>
      <c r="AE105" s="1">
        <f t="shared" ref="AE105:AN105" si="57">IF($Z$103&gt;AE104,(IF($Z$103-AF104&gt;0,(AF104-AE104)*$B$9*AE107,($Z$103-AE104)*$B$9*AE107)),0)</f>
        <v>80024.347532768108</v>
      </c>
      <c r="AF105" s="1">
        <f t="shared" si="57"/>
        <v>72880.844948020545</v>
      </c>
      <c r="AG105" s="1">
        <f t="shared" si="57"/>
        <v>67339.913870885066</v>
      </c>
      <c r="AH105" s="1">
        <f t="shared" si="57"/>
        <v>143179.28114956323</v>
      </c>
      <c r="AI105" s="1">
        <f t="shared" si="57"/>
        <v>125320.52468769439</v>
      </c>
      <c r="AJ105" s="1">
        <f t="shared" si="57"/>
        <v>111468.19699485574</v>
      </c>
      <c r="AK105" s="1">
        <f t="shared" si="57"/>
        <v>126812.89577972457</v>
      </c>
      <c r="AL105" s="1">
        <f t="shared" si="57"/>
        <v>0</v>
      </c>
      <c r="AM105" s="1">
        <f t="shared" si="57"/>
        <v>0</v>
      </c>
      <c r="AN105" s="1">
        <f t="shared" si="57"/>
        <v>0</v>
      </c>
    </row>
    <row r="107" spans="8:41" x14ac:dyDescent="0.2">
      <c r="AB107" s="1" t="s">
        <v>109</v>
      </c>
      <c r="AD107" s="218">
        <f t="shared" ref="AD107:AO107" si="58">AD9</f>
        <v>0.6</v>
      </c>
      <c r="AE107" s="218">
        <f t="shared" si="58"/>
        <v>0.39639561884668173</v>
      </c>
      <c r="AF107" s="218">
        <f t="shared" si="58"/>
        <v>0.36101072393511269</v>
      </c>
      <c r="AG107" s="218">
        <f t="shared" si="58"/>
        <v>0.33356406712346476</v>
      </c>
      <c r="AH107" s="218">
        <f t="shared" si="58"/>
        <v>0.28369185882616055</v>
      </c>
      <c r="AI107" s="218">
        <f t="shared" si="58"/>
        <v>0.24830696391459162</v>
      </c>
      <c r="AJ107" s="218">
        <f t="shared" si="58"/>
        <v>0.2208603071029438</v>
      </c>
      <c r="AK107" s="218">
        <f t="shared" si="58"/>
        <v>0.17947422199853458</v>
      </c>
      <c r="AL107" s="218">
        <f t="shared" si="58"/>
        <v>0.14856254731998308</v>
      </c>
      <c r="AM107" s="218">
        <f t="shared" si="58"/>
        <v>0.10333239936456906</v>
      </c>
      <c r="AN107" s="218">
        <f t="shared" si="58"/>
        <v>0.08</v>
      </c>
      <c r="AO107" s="218">
        <f t="shared" si="58"/>
        <v>0.1</v>
      </c>
    </row>
    <row r="110" spans="8:41" x14ac:dyDescent="0.2">
      <c r="H110" s="22"/>
      <c r="I110" s="22"/>
      <c r="J110" s="22"/>
      <c r="K110" s="22"/>
      <c r="L110" s="22"/>
      <c r="M110" s="22"/>
      <c r="N110" s="22"/>
      <c r="O110" s="22"/>
      <c r="P110" s="22"/>
      <c r="Q110" s="22"/>
      <c r="R110" s="22"/>
      <c r="S110" s="22"/>
      <c r="T110" s="22"/>
      <c r="U110" s="22"/>
      <c r="V110" s="22"/>
      <c r="W110" s="22"/>
      <c r="Y110" s="235" t="s">
        <v>14</v>
      </c>
      <c r="Z110" s="1">
        <f>C31</f>
        <v>509</v>
      </c>
      <c r="AB110" s="1" t="s">
        <v>103</v>
      </c>
      <c r="AD110" s="1" t="str">
        <f t="shared" ref="AD110:AN110" si="59">AD13</f>
        <v>0-40</v>
      </c>
      <c r="AE110" s="1" t="str">
        <f t="shared" si="59"/>
        <v>40-60</v>
      </c>
      <c r="AF110" s="1" t="str">
        <f t="shared" si="59"/>
        <v>60-80</v>
      </c>
      <c r="AG110" s="1" t="str">
        <f t="shared" si="59"/>
        <v>80-100</v>
      </c>
      <c r="AH110" s="1" t="str">
        <f t="shared" si="59"/>
        <v>100-150</v>
      </c>
      <c r="AI110" s="1" t="str">
        <f t="shared" si="59"/>
        <v>150-200</v>
      </c>
      <c r="AJ110" s="1" t="str">
        <f t="shared" si="59"/>
        <v>200-250</v>
      </c>
      <c r="AK110" s="1" t="str">
        <f t="shared" si="59"/>
        <v>250-350</v>
      </c>
      <c r="AL110" s="1" t="str">
        <f t="shared" si="59"/>
        <v>350-450</v>
      </c>
      <c r="AM110" s="1" t="str">
        <f t="shared" si="59"/>
        <v>450-650</v>
      </c>
      <c r="AN110" s="1" t="str">
        <f t="shared" si="59"/>
        <v>650-2000</v>
      </c>
    </row>
    <row r="111" spans="8:41" x14ac:dyDescent="0.2">
      <c r="H111" s="22"/>
      <c r="I111" s="22"/>
      <c r="J111" s="22"/>
      <c r="K111" s="22"/>
      <c r="L111" s="22"/>
      <c r="M111" s="22"/>
      <c r="N111" s="22"/>
      <c r="O111" s="22"/>
      <c r="P111" s="22"/>
      <c r="Q111" s="22"/>
      <c r="R111" s="22"/>
      <c r="S111" s="22"/>
      <c r="T111" s="22"/>
      <c r="U111" s="22"/>
      <c r="V111" s="22"/>
      <c r="W111" s="22"/>
      <c r="AD111" s="1">
        <f t="shared" ref="AD111:AO111" si="60">AD6</f>
        <v>0</v>
      </c>
      <c r="AE111" s="1">
        <f t="shared" si="60"/>
        <v>40</v>
      </c>
      <c r="AF111" s="1">
        <f t="shared" si="60"/>
        <v>60</v>
      </c>
      <c r="AG111" s="1">
        <f t="shared" si="60"/>
        <v>80</v>
      </c>
      <c r="AH111" s="1">
        <f t="shared" si="60"/>
        <v>100</v>
      </c>
      <c r="AI111" s="1">
        <f t="shared" si="60"/>
        <v>150</v>
      </c>
      <c r="AJ111" s="1">
        <f t="shared" si="60"/>
        <v>200</v>
      </c>
      <c r="AK111" s="1">
        <f t="shared" si="60"/>
        <v>250</v>
      </c>
      <c r="AL111" s="1">
        <f t="shared" si="60"/>
        <v>350</v>
      </c>
      <c r="AM111" s="1">
        <f t="shared" si="60"/>
        <v>450</v>
      </c>
      <c r="AN111" s="1">
        <f t="shared" si="60"/>
        <v>650</v>
      </c>
      <c r="AO111" s="1">
        <f t="shared" si="60"/>
        <v>2000</v>
      </c>
    </row>
    <row r="112" spans="8:41" x14ac:dyDescent="0.2">
      <c r="Y112" s="235" t="s">
        <v>33</v>
      </c>
      <c r="Z112" s="1">
        <f>SUM(AD112:AO112)</f>
        <v>1235128.6212458706</v>
      </c>
      <c r="AB112" s="1" t="s">
        <v>106</v>
      </c>
      <c r="AD112" s="1">
        <f>IF($Z$110&gt;AD111,(IF($Z$110-AE111&gt;0,(AE111-AD111)*$B$9*AD114,($Z$110-AD111)*$B$9*AD114)),0)</f>
        <v>242256</v>
      </c>
      <c r="AE112" s="1">
        <f t="shared" ref="AE112:AN112" si="61">IF($Z$110&gt;AE111,(IF($Z$110-AF111&gt;0,(AF111-AE111)*$B$9*AE114,($Z$110-AE111)*$B$9*AE114)),0)</f>
        <v>80024.347532768108</v>
      </c>
      <c r="AF112" s="1">
        <f t="shared" si="61"/>
        <v>72880.844948020545</v>
      </c>
      <c r="AG112" s="1">
        <f t="shared" si="61"/>
        <v>67339.913870885066</v>
      </c>
      <c r="AH112" s="1">
        <f t="shared" si="61"/>
        <v>143179.28114956323</v>
      </c>
      <c r="AI112" s="1">
        <f t="shared" si="61"/>
        <v>125320.52468769439</v>
      </c>
      <c r="AJ112" s="1">
        <f t="shared" si="61"/>
        <v>111468.19699485574</v>
      </c>
      <c r="AK112" s="1">
        <f t="shared" si="61"/>
        <v>181161.2796853208</v>
      </c>
      <c r="AL112" s="1">
        <f t="shared" si="61"/>
        <v>149959.03526479093</v>
      </c>
      <c r="AM112" s="1">
        <f t="shared" si="61"/>
        <v>61539.197111971647</v>
      </c>
      <c r="AN112" s="1">
        <f t="shared" si="61"/>
        <v>0</v>
      </c>
    </row>
    <row r="113" spans="7:41" x14ac:dyDescent="0.2">
      <c r="G113" s="24"/>
      <c r="H113" s="281"/>
      <c r="I113" s="281"/>
      <c r="J113" s="281"/>
      <c r="K113" s="281"/>
      <c r="L113" s="281"/>
      <c r="M113" s="281"/>
      <c r="N113" s="281"/>
      <c r="O113" s="281"/>
      <c r="P113" s="281"/>
      <c r="Q113" s="281"/>
      <c r="R113" s="281"/>
      <c r="S113" s="281"/>
      <c r="T113" s="281"/>
      <c r="U113" s="281"/>
      <c r="V113" s="281"/>
      <c r="W113" s="281"/>
    </row>
    <row r="114" spans="7:41" x14ac:dyDescent="0.2">
      <c r="H114" s="25"/>
      <c r="I114" s="25"/>
      <c r="J114" s="25"/>
      <c r="K114" s="25"/>
      <c r="L114" s="25"/>
      <c r="M114" s="25"/>
      <c r="N114" s="25"/>
      <c r="O114" s="25"/>
      <c r="P114" s="25"/>
      <c r="Q114" s="25"/>
      <c r="R114" s="25"/>
      <c r="S114" s="25"/>
      <c r="T114" s="25"/>
      <c r="U114" s="25"/>
      <c r="V114" s="25"/>
      <c r="W114" s="25"/>
      <c r="AB114" s="1" t="s">
        <v>109</v>
      </c>
      <c r="AD114" s="218">
        <f t="shared" ref="AD114:AO114" si="62">AD9</f>
        <v>0.6</v>
      </c>
      <c r="AE114" s="218">
        <f t="shared" si="62"/>
        <v>0.39639561884668173</v>
      </c>
      <c r="AF114" s="218">
        <f t="shared" si="62"/>
        <v>0.36101072393511269</v>
      </c>
      <c r="AG114" s="218">
        <f t="shared" si="62"/>
        <v>0.33356406712346476</v>
      </c>
      <c r="AH114" s="218">
        <f t="shared" si="62"/>
        <v>0.28369185882616055</v>
      </c>
      <c r="AI114" s="218">
        <f t="shared" si="62"/>
        <v>0.24830696391459162</v>
      </c>
      <c r="AJ114" s="218">
        <f t="shared" si="62"/>
        <v>0.2208603071029438</v>
      </c>
      <c r="AK114" s="218">
        <f t="shared" si="62"/>
        <v>0.17947422199853458</v>
      </c>
      <c r="AL114" s="218">
        <f t="shared" si="62"/>
        <v>0.14856254731998308</v>
      </c>
      <c r="AM114" s="218">
        <f t="shared" si="62"/>
        <v>0.10333239936456906</v>
      </c>
      <c r="AN114" s="218">
        <f t="shared" si="62"/>
        <v>0.08</v>
      </c>
      <c r="AO114" s="218">
        <f t="shared" si="62"/>
        <v>0.1</v>
      </c>
    </row>
    <row r="115" spans="7:41" x14ac:dyDescent="0.2">
      <c r="H115" s="115"/>
      <c r="I115" s="115"/>
      <c r="J115" s="115"/>
      <c r="K115" s="115"/>
      <c r="L115" s="115"/>
      <c r="M115" s="115"/>
      <c r="N115" s="115"/>
      <c r="O115" s="115"/>
      <c r="P115" s="115"/>
      <c r="Q115" s="115"/>
      <c r="R115" s="115"/>
      <c r="S115" s="115"/>
      <c r="T115" s="115"/>
      <c r="U115" s="115"/>
      <c r="V115" s="115"/>
      <c r="W115" s="115"/>
    </row>
    <row r="118" spans="7:41" x14ac:dyDescent="0.2">
      <c r="Y118" s="235" t="s">
        <v>23</v>
      </c>
      <c r="Z118" s="1">
        <f>C32</f>
        <v>1125</v>
      </c>
      <c r="AB118" s="1" t="s">
        <v>103</v>
      </c>
      <c r="AD118" s="1" t="str">
        <f t="shared" ref="AD118:AN118" si="63">AD110</f>
        <v>0-40</v>
      </c>
      <c r="AE118" s="1" t="str">
        <f t="shared" si="63"/>
        <v>40-60</v>
      </c>
      <c r="AF118" s="1" t="str">
        <f t="shared" si="63"/>
        <v>60-80</v>
      </c>
      <c r="AG118" s="1" t="str">
        <f t="shared" si="63"/>
        <v>80-100</v>
      </c>
      <c r="AH118" s="1" t="str">
        <f t="shared" si="63"/>
        <v>100-150</v>
      </c>
      <c r="AI118" s="1" t="str">
        <f t="shared" si="63"/>
        <v>150-200</v>
      </c>
      <c r="AJ118" s="1" t="str">
        <f t="shared" si="63"/>
        <v>200-250</v>
      </c>
      <c r="AK118" s="1" t="str">
        <f t="shared" si="63"/>
        <v>250-350</v>
      </c>
      <c r="AL118" s="1" t="str">
        <f t="shared" si="63"/>
        <v>350-450</v>
      </c>
      <c r="AM118" s="1" t="str">
        <f t="shared" si="63"/>
        <v>450-650</v>
      </c>
      <c r="AN118" s="1" t="str">
        <f t="shared" si="63"/>
        <v>650-2000</v>
      </c>
    </row>
    <row r="119" spans="7:41" x14ac:dyDescent="0.2">
      <c r="AD119" s="1">
        <f t="shared" ref="AD119:AO119" si="64">AD6</f>
        <v>0</v>
      </c>
      <c r="AE119" s="1">
        <f t="shared" si="64"/>
        <v>40</v>
      </c>
      <c r="AF119" s="1">
        <f t="shared" si="64"/>
        <v>60</v>
      </c>
      <c r="AG119" s="1">
        <f t="shared" si="64"/>
        <v>80</v>
      </c>
      <c r="AH119" s="1">
        <f t="shared" si="64"/>
        <v>100</v>
      </c>
      <c r="AI119" s="1">
        <f t="shared" si="64"/>
        <v>150</v>
      </c>
      <c r="AJ119" s="1">
        <f t="shared" si="64"/>
        <v>200</v>
      </c>
      <c r="AK119" s="1">
        <f t="shared" si="64"/>
        <v>250</v>
      </c>
      <c r="AL119" s="1">
        <f t="shared" si="64"/>
        <v>350</v>
      </c>
      <c r="AM119" s="1">
        <f t="shared" si="64"/>
        <v>450</v>
      </c>
      <c r="AN119" s="1">
        <f t="shared" si="64"/>
        <v>650</v>
      </c>
      <c r="AO119" s="1">
        <f t="shared" si="64"/>
        <v>2000</v>
      </c>
    </row>
    <row r="120" spans="7:41" x14ac:dyDescent="0.2">
      <c r="Y120" s="235" t="s">
        <v>33</v>
      </c>
      <c r="Z120" s="1">
        <f>SUM(AD120:AO120)</f>
        <v>1765768.871971091</v>
      </c>
      <c r="AB120" s="1" t="s">
        <v>106</v>
      </c>
      <c r="AD120" s="1">
        <f>IF($Z$118&gt;AD119,(IF($Z$118-AE119&gt;0,(AE119-AD119)*$B$9*AD122,($Z$118-AD119)*$B$9*AD122)),0)</f>
        <v>242256</v>
      </c>
      <c r="AE120" s="1">
        <f t="shared" ref="AE120:AN120" si="65">IF($Z$118&gt;AE119,(IF($Z$118-AF119&gt;0,(AF119-AE119)*$B$9*AE122,($Z$118-AE119)*$B$9*AE122)),0)</f>
        <v>80024.347532768108</v>
      </c>
      <c r="AF120" s="1">
        <f t="shared" si="65"/>
        <v>72880.844948020545</v>
      </c>
      <c r="AG120" s="1">
        <f t="shared" si="65"/>
        <v>67339.913870885066</v>
      </c>
      <c r="AH120" s="1">
        <f t="shared" si="65"/>
        <v>143179.28114956323</v>
      </c>
      <c r="AI120" s="1">
        <f t="shared" si="65"/>
        <v>125320.52468769439</v>
      </c>
      <c r="AJ120" s="1">
        <f t="shared" si="65"/>
        <v>111468.19699485574</v>
      </c>
      <c r="AK120" s="1">
        <f t="shared" si="65"/>
        <v>181161.2796853208</v>
      </c>
      <c r="AL120" s="1">
        <f t="shared" si="65"/>
        <v>149959.03526479093</v>
      </c>
      <c r="AM120" s="1">
        <f t="shared" si="65"/>
        <v>208607.44783719201</v>
      </c>
      <c r="AN120" s="1">
        <f t="shared" si="65"/>
        <v>383572</v>
      </c>
    </row>
    <row r="122" spans="7:41" x14ac:dyDescent="0.2">
      <c r="AB122" s="1" t="s">
        <v>109</v>
      </c>
      <c r="AD122" s="218">
        <f t="shared" ref="AD122:AO122" si="66">AD9</f>
        <v>0.6</v>
      </c>
      <c r="AE122" s="218">
        <f t="shared" si="66"/>
        <v>0.39639561884668173</v>
      </c>
      <c r="AF122" s="218">
        <f t="shared" si="66"/>
        <v>0.36101072393511269</v>
      </c>
      <c r="AG122" s="218">
        <f t="shared" si="66"/>
        <v>0.33356406712346476</v>
      </c>
      <c r="AH122" s="218">
        <f t="shared" si="66"/>
        <v>0.28369185882616055</v>
      </c>
      <c r="AI122" s="218">
        <f t="shared" si="66"/>
        <v>0.24830696391459162</v>
      </c>
      <c r="AJ122" s="218">
        <f t="shared" si="66"/>
        <v>0.2208603071029438</v>
      </c>
      <c r="AK122" s="218">
        <f t="shared" si="66"/>
        <v>0.17947422199853458</v>
      </c>
      <c r="AL122" s="218">
        <f t="shared" si="66"/>
        <v>0.14856254731998308</v>
      </c>
      <c r="AM122" s="218">
        <f t="shared" si="66"/>
        <v>0.10333239936456906</v>
      </c>
      <c r="AN122" s="218">
        <f t="shared" si="66"/>
        <v>0.08</v>
      </c>
      <c r="AO122" s="218">
        <f t="shared" si="66"/>
        <v>0.1</v>
      </c>
    </row>
    <row r="125" spans="7:41" x14ac:dyDescent="0.2">
      <c r="Y125" s="235" t="s">
        <v>138</v>
      </c>
      <c r="Z125" s="1">
        <f>SUM(Z118+Z110+Z103+Z95+Z88+Z80+Z73+Z65+Z58+Z50+Z43+Z35+Z28+Z20+Z13+Z5)</f>
        <v>3168</v>
      </c>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244"/>
  <sheetViews>
    <sheetView topLeftCell="A52" zoomScale="70" zoomScaleNormal="70" workbookViewId="0">
      <selection activeCell="D181" sqref="D181:S181"/>
    </sheetView>
  </sheetViews>
  <sheetFormatPr defaultColWidth="8.88671875" defaultRowHeight="15" x14ac:dyDescent="0.2"/>
  <cols>
    <col min="1" max="1" width="2.21875" style="1" customWidth="1"/>
    <col min="2" max="2" width="2" style="1" customWidth="1"/>
    <col min="3" max="3" width="32.6640625" style="1" customWidth="1"/>
    <col min="4" max="4" width="13.77734375" style="1" customWidth="1"/>
    <col min="5" max="5" width="17.21875" style="1" bestFit="1" customWidth="1"/>
    <col min="6" max="6" width="13.6640625" style="1" bestFit="1" customWidth="1"/>
    <col min="7" max="7" width="12.109375" style="1" customWidth="1"/>
    <col min="8" max="8" width="14.6640625" style="1" customWidth="1"/>
    <col min="9" max="9" width="15.77734375" style="1" customWidth="1"/>
    <col min="10" max="10" width="15.88671875" style="1" customWidth="1"/>
    <col min="11" max="11" width="12.109375" style="1" customWidth="1"/>
    <col min="12" max="12" width="10.6640625" style="1" customWidth="1"/>
    <col min="13" max="13" width="10.77734375" style="1" customWidth="1"/>
    <col min="14" max="14" width="9.44140625" style="1" bestFit="1" customWidth="1"/>
    <col min="15" max="15" width="13.6640625" style="1" bestFit="1" customWidth="1"/>
    <col min="16" max="16" width="9.109375" style="1" bestFit="1" customWidth="1"/>
    <col min="17" max="17" width="10.5546875" style="1" bestFit="1" customWidth="1"/>
    <col min="18" max="18" width="13.6640625" style="1" bestFit="1" customWidth="1"/>
    <col min="19" max="19" width="11.5546875" style="1" customWidth="1"/>
    <col min="20" max="20" width="14.77734375" style="1" customWidth="1"/>
    <col min="21" max="21" width="15.88671875" style="1" customWidth="1"/>
    <col min="22" max="22" width="5.44140625" style="1" customWidth="1"/>
    <col min="23" max="16384" width="8.88671875" style="1"/>
  </cols>
  <sheetData>
    <row r="2" spans="3:8" ht="23.25" thickBot="1" x14ac:dyDescent="0.35">
      <c r="C2" s="225" t="s">
        <v>65</v>
      </c>
      <c r="D2" s="121"/>
      <c r="E2" s="120"/>
      <c r="F2" s="120"/>
      <c r="G2" s="120"/>
    </row>
    <row r="3" spans="3:8" ht="15.75" thickTop="1" x14ac:dyDescent="0.2"/>
    <row r="5" spans="3:8" ht="17.25" customHeight="1" thickBot="1" x14ac:dyDescent="0.3">
      <c r="C5" s="223" t="s">
        <v>98</v>
      </c>
      <c r="D5" s="224"/>
      <c r="E5" s="224"/>
      <c r="F5" s="224"/>
      <c r="G5" s="224"/>
      <c r="H5" s="224"/>
    </row>
    <row r="6" spans="3:8" ht="17.25" hidden="1" customHeight="1" thickTop="1" x14ac:dyDescent="0.2"/>
    <row r="7" spans="3:8" ht="17.25" hidden="1" customHeight="1" x14ac:dyDescent="0.2"/>
    <row r="8" spans="3:8" ht="17.25" hidden="1" customHeight="1" x14ac:dyDescent="0.2"/>
    <row r="9" spans="3:8" ht="17.25" hidden="1" customHeight="1" x14ac:dyDescent="0.2"/>
    <row r="10" spans="3:8" ht="17.25" hidden="1" customHeight="1" x14ac:dyDescent="0.2"/>
    <row r="11" spans="3:8" ht="17.25" hidden="1" customHeight="1" x14ac:dyDescent="0.2"/>
    <row r="12" spans="3:8" ht="17.25" hidden="1" customHeight="1" x14ac:dyDescent="0.2"/>
    <row r="13" spans="3:8" ht="17.25" hidden="1" customHeight="1" x14ac:dyDescent="0.2"/>
    <row r="14" spans="3:8" ht="17.25" hidden="1" customHeight="1" x14ac:dyDescent="0.2"/>
    <row r="15" spans="3:8" ht="17.25" hidden="1" customHeight="1" x14ac:dyDescent="0.2"/>
    <row r="16" spans="3:8" ht="15" hidden="1" customHeight="1" x14ac:dyDescent="0.2"/>
    <row r="17" spans="2:13" ht="15" hidden="1" customHeight="1" x14ac:dyDescent="0.2"/>
    <row r="18" spans="2:13" ht="15" hidden="1" customHeight="1" x14ac:dyDescent="0.2"/>
    <row r="19" spans="2:13" ht="15" hidden="1" customHeight="1" x14ac:dyDescent="0.2"/>
    <row r="20" spans="2:13" ht="15" hidden="1" customHeight="1" x14ac:dyDescent="0.2"/>
    <row r="21" spans="2:13" ht="15" hidden="1" customHeight="1" x14ac:dyDescent="0.2"/>
    <row r="22" spans="2:13" ht="15" hidden="1" customHeight="1" x14ac:dyDescent="0.2"/>
    <row r="23" spans="2:13" ht="15" hidden="1" customHeight="1" x14ac:dyDescent="0.2"/>
    <row r="24" spans="2:13" ht="15" hidden="1" customHeight="1" x14ac:dyDescent="0.2"/>
    <row r="25" spans="2:13" ht="15.75" thickTop="1" x14ac:dyDescent="0.2"/>
    <row r="27" spans="2:13" ht="17.25" thickBot="1" x14ac:dyDescent="0.3">
      <c r="B27" s="34"/>
      <c r="C27" s="227" t="s">
        <v>97</v>
      </c>
      <c r="D27" s="227"/>
      <c r="E27" s="227"/>
      <c r="F27" s="227"/>
      <c r="G27" s="227"/>
      <c r="H27" s="226"/>
    </row>
    <row r="28" spans="2:13" ht="15.75" thickTop="1" x14ac:dyDescent="0.2">
      <c r="H28" s="9"/>
      <c r="I28" s="9"/>
      <c r="J28" s="9"/>
    </row>
    <row r="29" spans="2:13" ht="15.75" x14ac:dyDescent="0.25">
      <c r="H29" s="9"/>
      <c r="I29" s="46"/>
      <c r="J29" s="9"/>
      <c r="L29" s="9"/>
    </row>
    <row r="30" spans="2:13" ht="15.75" x14ac:dyDescent="0.25">
      <c r="H30" s="9"/>
      <c r="I30" s="46"/>
      <c r="J30" s="124"/>
      <c r="L30" s="123"/>
      <c r="M30" s="45"/>
    </row>
    <row r="31" spans="2:13" ht="15.75" x14ac:dyDescent="0.25">
      <c r="H31" s="9"/>
      <c r="I31" s="46"/>
      <c r="J31" s="124"/>
      <c r="L31" s="46"/>
      <c r="M31" s="46"/>
    </row>
    <row r="32" spans="2:13" ht="15.75" x14ac:dyDescent="0.25">
      <c r="H32" s="9"/>
      <c r="I32" s="46"/>
      <c r="J32" s="124"/>
      <c r="L32" s="125"/>
      <c r="M32" s="46"/>
    </row>
    <row r="33" spans="1:23" ht="15.75" x14ac:dyDescent="0.25">
      <c r="H33" s="9"/>
      <c r="I33" s="46"/>
      <c r="J33" s="124"/>
      <c r="K33" s="9"/>
      <c r="L33" s="125"/>
      <c r="M33" s="46"/>
    </row>
    <row r="34" spans="1:23" ht="15.75" x14ac:dyDescent="0.25">
      <c r="H34" s="9"/>
      <c r="I34" s="46"/>
      <c r="J34" s="124"/>
      <c r="K34" s="9"/>
      <c r="L34" s="125"/>
      <c r="M34" s="46"/>
    </row>
    <row r="35" spans="1:23" ht="15.75" x14ac:dyDescent="0.25">
      <c r="H35" s="9"/>
      <c r="I35" s="9"/>
      <c r="J35" s="46"/>
      <c r="K35" s="124"/>
      <c r="L35" s="125"/>
      <c r="M35" s="46"/>
    </row>
    <row r="36" spans="1:23" ht="15.75" x14ac:dyDescent="0.25">
      <c r="H36" s="9"/>
      <c r="I36" s="9"/>
      <c r="J36" s="46"/>
      <c r="K36" s="124"/>
      <c r="L36" s="125"/>
      <c r="M36" s="46"/>
    </row>
    <row r="37" spans="1:23" x14ac:dyDescent="0.2">
      <c r="I37" s="9"/>
      <c r="J37" s="9"/>
      <c r="K37" s="9"/>
      <c r="L37" s="9"/>
      <c r="M37" s="9"/>
    </row>
    <row r="38" spans="1:23" x14ac:dyDescent="0.2">
      <c r="M38" s="9"/>
    </row>
    <row r="39" spans="1:23" ht="15.75" thickBot="1" x14ac:dyDescent="0.25">
      <c r="V39" s="9"/>
      <c r="W39" s="9"/>
    </row>
    <row r="40" spans="1:23" ht="15.75" x14ac:dyDescent="0.25">
      <c r="C40" s="2"/>
      <c r="D40" s="3"/>
      <c r="E40" s="3"/>
      <c r="F40" s="3"/>
      <c r="G40" s="3"/>
      <c r="H40" s="3"/>
      <c r="I40" s="3"/>
      <c r="J40" s="3"/>
      <c r="K40" s="3"/>
      <c r="L40" s="3"/>
      <c r="M40" s="3"/>
      <c r="N40" s="3"/>
      <c r="O40" s="3"/>
      <c r="P40" s="3"/>
      <c r="Q40" s="3"/>
      <c r="R40" s="3"/>
      <c r="S40" s="3"/>
      <c r="T40" s="3"/>
      <c r="U40" s="4"/>
      <c r="V40" s="6"/>
      <c r="W40" s="9"/>
    </row>
    <row r="41" spans="1:23" ht="16.5" thickBot="1" x14ac:dyDescent="0.3">
      <c r="B41" s="5"/>
      <c r="C41" s="52" t="s">
        <v>48</v>
      </c>
      <c r="D41" s="75" t="s">
        <v>50</v>
      </c>
      <c r="E41" s="9"/>
      <c r="F41" s="9"/>
      <c r="G41" s="9"/>
      <c r="H41" s="9"/>
      <c r="I41" s="9"/>
      <c r="J41" s="9"/>
      <c r="K41" s="9"/>
      <c r="L41" s="9"/>
      <c r="M41" s="9"/>
      <c r="N41" s="9"/>
      <c r="O41" s="9"/>
      <c r="P41" s="9"/>
      <c r="Q41" s="9"/>
      <c r="R41" s="9"/>
      <c r="S41" s="9"/>
      <c r="T41" s="9"/>
      <c r="U41" s="108" t="s">
        <v>47</v>
      </c>
      <c r="V41" s="6"/>
      <c r="W41" s="9"/>
    </row>
    <row r="42" spans="1:23" ht="15.75" x14ac:dyDescent="0.25">
      <c r="C42" s="122" t="s">
        <v>66</v>
      </c>
      <c r="D42" s="126" t="s">
        <v>8</v>
      </c>
      <c r="E42" s="57" t="s">
        <v>9</v>
      </c>
      <c r="F42" s="57" t="s">
        <v>10</v>
      </c>
      <c r="G42" s="57" t="s">
        <v>11</v>
      </c>
      <c r="H42" s="57" t="s">
        <v>12</v>
      </c>
      <c r="I42" s="57" t="s">
        <v>13</v>
      </c>
      <c r="J42" s="57" t="s">
        <v>14</v>
      </c>
      <c r="K42" s="57" t="s">
        <v>15</v>
      </c>
      <c r="L42" s="57" t="s">
        <v>16</v>
      </c>
      <c r="M42" s="57" t="s">
        <v>17</v>
      </c>
      <c r="N42" s="57" t="s">
        <v>18</v>
      </c>
      <c r="O42" s="57" t="s">
        <v>19</v>
      </c>
      <c r="P42" s="57" t="s">
        <v>20</v>
      </c>
      <c r="Q42" s="57" t="s">
        <v>21</v>
      </c>
      <c r="R42" s="57" t="s">
        <v>22</v>
      </c>
      <c r="S42" s="57" t="s">
        <v>23</v>
      </c>
      <c r="T42" s="127" t="s">
        <v>24</v>
      </c>
      <c r="U42" s="128"/>
      <c r="V42" s="9"/>
      <c r="W42" s="9"/>
    </row>
    <row r="43" spans="1:23" ht="15.75" x14ac:dyDescent="0.25">
      <c r="B43" s="7"/>
      <c r="C43" s="129" t="s">
        <v>67</v>
      </c>
      <c r="D43" s="130">
        <v>396</v>
      </c>
      <c r="E43" s="54">
        <v>798</v>
      </c>
      <c r="F43" s="54">
        <v>2076</v>
      </c>
      <c r="G43" s="54">
        <v>460</v>
      </c>
      <c r="H43" s="54">
        <v>394</v>
      </c>
      <c r="I43" s="54">
        <v>1265</v>
      </c>
      <c r="J43" s="54">
        <v>3637</v>
      </c>
      <c r="K43" s="54">
        <v>271</v>
      </c>
      <c r="L43" s="54">
        <v>201</v>
      </c>
      <c r="M43" s="54">
        <v>1589</v>
      </c>
      <c r="N43" s="54">
        <v>325</v>
      </c>
      <c r="O43" s="54">
        <v>1465</v>
      </c>
      <c r="P43" s="54">
        <v>77</v>
      </c>
      <c r="Q43" s="54">
        <v>847</v>
      </c>
      <c r="R43" s="54">
        <v>343</v>
      </c>
      <c r="S43" s="54">
        <v>9405</v>
      </c>
      <c r="T43" s="131">
        <f t="shared" ref="T43:T44" si="0">SUM(D43:S43)</f>
        <v>23549</v>
      </c>
      <c r="U43" s="132">
        <f>T43/$T$49</f>
        <v>0.83050608358314226</v>
      </c>
      <c r="V43" s="37"/>
      <c r="W43" s="9"/>
    </row>
    <row r="44" spans="1:23" ht="15.75" x14ac:dyDescent="0.25">
      <c r="B44" s="7"/>
      <c r="C44" s="40" t="s">
        <v>68</v>
      </c>
      <c r="D44" s="130">
        <v>74</v>
      </c>
      <c r="E44" s="54">
        <v>128</v>
      </c>
      <c r="F44" s="54">
        <v>291</v>
      </c>
      <c r="G44" s="54">
        <v>99</v>
      </c>
      <c r="H44" s="54">
        <v>71</v>
      </c>
      <c r="I44" s="54">
        <v>168</v>
      </c>
      <c r="J44" s="54">
        <v>300</v>
      </c>
      <c r="K44" s="54">
        <v>79</v>
      </c>
      <c r="L44" s="54">
        <v>43</v>
      </c>
      <c r="M44" s="54">
        <v>160</v>
      </c>
      <c r="N44" s="54">
        <v>53</v>
      </c>
      <c r="O44" s="54">
        <v>243</v>
      </c>
      <c r="P44" s="54">
        <v>25</v>
      </c>
      <c r="Q44" s="54">
        <v>133</v>
      </c>
      <c r="R44" s="54">
        <v>87</v>
      </c>
      <c r="S44" s="54">
        <v>1353</v>
      </c>
      <c r="T44" s="131">
        <f t="shared" si="0"/>
        <v>3307</v>
      </c>
      <c r="U44" s="132">
        <f>T44/$T$49</f>
        <v>0.11662846058896138</v>
      </c>
      <c r="V44" s="37"/>
      <c r="W44" s="9"/>
    </row>
    <row r="45" spans="1:23" ht="15.75" x14ac:dyDescent="0.25">
      <c r="B45" s="7"/>
      <c r="C45" s="40" t="s">
        <v>69</v>
      </c>
      <c r="D45" s="130">
        <v>10</v>
      </c>
      <c r="E45" s="54">
        <v>52</v>
      </c>
      <c r="F45" s="54">
        <v>160</v>
      </c>
      <c r="G45" s="54">
        <v>18</v>
      </c>
      <c r="H45" s="54">
        <v>27</v>
      </c>
      <c r="I45" s="54">
        <v>93</v>
      </c>
      <c r="J45" s="54">
        <v>312</v>
      </c>
      <c r="K45" s="54">
        <v>11</v>
      </c>
      <c r="L45" s="54">
        <v>5</v>
      </c>
      <c r="M45" s="54">
        <v>111</v>
      </c>
      <c r="N45" s="54">
        <v>21</v>
      </c>
      <c r="O45" s="54">
        <v>102</v>
      </c>
      <c r="P45" s="54">
        <v>1</v>
      </c>
      <c r="Q45" s="54">
        <v>52</v>
      </c>
      <c r="R45" s="54">
        <v>19</v>
      </c>
      <c r="S45" s="54">
        <v>505</v>
      </c>
      <c r="T45" s="131">
        <f>SUM(D45:S45)</f>
        <v>1499</v>
      </c>
      <c r="U45" s="132">
        <f>T45/$T$49</f>
        <v>5.2865455827896313E-2</v>
      </c>
      <c r="V45" s="37"/>
      <c r="W45" s="9"/>
    </row>
    <row r="46" spans="1:23" ht="15.75" x14ac:dyDescent="0.25">
      <c r="B46" s="7"/>
      <c r="C46" s="40"/>
      <c r="D46" s="130"/>
      <c r="E46" s="54"/>
      <c r="F46" s="54"/>
      <c r="G46" s="54"/>
      <c r="H46" s="54"/>
      <c r="I46" s="54"/>
      <c r="J46" s="54"/>
      <c r="K46" s="54"/>
      <c r="L46" s="54"/>
      <c r="M46" s="54"/>
      <c r="N46" s="54"/>
      <c r="O46" s="54"/>
      <c r="P46" s="54"/>
      <c r="Q46" s="54"/>
      <c r="R46" s="54"/>
      <c r="S46" s="54"/>
      <c r="T46" s="131"/>
      <c r="U46" s="133"/>
      <c r="V46" s="37"/>
      <c r="W46" s="9"/>
    </row>
    <row r="47" spans="1:23" ht="15.75" x14ac:dyDescent="0.25">
      <c r="A47" s="119"/>
      <c r="B47" s="136"/>
      <c r="C47" s="40" t="s">
        <v>4</v>
      </c>
      <c r="D47" s="130">
        <v>337</v>
      </c>
      <c r="E47" s="54">
        <v>704</v>
      </c>
      <c r="F47" s="54">
        <v>1849</v>
      </c>
      <c r="G47" s="54">
        <v>399</v>
      </c>
      <c r="H47" s="54">
        <v>341</v>
      </c>
      <c r="I47" s="54">
        <v>1104</v>
      </c>
      <c r="J47" s="54">
        <v>3250</v>
      </c>
      <c r="K47" s="54">
        <v>243</v>
      </c>
      <c r="L47" s="54">
        <v>166</v>
      </c>
      <c r="M47" s="54">
        <v>1423</v>
      </c>
      <c r="N47" s="54">
        <v>280</v>
      </c>
      <c r="O47" s="54">
        <v>1297</v>
      </c>
      <c r="P47" s="54">
        <v>65</v>
      </c>
      <c r="Q47" s="54">
        <v>729</v>
      </c>
      <c r="R47" s="54">
        <v>294</v>
      </c>
      <c r="S47" s="54">
        <v>8386</v>
      </c>
      <c r="T47" s="135">
        <v>20867</v>
      </c>
      <c r="U47" s="133"/>
      <c r="V47" s="37"/>
      <c r="W47" s="9"/>
    </row>
    <row r="48" spans="1:23" ht="15.75" x14ac:dyDescent="0.25">
      <c r="A48" s="119"/>
      <c r="B48" s="136"/>
      <c r="C48" s="40"/>
      <c r="D48" s="134"/>
      <c r="E48" s="38"/>
      <c r="F48" s="38"/>
      <c r="G48" s="38"/>
      <c r="H48" s="38"/>
      <c r="I48" s="38"/>
      <c r="J48" s="38"/>
      <c r="K48" s="38"/>
      <c r="L48" s="38"/>
      <c r="M48" s="38"/>
      <c r="N48" s="38"/>
      <c r="O48" s="38"/>
      <c r="P48" s="38"/>
      <c r="Q48" s="38"/>
      <c r="R48" s="38"/>
      <c r="S48" s="38"/>
      <c r="T48" s="135"/>
      <c r="U48" s="133"/>
      <c r="V48" s="37"/>
      <c r="W48" s="9"/>
    </row>
    <row r="49" spans="1:23" ht="16.5" thickBot="1" x14ac:dyDescent="0.3">
      <c r="A49" s="119"/>
      <c r="B49" s="136"/>
      <c r="C49" s="42" t="s">
        <v>27</v>
      </c>
      <c r="D49" s="307">
        <f t="shared" ref="D49:T49" si="1">SUM(D43:D45)</f>
        <v>480</v>
      </c>
      <c r="E49" s="192">
        <f t="shared" si="1"/>
        <v>978</v>
      </c>
      <c r="F49" s="192">
        <f t="shared" si="1"/>
        <v>2527</v>
      </c>
      <c r="G49" s="192">
        <f t="shared" si="1"/>
        <v>577</v>
      </c>
      <c r="H49" s="192">
        <f t="shared" si="1"/>
        <v>492</v>
      </c>
      <c r="I49" s="192">
        <f t="shared" si="1"/>
        <v>1526</v>
      </c>
      <c r="J49" s="192">
        <f t="shared" si="1"/>
        <v>4249</v>
      </c>
      <c r="K49" s="192">
        <f t="shared" si="1"/>
        <v>361</v>
      </c>
      <c r="L49" s="192">
        <f t="shared" si="1"/>
        <v>249</v>
      </c>
      <c r="M49" s="192">
        <f t="shared" si="1"/>
        <v>1860</v>
      </c>
      <c r="N49" s="192">
        <f t="shared" si="1"/>
        <v>399</v>
      </c>
      <c r="O49" s="192">
        <f t="shared" si="1"/>
        <v>1810</v>
      </c>
      <c r="P49" s="192">
        <f t="shared" si="1"/>
        <v>103</v>
      </c>
      <c r="Q49" s="192">
        <f t="shared" si="1"/>
        <v>1032</v>
      </c>
      <c r="R49" s="192">
        <f t="shared" si="1"/>
        <v>449</v>
      </c>
      <c r="S49" s="192">
        <f t="shared" si="1"/>
        <v>11263</v>
      </c>
      <c r="T49" s="308">
        <f t="shared" si="1"/>
        <v>28355</v>
      </c>
      <c r="U49" s="137"/>
      <c r="V49" s="37"/>
      <c r="W49" s="9"/>
    </row>
    <row r="50" spans="1:23" ht="16.5" thickBot="1" x14ac:dyDescent="0.3">
      <c r="A50" s="119"/>
      <c r="B50" s="136"/>
      <c r="C50" s="6"/>
      <c r="D50" s="6"/>
      <c r="E50" s="6"/>
      <c r="F50" s="6"/>
      <c r="G50" s="6"/>
      <c r="H50" s="6"/>
      <c r="I50" s="6"/>
      <c r="J50" s="6"/>
      <c r="K50" s="6"/>
      <c r="L50" s="6"/>
      <c r="M50" s="6"/>
      <c r="N50" s="6"/>
      <c r="O50" s="6"/>
      <c r="P50" s="6"/>
      <c r="Q50" s="6"/>
      <c r="R50" s="6"/>
      <c r="S50" s="6"/>
      <c r="T50" s="138"/>
      <c r="U50" s="9"/>
      <c r="V50" s="9"/>
      <c r="W50" s="9"/>
    </row>
    <row r="51" spans="1:23" ht="15.75" x14ac:dyDescent="0.25">
      <c r="A51" s="119"/>
      <c r="B51" s="136"/>
      <c r="C51" s="139" t="s">
        <v>28</v>
      </c>
      <c r="D51" s="297"/>
      <c r="E51" s="140"/>
      <c r="F51" s="140"/>
      <c r="G51" s="140"/>
      <c r="H51" s="140"/>
      <c r="I51" s="140"/>
      <c r="J51" s="140"/>
      <c r="K51" s="140"/>
      <c r="L51" s="140"/>
      <c r="M51" s="140"/>
      <c r="N51" s="140"/>
      <c r="O51" s="140"/>
      <c r="P51" s="140"/>
      <c r="Q51" s="140"/>
      <c r="R51" s="140"/>
      <c r="S51" s="298"/>
      <c r="T51" s="141" t="s">
        <v>24</v>
      </c>
      <c r="U51" s="9"/>
      <c r="V51" s="9"/>
      <c r="W51" s="9"/>
    </row>
    <row r="52" spans="1:23" ht="15.75" x14ac:dyDescent="0.25">
      <c r="A52" s="119"/>
      <c r="B52" s="136"/>
      <c r="C52" s="142" t="s">
        <v>71</v>
      </c>
      <c r="D52" s="299">
        <f t="shared" ref="D52:T52" si="2">D43/D$49</f>
        <v>0.82499999999999996</v>
      </c>
      <c r="E52" s="143">
        <f t="shared" si="2"/>
        <v>0.81595092024539873</v>
      </c>
      <c r="F52" s="143">
        <f t="shared" si="2"/>
        <v>0.82152750296794619</v>
      </c>
      <c r="G52" s="143">
        <f t="shared" si="2"/>
        <v>0.79722703639514736</v>
      </c>
      <c r="H52" s="143">
        <f t="shared" si="2"/>
        <v>0.80081300813008127</v>
      </c>
      <c r="I52" s="143">
        <f t="shared" si="2"/>
        <v>0.82896461336828309</v>
      </c>
      <c r="J52" s="143">
        <f t="shared" si="2"/>
        <v>0.85596610967286424</v>
      </c>
      <c r="K52" s="143">
        <f t="shared" si="2"/>
        <v>0.75069252077562332</v>
      </c>
      <c r="L52" s="143">
        <f t="shared" si="2"/>
        <v>0.80722891566265065</v>
      </c>
      <c r="M52" s="143">
        <f t="shared" si="2"/>
        <v>0.85430107526881716</v>
      </c>
      <c r="N52" s="143">
        <f t="shared" si="2"/>
        <v>0.81453634085213034</v>
      </c>
      <c r="O52" s="143">
        <f t="shared" si="2"/>
        <v>0.80939226519337015</v>
      </c>
      <c r="P52" s="143">
        <f t="shared" si="2"/>
        <v>0.74757281553398058</v>
      </c>
      <c r="Q52" s="143">
        <f t="shared" si="2"/>
        <v>0.82073643410852715</v>
      </c>
      <c r="R52" s="143">
        <f t="shared" si="2"/>
        <v>0.7639198218262806</v>
      </c>
      <c r="S52" s="300">
        <f t="shared" si="2"/>
        <v>0.83503507058510162</v>
      </c>
      <c r="T52" s="144">
        <f t="shared" si="2"/>
        <v>0.83050608358314226</v>
      </c>
      <c r="U52" s="9"/>
      <c r="V52" s="9"/>
      <c r="W52" s="9"/>
    </row>
    <row r="53" spans="1:23" ht="15.75" x14ac:dyDescent="0.25">
      <c r="A53" s="119"/>
      <c r="B53" s="136"/>
      <c r="C53" s="145"/>
      <c r="D53" s="299"/>
      <c r="E53" s="143"/>
      <c r="F53" s="143"/>
      <c r="G53" s="143"/>
      <c r="H53" s="143"/>
      <c r="I53" s="143"/>
      <c r="J53" s="143"/>
      <c r="K53" s="143"/>
      <c r="L53" s="143"/>
      <c r="M53" s="143"/>
      <c r="N53" s="143"/>
      <c r="O53" s="143"/>
      <c r="P53" s="143"/>
      <c r="Q53" s="143"/>
      <c r="R53" s="143"/>
      <c r="S53" s="300"/>
      <c r="T53" s="144"/>
      <c r="U53" s="9"/>
      <c r="V53" s="9"/>
      <c r="W53" s="9"/>
    </row>
    <row r="54" spans="1:23" ht="15.75" x14ac:dyDescent="0.25">
      <c r="A54" s="119"/>
      <c r="B54" s="136"/>
      <c r="C54" s="142" t="s">
        <v>92</v>
      </c>
      <c r="D54" s="299">
        <f t="shared" ref="D54:S54" si="3">D43/$T$43</f>
        <v>1.6816000679434371E-2</v>
      </c>
      <c r="E54" s="143">
        <f t="shared" si="3"/>
        <v>3.3886789247951084E-2</v>
      </c>
      <c r="F54" s="143">
        <f t="shared" si="3"/>
        <v>8.8156609622489279E-2</v>
      </c>
      <c r="G54" s="143">
        <f t="shared" si="3"/>
        <v>1.9533738162979319E-2</v>
      </c>
      <c r="H54" s="143">
        <f t="shared" si="3"/>
        <v>1.673107138307359E-2</v>
      </c>
      <c r="I54" s="143">
        <f t="shared" si="3"/>
        <v>5.3717779948193128E-2</v>
      </c>
      <c r="J54" s="143">
        <f t="shared" si="3"/>
        <v>0.1544439254320778</v>
      </c>
      <c r="K54" s="143">
        <f t="shared" si="3"/>
        <v>1.1507919656885643E-2</v>
      </c>
      <c r="L54" s="143">
        <f t="shared" si="3"/>
        <v>8.5353942842583547E-3</v>
      </c>
      <c r="M54" s="143">
        <f t="shared" si="3"/>
        <v>6.7476325958639435E-2</v>
      </c>
      <c r="N54" s="143">
        <f t="shared" si="3"/>
        <v>1.3801010658626694E-2</v>
      </c>
      <c r="O54" s="143">
        <f t="shared" si="3"/>
        <v>6.2210709584271093E-2</v>
      </c>
      <c r="P54" s="143">
        <f t="shared" si="3"/>
        <v>3.2697779098900164E-3</v>
      </c>
      <c r="Q54" s="143">
        <f t="shared" si="3"/>
        <v>3.5967557008790181E-2</v>
      </c>
      <c r="R54" s="143">
        <f t="shared" si="3"/>
        <v>1.4565374325873711E-2</v>
      </c>
      <c r="S54" s="300">
        <f t="shared" si="3"/>
        <v>0.39938001613656632</v>
      </c>
      <c r="T54" s="228">
        <f>SUM(D54:S54)</f>
        <v>1</v>
      </c>
      <c r="U54" s="9"/>
      <c r="V54" s="9"/>
      <c r="W54" s="9"/>
    </row>
    <row r="55" spans="1:23" ht="15.75" x14ac:dyDescent="0.25">
      <c r="A55" s="119"/>
      <c r="B55" s="136"/>
      <c r="C55" s="145" t="s">
        <v>93</v>
      </c>
      <c r="D55" s="299">
        <f>D49/$T$49</f>
        <v>1.692823135249515E-2</v>
      </c>
      <c r="E55" s="143">
        <f t="shared" ref="E55:S55" si="4">E49/$T$49</f>
        <v>3.4491271380708871E-2</v>
      </c>
      <c r="F55" s="143">
        <f t="shared" si="4"/>
        <v>8.9120084641156769E-2</v>
      </c>
      <c r="G55" s="143">
        <f t="shared" si="4"/>
        <v>2.0349144771645213E-2</v>
      </c>
      <c r="H55" s="143">
        <f t="shared" si="4"/>
        <v>1.7351437136307529E-2</v>
      </c>
      <c r="I55" s="143">
        <f t="shared" si="4"/>
        <v>5.3817668841474167E-2</v>
      </c>
      <c r="J55" s="143">
        <f t="shared" si="4"/>
        <v>0.14985011461823311</v>
      </c>
      <c r="K55" s="143">
        <f t="shared" si="4"/>
        <v>1.2731440663022394E-2</v>
      </c>
      <c r="L55" s="143">
        <f t="shared" si="4"/>
        <v>8.781520014106859E-3</v>
      </c>
      <c r="M55" s="143">
        <f t="shared" si="4"/>
        <v>6.559689649091871E-2</v>
      </c>
      <c r="N55" s="143">
        <f t="shared" si="4"/>
        <v>1.4071592311761595E-2</v>
      </c>
      <c r="O55" s="143">
        <f t="shared" si="4"/>
        <v>6.3833539058367125E-2</v>
      </c>
      <c r="P55" s="143">
        <f t="shared" si="4"/>
        <v>3.6325163110562512E-3</v>
      </c>
      <c r="Q55" s="143">
        <f t="shared" si="4"/>
        <v>3.6395697407864573E-2</v>
      </c>
      <c r="R55" s="143">
        <f t="shared" si="4"/>
        <v>1.5834949744313171E-2</v>
      </c>
      <c r="S55" s="300">
        <f t="shared" si="4"/>
        <v>0.39721389525656853</v>
      </c>
      <c r="T55" s="228">
        <f t="shared" ref="T55:T56" si="5">SUM(D55:S55)</f>
        <v>1</v>
      </c>
      <c r="U55" s="9"/>
      <c r="V55" s="9"/>
      <c r="W55" s="9"/>
    </row>
    <row r="56" spans="1:23" ht="15.75" x14ac:dyDescent="0.25">
      <c r="A56" s="119"/>
      <c r="B56" s="136"/>
      <c r="C56" s="145" t="s">
        <v>728</v>
      </c>
      <c r="D56" s="299">
        <f>D47/$T$47</f>
        <v>1.6149901758757846E-2</v>
      </c>
      <c r="E56" s="299">
        <f t="shared" ref="E56:S56" si="6">E47/$T$47</f>
        <v>3.3737480231945179E-2</v>
      </c>
      <c r="F56" s="299">
        <f t="shared" si="6"/>
        <v>8.8608808166003736E-2</v>
      </c>
      <c r="G56" s="299">
        <f t="shared" si="6"/>
        <v>1.9121100301912108E-2</v>
      </c>
      <c r="H56" s="299">
        <f t="shared" si="6"/>
        <v>1.6341591987348445E-2</v>
      </c>
      <c r="I56" s="299">
        <f t="shared" si="6"/>
        <v>5.2906503091004933E-2</v>
      </c>
      <c r="J56" s="299">
        <f t="shared" si="6"/>
        <v>0.15574831072986053</v>
      </c>
      <c r="K56" s="299">
        <f t="shared" si="6"/>
        <v>1.1645181386878804E-2</v>
      </c>
      <c r="L56" s="299">
        <f t="shared" si="6"/>
        <v>7.9551444865098003E-3</v>
      </c>
      <c r="M56" s="299">
        <f t="shared" si="6"/>
        <v>6.81937988211051E-2</v>
      </c>
      <c r="N56" s="299">
        <f t="shared" si="6"/>
        <v>1.3418316001341831E-2</v>
      </c>
      <c r="O56" s="299">
        <f t="shared" si="6"/>
        <v>6.2155556620501269E-2</v>
      </c>
      <c r="P56" s="299">
        <f t="shared" si="6"/>
        <v>3.1149662145972109E-3</v>
      </c>
      <c r="Q56" s="299">
        <f t="shared" si="6"/>
        <v>3.4935544160636413E-2</v>
      </c>
      <c r="R56" s="299">
        <f t="shared" si="6"/>
        <v>1.4089231801408923E-2</v>
      </c>
      <c r="S56" s="299">
        <f t="shared" si="6"/>
        <v>0.40187856424018786</v>
      </c>
      <c r="T56" s="228">
        <f t="shared" si="5"/>
        <v>1</v>
      </c>
      <c r="U56" s="9"/>
      <c r="V56" s="9"/>
      <c r="W56" s="9"/>
    </row>
    <row r="57" spans="1:23" ht="15.75" x14ac:dyDescent="0.25">
      <c r="A57" s="119"/>
      <c r="B57" s="136"/>
      <c r="C57" s="146" t="s">
        <v>272</v>
      </c>
      <c r="D57" s="301"/>
      <c r="E57" s="147"/>
      <c r="F57" s="147"/>
      <c r="G57" s="147"/>
      <c r="H57" s="147"/>
      <c r="I57" s="147"/>
      <c r="J57" s="147"/>
      <c r="K57" s="147"/>
      <c r="L57" s="147"/>
      <c r="M57" s="147"/>
      <c r="N57" s="147"/>
      <c r="O57" s="147"/>
      <c r="P57" s="147"/>
      <c r="Q57" s="147"/>
      <c r="R57" s="147"/>
      <c r="S57" s="302"/>
      <c r="T57" s="148"/>
      <c r="U57" s="9"/>
      <c r="V57" s="9"/>
      <c r="W57" s="9"/>
    </row>
    <row r="58" spans="1:23" ht="15.75" x14ac:dyDescent="0.25">
      <c r="A58" s="119"/>
      <c r="B58" s="136"/>
      <c r="C58" s="142" t="s">
        <v>168</v>
      </c>
      <c r="D58" s="301"/>
      <c r="E58" s="147"/>
      <c r="F58" s="147"/>
      <c r="G58" s="147"/>
      <c r="H58" s="147"/>
      <c r="I58" s="147"/>
      <c r="J58" s="147"/>
      <c r="K58" s="147"/>
      <c r="L58" s="147"/>
      <c r="M58" s="147"/>
      <c r="N58" s="147"/>
      <c r="O58" s="147"/>
      <c r="P58" s="147"/>
      <c r="Q58" s="147"/>
      <c r="R58" s="147"/>
      <c r="S58" s="302"/>
      <c r="T58" s="294">
        <f>SUM(D58:S58)</f>
        <v>0</v>
      </c>
      <c r="U58" s="9"/>
      <c r="V58" s="9"/>
      <c r="W58" s="9"/>
    </row>
    <row r="59" spans="1:23" ht="15.75" x14ac:dyDescent="0.25">
      <c r="A59" s="119"/>
      <c r="B59" s="136"/>
      <c r="C59" s="142" t="s">
        <v>235</v>
      </c>
      <c r="D59" s="303"/>
      <c r="E59" s="295"/>
      <c r="F59" s="295"/>
      <c r="G59" s="295"/>
      <c r="H59" s="295"/>
      <c r="I59" s="295"/>
      <c r="J59" s="295"/>
      <c r="K59" s="295"/>
      <c r="L59" s="295"/>
      <c r="M59" s="295"/>
      <c r="N59" s="295"/>
      <c r="O59" s="295"/>
      <c r="P59" s="295"/>
      <c r="Q59" s="295"/>
      <c r="R59" s="295"/>
      <c r="S59" s="304"/>
      <c r="T59" s="294">
        <f t="shared" ref="T59:T63" si="7">SUM(D59:S59)</f>
        <v>0</v>
      </c>
      <c r="U59" s="9"/>
      <c r="V59" s="9"/>
      <c r="W59" s="9"/>
    </row>
    <row r="60" spans="1:23" ht="15.75" x14ac:dyDescent="0.25">
      <c r="A60" s="119"/>
      <c r="B60" s="136"/>
      <c r="C60" s="142" t="s">
        <v>237</v>
      </c>
      <c r="D60" s="303"/>
      <c r="E60" s="295"/>
      <c r="F60" s="295"/>
      <c r="G60" s="295"/>
      <c r="H60" s="295"/>
      <c r="I60" s="295"/>
      <c r="J60" s="295"/>
      <c r="K60" s="295"/>
      <c r="L60" s="295"/>
      <c r="M60" s="295"/>
      <c r="N60" s="295"/>
      <c r="O60" s="295"/>
      <c r="P60" s="295"/>
      <c r="Q60" s="295"/>
      <c r="R60" s="295"/>
      <c r="S60" s="304"/>
      <c r="T60" s="294">
        <f t="shared" si="7"/>
        <v>0</v>
      </c>
      <c r="U60" s="9"/>
      <c r="V60" s="9"/>
      <c r="W60" s="9"/>
    </row>
    <row r="61" spans="1:23" ht="15.75" x14ac:dyDescent="0.25">
      <c r="A61" s="119"/>
      <c r="B61" s="136"/>
      <c r="C61" s="142" t="s">
        <v>234</v>
      </c>
      <c r="D61" s="301"/>
      <c r="E61" s="147"/>
      <c r="F61" s="147"/>
      <c r="G61" s="147"/>
      <c r="H61" s="147"/>
      <c r="I61" s="147"/>
      <c r="J61" s="147"/>
      <c r="K61" s="147"/>
      <c r="L61" s="147"/>
      <c r="M61" s="147"/>
      <c r="N61" s="147"/>
      <c r="O61" s="147"/>
      <c r="P61" s="147"/>
      <c r="Q61" s="147"/>
      <c r="R61" s="147"/>
      <c r="S61" s="302"/>
      <c r="T61" s="294">
        <f t="shared" si="7"/>
        <v>0</v>
      </c>
      <c r="U61" s="9"/>
      <c r="V61" s="9"/>
      <c r="W61" s="9"/>
    </row>
    <row r="62" spans="1:23" ht="15.75" x14ac:dyDescent="0.25">
      <c r="A62" s="119"/>
      <c r="B62" s="136"/>
      <c r="C62" s="142" t="s">
        <v>233</v>
      </c>
      <c r="D62" s="301"/>
      <c r="E62" s="147"/>
      <c r="F62" s="147"/>
      <c r="G62" s="147"/>
      <c r="H62" s="147"/>
      <c r="I62" s="147"/>
      <c r="J62" s="147"/>
      <c r="K62" s="147"/>
      <c r="L62" s="147"/>
      <c r="M62" s="147"/>
      <c r="N62" s="147"/>
      <c r="O62" s="147"/>
      <c r="P62" s="147"/>
      <c r="Q62" s="147"/>
      <c r="R62" s="147"/>
      <c r="S62" s="302"/>
      <c r="T62" s="294">
        <f t="shared" si="7"/>
        <v>0</v>
      </c>
      <c r="U62" s="1167"/>
      <c r="V62" s="9"/>
      <c r="W62" s="9"/>
    </row>
    <row r="63" spans="1:23" ht="16.5" thickBot="1" x14ac:dyDescent="0.3">
      <c r="A63" s="119"/>
      <c r="B63" s="136"/>
      <c r="C63" s="142" t="s">
        <v>236</v>
      </c>
      <c r="D63" s="305"/>
      <c r="E63" s="149">
        <v>0.58333333333333337</v>
      </c>
      <c r="F63" s="149">
        <v>5</v>
      </c>
      <c r="G63" s="149"/>
      <c r="H63" s="149">
        <v>2</v>
      </c>
      <c r="I63" s="149">
        <v>3</v>
      </c>
      <c r="J63" s="149">
        <v>1.5833333333333335</v>
      </c>
      <c r="K63" s="149"/>
      <c r="L63" s="149"/>
      <c r="M63" s="149">
        <v>1</v>
      </c>
      <c r="N63" s="149"/>
      <c r="O63" s="149">
        <v>0.58333333333333337</v>
      </c>
      <c r="P63" s="149"/>
      <c r="Q63" s="149"/>
      <c r="R63" s="149">
        <v>0.41666666666666669</v>
      </c>
      <c r="S63" s="306">
        <v>8.4166666666666679</v>
      </c>
      <c r="T63" s="1064">
        <f t="shared" si="7"/>
        <v>22.583333333333336</v>
      </c>
      <c r="U63" s="1167"/>
      <c r="V63" s="9"/>
      <c r="W63" s="9"/>
    </row>
    <row r="64" spans="1:23" ht="15.75" thickBot="1" x14ac:dyDescent="0.25">
      <c r="A64" s="119"/>
      <c r="B64" s="136"/>
      <c r="C64" s="296" t="s">
        <v>169</v>
      </c>
      <c r="D64" s="309">
        <f>SUM(D58:D62)</f>
        <v>0</v>
      </c>
      <c r="E64" s="309">
        <f t="shared" ref="E64:T64" si="8">SUM(E58:E62)</f>
        <v>0</v>
      </c>
      <c r="F64" s="309">
        <f t="shared" si="8"/>
        <v>0</v>
      </c>
      <c r="G64" s="309">
        <f t="shared" si="8"/>
        <v>0</v>
      </c>
      <c r="H64" s="309">
        <f t="shared" si="8"/>
        <v>0</v>
      </c>
      <c r="I64" s="309">
        <f t="shared" si="8"/>
        <v>0</v>
      </c>
      <c r="J64" s="309">
        <f t="shared" si="8"/>
        <v>0</v>
      </c>
      <c r="K64" s="309">
        <f t="shared" si="8"/>
        <v>0</v>
      </c>
      <c r="L64" s="309">
        <f t="shared" si="8"/>
        <v>0</v>
      </c>
      <c r="M64" s="309">
        <f t="shared" si="8"/>
        <v>0</v>
      </c>
      <c r="N64" s="309">
        <f t="shared" si="8"/>
        <v>0</v>
      </c>
      <c r="O64" s="309">
        <f t="shared" si="8"/>
        <v>0</v>
      </c>
      <c r="P64" s="309">
        <f t="shared" si="8"/>
        <v>0</v>
      </c>
      <c r="Q64" s="309">
        <f t="shared" si="8"/>
        <v>0</v>
      </c>
      <c r="R64" s="309">
        <f t="shared" si="8"/>
        <v>0</v>
      </c>
      <c r="S64" s="309">
        <f t="shared" si="8"/>
        <v>0</v>
      </c>
      <c r="T64" s="1061">
        <f t="shared" si="8"/>
        <v>0</v>
      </c>
      <c r="U64" s="9"/>
      <c r="V64" s="9"/>
      <c r="W64" s="9"/>
    </row>
    <row r="65" spans="1:23" ht="15.75" x14ac:dyDescent="0.25">
      <c r="A65" s="119"/>
      <c r="B65" s="136"/>
      <c r="C65" s="231"/>
      <c r="D65" s="232"/>
      <c r="E65" s="232"/>
      <c r="F65" s="232"/>
      <c r="G65" s="232"/>
      <c r="H65" s="232"/>
      <c r="I65" s="232"/>
      <c r="J65" s="232"/>
      <c r="K65" s="232"/>
      <c r="L65" s="232"/>
      <c r="M65" s="232"/>
      <c r="N65" s="232"/>
      <c r="O65" s="232"/>
      <c r="P65" s="232"/>
      <c r="Q65" s="232"/>
      <c r="R65" s="232"/>
      <c r="S65" s="232"/>
      <c r="T65" s="233">
        <v>750000</v>
      </c>
      <c r="U65" s="9"/>
      <c r="V65" s="9"/>
      <c r="W65" s="9"/>
    </row>
    <row r="66" spans="1:23" ht="15.75" x14ac:dyDescent="0.25">
      <c r="A66" s="119"/>
      <c r="B66" s="311"/>
      <c r="C66" s="231"/>
      <c r="D66" s="310"/>
      <c r="E66" s="310"/>
      <c r="F66" s="310"/>
      <c r="G66" s="310"/>
      <c r="H66" s="310"/>
      <c r="I66" s="310"/>
      <c r="J66" s="310"/>
      <c r="K66" s="310"/>
      <c r="L66" s="310"/>
      <c r="M66" s="310"/>
      <c r="N66" s="310"/>
      <c r="O66" s="310"/>
      <c r="P66" s="310"/>
      <c r="Q66" s="310"/>
      <c r="R66" s="310"/>
      <c r="S66" s="310"/>
      <c r="T66" s="1062">
        <f>T64+T65</f>
        <v>750000</v>
      </c>
      <c r="U66" s="9"/>
      <c r="V66" s="9"/>
      <c r="W66" s="9"/>
    </row>
    <row r="67" spans="1:23" ht="15.75" x14ac:dyDescent="0.25">
      <c r="A67" s="119"/>
      <c r="B67" s="311"/>
      <c r="C67" s="313"/>
      <c r="D67" s="310"/>
      <c r="E67" s="310"/>
      <c r="F67" s="310"/>
      <c r="G67" s="310"/>
      <c r="H67" s="310"/>
      <c r="I67" s="310"/>
      <c r="J67" s="310"/>
      <c r="K67" s="310"/>
      <c r="L67" s="310"/>
      <c r="M67" s="310"/>
      <c r="N67" s="310"/>
      <c r="O67" s="310"/>
      <c r="P67" s="310"/>
      <c r="Q67" s="310"/>
      <c r="R67" s="310"/>
      <c r="S67" s="310"/>
      <c r="T67" s="312"/>
      <c r="U67" s="9"/>
      <c r="V67" s="9"/>
      <c r="W67" s="9"/>
    </row>
    <row r="68" spans="1:23" ht="16.5" thickBot="1" x14ac:dyDescent="0.3">
      <c r="A68" s="119"/>
      <c r="B68" s="311"/>
      <c r="C68" s="313"/>
      <c r="D68" s="310"/>
      <c r="E68" s="310"/>
      <c r="F68" s="310"/>
      <c r="G68" s="310"/>
      <c r="H68" s="310"/>
      <c r="I68" s="310"/>
      <c r="J68" s="310"/>
      <c r="K68" s="310"/>
      <c r="L68" s="310"/>
      <c r="M68" s="310"/>
      <c r="N68" s="310"/>
      <c r="O68" s="310"/>
      <c r="P68" s="310"/>
      <c r="Q68" s="310"/>
      <c r="R68" s="310"/>
      <c r="S68" s="310"/>
      <c r="T68" s="312"/>
      <c r="U68" s="9"/>
      <c r="V68" s="9"/>
      <c r="W68" s="9"/>
    </row>
    <row r="69" spans="1:23" ht="15.75" x14ac:dyDescent="0.25">
      <c r="A69" s="119"/>
      <c r="B69" s="136"/>
      <c r="C69" s="139" t="s">
        <v>172</v>
      </c>
      <c r="D69" s="140"/>
      <c r="E69" s="140"/>
      <c r="F69" s="140"/>
      <c r="G69" s="140"/>
      <c r="H69" s="140" t="s">
        <v>271</v>
      </c>
      <c r="I69" s="140"/>
      <c r="J69" s="140"/>
      <c r="K69" s="140"/>
      <c r="L69" s="140"/>
      <c r="M69" s="140"/>
      <c r="N69" s="140"/>
      <c r="O69" s="140"/>
      <c r="P69" s="140"/>
      <c r="Q69" s="140"/>
      <c r="R69" s="140"/>
      <c r="S69" s="140"/>
      <c r="T69" s="141"/>
      <c r="U69" s="9"/>
      <c r="V69" s="9"/>
      <c r="W69" s="9"/>
    </row>
    <row r="70" spans="1:23" ht="15.75" x14ac:dyDescent="0.25">
      <c r="A70" s="119"/>
      <c r="B70" s="136"/>
      <c r="C70" s="142" t="s">
        <v>168</v>
      </c>
      <c r="D70" s="147">
        <v>9000</v>
      </c>
      <c r="E70" s="147">
        <v>46000</v>
      </c>
      <c r="F70" s="147">
        <v>148000</v>
      </c>
      <c r="G70" s="147">
        <v>73000</v>
      </c>
      <c r="H70" s="147">
        <v>66000</v>
      </c>
      <c r="I70" s="147">
        <v>140000</v>
      </c>
      <c r="J70" s="147">
        <v>407000</v>
      </c>
      <c r="K70" s="147">
        <v>2000</v>
      </c>
      <c r="L70" s="147">
        <v>2000</v>
      </c>
      <c r="M70" s="147">
        <v>119000</v>
      </c>
      <c r="N70" s="147">
        <v>14000</v>
      </c>
      <c r="O70" s="147">
        <v>121000</v>
      </c>
      <c r="P70" s="147">
        <v>1000</v>
      </c>
      <c r="Q70" s="147">
        <v>323000</v>
      </c>
      <c r="R70" s="147">
        <v>5000</v>
      </c>
      <c r="S70" s="302">
        <v>1387000</v>
      </c>
      <c r="T70" s="294">
        <f>SUM(D70:S70)</f>
        <v>2863000</v>
      </c>
      <c r="U70" s="9"/>
      <c r="V70" s="9"/>
      <c r="W70" s="9"/>
    </row>
    <row r="71" spans="1:23" ht="15.75" x14ac:dyDescent="0.25">
      <c r="A71" s="119"/>
      <c r="B71" s="136"/>
      <c r="C71" s="142" t="s">
        <v>95</v>
      </c>
      <c r="D71" s="295">
        <v>111000</v>
      </c>
      <c r="E71" s="295">
        <v>489000</v>
      </c>
      <c r="F71" s="295">
        <v>775000</v>
      </c>
      <c r="G71" s="295">
        <v>35000</v>
      </c>
      <c r="H71" s="295">
        <v>365000</v>
      </c>
      <c r="I71" s="295">
        <v>366000</v>
      </c>
      <c r="J71" s="295">
        <v>855000</v>
      </c>
      <c r="K71" s="295">
        <v>84000</v>
      </c>
      <c r="L71" s="295">
        <v>0</v>
      </c>
      <c r="M71" s="295">
        <v>343000</v>
      </c>
      <c r="N71" s="295">
        <v>0</v>
      </c>
      <c r="O71" s="295">
        <v>364000</v>
      </c>
      <c r="P71" s="295">
        <v>0</v>
      </c>
      <c r="Q71" s="295">
        <v>155000</v>
      </c>
      <c r="R71" s="295">
        <v>0</v>
      </c>
      <c r="S71" s="304">
        <v>4297000</v>
      </c>
      <c r="T71" s="294">
        <f t="shared" ref="T71:T76" si="9">SUM(D71:S71)</f>
        <v>8239000</v>
      </c>
      <c r="U71" s="9"/>
      <c r="V71" s="9"/>
      <c r="W71" s="9"/>
    </row>
    <row r="72" spans="1:23" ht="15.75" x14ac:dyDescent="0.25">
      <c r="A72" s="119"/>
      <c r="B72" s="136"/>
      <c r="C72" s="142" t="s">
        <v>171</v>
      </c>
      <c r="D72" s="295">
        <v>14000</v>
      </c>
      <c r="E72" s="295">
        <v>219000</v>
      </c>
      <c r="F72" s="295">
        <v>257000</v>
      </c>
      <c r="G72" s="295">
        <v>11000</v>
      </c>
      <c r="H72" s="295">
        <v>123000</v>
      </c>
      <c r="I72" s="295">
        <v>295000</v>
      </c>
      <c r="J72" s="295">
        <v>536000</v>
      </c>
      <c r="K72" s="295">
        <v>7000</v>
      </c>
      <c r="L72" s="295">
        <v>27000</v>
      </c>
      <c r="M72" s="295">
        <v>472000</v>
      </c>
      <c r="N72" s="295">
        <v>27000</v>
      </c>
      <c r="O72" s="295">
        <v>108000</v>
      </c>
      <c r="P72" s="295">
        <v>1000</v>
      </c>
      <c r="Q72" s="295">
        <v>528000</v>
      </c>
      <c r="R72" s="295">
        <v>70000</v>
      </c>
      <c r="S72" s="304">
        <v>1787000</v>
      </c>
      <c r="T72" s="294">
        <f t="shared" si="9"/>
        <v>4482000</v>
      </c>
      <c r="U72" s="9"/>
      <c r="V72" s="9"/>
      <c r="W72" s="9"/>
    </row>
    <row r="73" spans="1:23" ht="15.75" x14ac:dyDescent="0.25">
      <c r="A73" s="119"/>
      <c r="B73" s="136"/>
      <c r="C73" s="142" t="s">
        <v>96</v>
      </c>
      <c r="D73" s="147">
        <v>2000</v>
      </c>
      <c r="E73" s="147">
        <v>16000</v>
      </c>
      <c r="F73" s="147">
        <v>31000</v>
      </c>
      <c r="G73" s="147">
        <v>7000</v>
      </c>
      <c r="H73" s="147">
        <v>2000</v>
      </c>
      <c r="I73" s="147">
        <v>20000</v>
      </c>
      <c r="J73" s="147">
        <v>64000</v>
      </c>
      <c r="K73" s="147">
        <v>1000</v>
      </c>
      <c r="L73" s="147">
        <v>0</v>
      </c>
      <c r="M73" s="147">
        <v>21000</v>
      </c>
      <c r="N73" s="147">
        <v>7000</v>
      </c>
      <c r="O73" s="147">
        <v>48000</v>
      </c>
      <c r="P73" s="147">
        <v>0</v>
      </c>
      <c r="Q73" s="147">
        <v>2000</v>
      </c>
      <c r="R73" s="147">
        <v>3000</v>
      </c>
      <c r="S73" s="302">
        <v>255000</v>
      </c>
      <c r="T73" s="294">
        <f t="shared" si="9"/>
        <v>479000</v>
      </c>
      <c r="U73" s="9"/>
      <c r="V73" s="9"/>
      <c r="W73" s="9"/>
    </row>
    <row r="74" spans="1:23" ht="15.75" x14ac:dyDescent="0.25">
      <c r="A74" s="119"/>
      <c r="B74" s="136"/>
      <c r="C74" s="142" t="s">
        <v>233</v>
      </c>
      <c r="D74" s="147">
        <v>87000</v>
      </c>
      <c r="E74" s="147">
        <v>101000</v>
      </c>
      <c r="F74" s="147">
        <v>180000</v>
      </c>
      <c r="G74" s="147">
        <v>13000</v>
      </c>
      <c r="H74" s="147">
        <v>34000</v>
      </c>
      <c r="I74" s="147">
        <v>113000</v>
      </c>
      <c r="J74" s="147">
        <v>233000</v>
      </c>
      <c r="K74" s="147">
        <v>5000</v>
      </c>
      <c r="L74" s="147">
        <v>0</v>
      </c>
      <c r="M74" s="147">
        <v>107000</v>
      </c>
      <c r="N74" s="147">
        <v>90000</v>
      </c>
      <c r="O74" s="147">
        <v>60000</v>
      </c>
      <c r="P74" s="147">
        <v>0</v>
      </c>
      <c r="Q74" s="147">
        <v>27000</v>
      </c>
      <c r="R74" s="147">
        <v>8000</v>
      </c>
      <c r="S74" s="302">
        <v>1300000</v>
      </c>
      <c r="T74" s="294">
        <f t="shared" si="9"/>
        <v>2358000</v>
      </c>
      <c r="U74" s="9"/>
      <c r="V74" s="9"/>
      <c r="W74" s="9"/>
    </row>
    <row r="75" spans="1:23" ht="16.5" thickBot="1" x14ac:dyDescent="0.3">
      <c r="A75" s="119"/>
      <c r="B75" s="136"/>
      <c r="C75" s="142" t="s">
        <v>70</v>
      </c>
      <c r="D75" s="149"/>
      <c r="E75" s="149">
        <v>0.58333333333333337</v>
      </c>
      <c r="F75" s="149">
        <v>5</v>
      </c>
      <c r="G75" s="149"/>
      <c r="H75" s="149">
        <v>2</v>
      </c>
      <c r="I75" s="149">
        <v>3</v>
      </c>
      <c r="J75" s="149">
        <v>1.5833333333333335</v>
      </c>
      <c r="K75" s="149"/>
      <c r="L75" s="149"/>
      <c r="M75" s="149">
        <v>1</v>
      </c>
      <c r="N75" s="149"/>
      <c r="O75" s="149">
        <v>0.58333333333333337</v>
      </c>
      <c r="P75" s="149"/>
      <c r="Q75" s="149"/>
      <c r="R75" s="149">
        <v>0.41666666666666669</v>
      </c>
      <c r="S75" s="306">
        <v>8.4166666666666679</v>
      </c>
      <c r="T75" s="294"/>
      <c r="U75" s="9"/>
      <c r="V75" s="9"/>
      <c r="W75" s="9"/>
    </row>
    <row r="76" spans="1:23" ht="16.5" thickBot="1" x14ac:dyDescent="0.3">
      <c r="A76" s="119"/>
      <c r="B76" s="136"/>
      <c r="C76" s="296" t="s">
        <v>169</v>
      </c>
      <c r="D76" s="580">
        <f>SUM(D70:D74)</f>
        <v>223000</v>
      </c>
      <c r="E76" s="580">
        <f t="shared" ref="E76:S76" si="10">SUM(E70:E74)</f>
        <v>871000</v>
      </c>
      <c r="F76" s="580">
        <f t="shared" si="10"/>
        <v>1391000</v>
      </c>
      <c r="G76" s="580">
        <f t="shared" si="10"/>
        <v>139000</v>
      </c>
      <c r="H76" s="580">
        <f t="shared" si="10"/>
        <v>590000</v>
      </c>
      <c r="I76" s="580">
        <f t="shared" si="10"/>
        <v>934000</v>
      </c>
      <c r="J76" s="580">
        <f t="shared" si="10"/>
        <v>2095000</v>
      </c>
      <c r="K76" s="580">
        <f t="shared" si="10"/>
        <v>99000</v>
      </c>
      <c r="L76" s="580">
        <f t="shared" si="10"/>
        <v>29000</v>
      </c>
      <c r="M76" s="580">
        <f>SUM(M70:M74)</f>
        <v>1062000</v>
      </c>
      <c r="N76" s="580">
        <f t="shared" si="10"/>
        <v>138000</v>
      </c>
      <c r="O76" s="580">
        <f t="shared" si="10"/>
        <v>701000</v>
      </c>
      <c r="P76" s="580">
        <f t="shared" si="10"/>
        <v>2000</v>
      </c>
      <c r="Q76" s="580">
        <f t="shared" si="10"/>
        <v>1035000</v>
      </c>
      <c r="R76" s="580">
        <f t="shared" si="10"/>
        <v>86000</v>
      </c>
      <c r="S76" s="580">
        <f t="shared" si="10"/>
        <v>9026000</v>
      </c>
      <c r="T76" s="581">
        <f t="shared" si="9"/>
        <v>18421000</v>
      </c>
      <c r="U76" s="9"/>
      <c r="V76" s="9"/>
      <c r="W76" s="9"/>
    </row>
    <row r="77" spans="1:23" ht="15.75" x14ac:dyDescent="0.25">
      <c r="A77" s="119"/>
      <c r="B77" s="136"/>
      <c r="C77" s="231"/>
      <c r="D77" s="232"/>
      <c r="E77" s="232"/>
      <c r="F77" s="293"/>
      <c r="G77" s="232"/>
      <c r="H77" s="232"/>
      <c r="I77" s="232"/>
      <c r="J77" s="232"/>
      <c r="K77" s="232"/>
      <c r="L77" s="232"/>
      <c r="M77" s="232"/>
      <c r="N77" s="232"/>
      <c r="O77" s="232"/>
      <c r="P77" s="232"/>
      <c r="Q77" s="232"/>
      <c r="R77" s="232"/>
      <c r="S77" s="232"/>
      <c r="T77" s="233"/>
      <c r="U77" s="9"/>
      <c r="V77" s="9"/>
      <c r="W77" s="9"/>
    </row>
    <row r="78" spans="1:23" ht="15.75" x14ac:dyDescent="0.25">
      <c r="A78" s="119"/>
      <c r="B78" s="136"/>
      <c r="C78" s="231"/>
      <c r="D78" s="232"/>
      <c r="E78" s="232"/>
      <c r="F78" s="232"/>
      <c r="G78" s="232"/>
      <c r="H78" s="232"/>
      <c r="I78" s="232"/>
      <c r="J78" s="232"/>
      <c r="K78" s="232"/>
      <c r="L78" s="232"/>
      <c r="M78" s="232"/>
      <c r="N78" s="232"/>
      <c r="O78" s="232"/>
      <c r="P78" s="232"/>
      <c r="Q78" s="232"/>
      <c r="R78" s="232"/>
      <c r="S78" s="232"/>
      <c r="T78" s="233"/>
      <c r="U78" s="9"/>
      <c r="V78" s="9"/>
      <c r="W78" s="9"/>
    </row>
    <row r="79" spans="1:23" ht="15.75" x14ac:dyDescent="0.25">
      <c r="A79" s="119"/>
      <c r="B79" s="136"/>
      <c r="C79" s="231"/>
      <c r="D79" s="232"/>
      <c r="E79" s="232"/>
      <c r="F79" s="232"/>
      <c r="G79" s="232"/>
      <c r="H79" s="232"/>
      <c r="I79" s="232"/>
      <c r="J79" s="232"/>
      <c r="K79" s="232"/>
      <c r="L79" s="232"/>
      <c r="M79" s="232"/>
      <c r="N79" s="232"/>
      <c r="O79" s="232"/>
      <c r="P79" s="232"/>
      <c r="Q79" s="232"/>
      <c r="R79" s="232"/>
      <c r="S79" s="232"/>
      <c r="T79" s="233"/>
      <c r="U79" s="9"/>
      <c r="V79" s="9"/>
      <c r="W79" s="9"/>
    </row>
    <row r="80" spans="1:23" ht="21.75" customHeight="1" thickBot="1" x14ac:dyDescent="0.3">
      <c r="A80" s="119"/>
      <c r="B80" s="136"/>
      <c r="C80" s="150"/>
      <c r="D80" s="151"/>
      <c r="E80" s="152"/>
      <c r="F80" s="152"/>
      <c r="G80" s="152"/>
      <c r="H80" s="152"/>
      <c r="I80" s="152"/>
      <c r="J80" s="152"/>
      <c r="K80" s="152"/>
      <c r="L80" s="152"/>
      <c r="M80" s="152"/>
      <c r="N80" s="152"/>
      <c r="O80" s="152"/>
      <c r="P80" s="152"/>
      <c r="Q80" s="152"/>
      <c r="R80" s="152"/>
      <c r="S80" s="152"/>
      <c r="T80" s="153"/>
      <c r="U80" s="152"/>
      <c r="V80" s="9"/>
      <c r="W80" s="9"/>
    </row>
    <row r="81" spans="2:23" ht="21.75" customHeight="1" thickBot="1" x14ac:dyDescent="0.3">
      <c r="B81" s="7"/>
      <c r="C81" s="154" t="s">
        <v>170</v>
      </c>
      <c r="D81" s="205" t="s">
        <v>8</v>
      </c>
      <c r="E81" s="205" t="s">
        <v>9</v>
      </c>
      <c r="F81" s="205" t="s">
        <v>10</v>
      </c>
      <c r="G81" s="205" t="s">
        <v>11</v>
      </c>
      <c r="H81" s="205" t="s">
        <v>12</v>
      </c>
      <c r="I81" s="205" t="s">
        <v>13</v>
      </c>
      <c r="J81" s="205" t="s">
        <v>14</v>
      </c>
      <c r="K81" s="205" t="s">
        <v>15</v>
      </c>
      <c r="L81" s="205" t="s">
        <v>16</v>
      </c>
      <c r="M81" s="205" t="s">
        <v>17</v>
      </c>
      <c r="N81" s="205" t="s">
        <v>18</v>
      </c>
      <c r="O81" s="205" t="s">
        <v>19</v>
      </c>
      <c r="P81" s="205" t="s">
        <v>20</v>
      </c>
      <c r="Q81" s="205" t="s">
        <v>21</v>
      </c>
      <c r="R81" s="205" t="s">
        <v>22</v>
      </c>
      <c r="S81" s="205" t="s">
        <v>23</v>
      </c>
      <c r="T81" s="206" t="s">
        <v>24</v>
      </c>
      <c r="U81" s="157"/>
      <c r="V81" s="9"/>
      <c r="W81" s="9"/>
    </row>
    <row r="82" spans="2:23" ht="21.75" customHeight="1" x14ac:dyDescent="0.25">
      <c r="B82" s="7"/>
      <c r="C82" s="199" t="s">
        <v>72</v>
      </c>
      <c r="D82" s="207">
        <f>[1]Kontrollpanel!$D$37*D63</f>
        <v>0</v>
      </c>
      <c r="E82" s="207">
        <f>[1]Kontrollpanel!$D$37*E63</f>
        <v>30894.500000000004</v>
      </c>
      <c r="F82" s="207">
        <f>[1]Kontrollpanel!$D$37*F63</f>
        <v>264810</v>
      </c>
      <c r="G82" s="207">
        <f>[1]Kontrollpanel!$D$37*G63</f>
        <v>0</v>
      </c>
      <c r="H82" s="207">
        <f>[1]Kontrollpanel!$D$37*H63</f>
        <v>105924</v>
      </c>
      <c r="I82" s="207">
        <f>[1]Kontrollpanel!$D$37*I63</f>
        <v>158886</v>
      </c>
      <c r="J82" s="207">
        <f>[1]Kontrollpanel!$D$37*J63</f>
        <v>83856.500000000015</v>
      </c>
      <c r="K82" s="207">
        <f>[1]Kontrollpanel!$D$37*K63</f>
        <v>0</v>
      </c>
      <c r="L82" s="207">
        <f>[1]Kontrollpanel!$D$37*L63</f>
        <v>0</v>
      </c>
      <c r="M82" s="207">
        <f>[1]Kontrollpanel!$D$37*M63</f>
        <v>52962</v>
      </c>
      <c r="N82" s="207">
        <f>[1]Kontrollpanel!$D$37*N63</f>
        <v>0</v>
      </c>
      <c r="O82" s="207">
        <f>[1]Kontrollpanel!$D$37*O63</f>
        <v>30894.500000000004</v>
      </c>
      <c r="P82" s="207">
        <f>[1]Kontrollpanel!$D$37*P63</f>
        <v>0</v>
      </c>
      <c r="Q82" s="207">
        <f>[1]Kontrollpanel!$D$37*Q63</f>
        <v>0</v>
      </c>
      <c r="R82" s="207">
        <f>[1]Kontrollpanel!$D$37*R63</f>
        <v>22067.5</v>
      </c>
      <c r="S82" s="207">
        <f>[1]Kontrollpanel!$D$37*S63</f>
        <v>445763.50000000006</v>
      </c>
      <c r="T82" s="208">
        <f>SUM(D82:S82)</f>
        <v>1196058.5</v>
      </c>
      <c r="U82" s="202"/>
      <c r="V82" s="9"/>
      <c r="W82" s="9"/>
    </row>
    <row r="83" spans="2:23" ht="18" customHeight="1" x14ac:dyDescent="0.25">
      <c r="B83" s="7"/>
      <c r="C83" s="200" t="s">
        <v>73</v>
      </c>
      <c r="D83" s="209">
        <v>0</v>
      </c>
      <c r="E83" s="163"/>
      <c r="F83" s="163"/>
      <c r="G83" s="163"/>
      <c r="H83" s="163"/>
      <c r="I83" s="163"/>
      <c r="J83" s="163"/>
      <c r="K83" s="163"/>
      <c r="L83" s="163"/>
      <c r="M83" s="163"/>
      <c r="N83" s="163"/>
      <c r="O83" s="163"/>
      <c r="P83" s="163"/>
      <c r="Q83" s="163"/>
      <c r="R83" s="163"/>
      <c r="S83" s="163"/>
      <c r="T83" s="210"/>
      <c r="U83" s="203"/>
      <c r="V83" s="9"/>
      <c r="W83" s="9"/>
    </row>
    <row r="84" spans="2:23" ht="16.5" customHeight="1" x14ac:dyDescent="0.25">
      <c r="B84" s="7"/>
      <c r="C84" s="134" t="s">
        <v>82</v>
      </c>
      <c r="D84" s="209">
        <v>273260</v>
      </c>
      <c r="E84" s="209">
        <v>551175</v>
      </c>
      <c r="F84" s="209">
        <v>1361584</v>
      </c>
      <c r="G84" s="209">
        <v>327919</v>
      </c>
      <c r="H84" s="209">
        <v>238436</v>
      </c>
      <c r="I84" s="209">
        <v>771458</v>
      </c>
      <c r="J84" s="209">
        <v>2073405</v>
      </c>
      <c r="K84" s="209">
        <v>238621</v>
      </c>
      <c r="L84" s="209">
        <v>126374</v>
      </c>
      <c r="M84" s="209">
        <v>885773</v>
      </c>
      <c r="N84" s="209">
        <v>178651</v>
      </c>
      <c r="O84" s="209">
        <v>1085803</v>
      </c>
      <c r="P84" s="209">
        <v>84206</v>
      </c>
      <c r="Q84" s="209">
        <v>551491</v>
      </c>
      <c r="R84" s="209">
        <v>225835</v>
      </c>
      <c r="S84" s="209">
        <v>8242360</v>
      </c>
      <c r="T84" s="210">
        <f t="shared" ref="T84" si="11">SUM(D84:S84)</f>
        <v>17216351</v>
      </c>
      <c r="U84" s="203"/>
      <c r="V84" s="9"/>
      <c r="W84" s="9"/>
    </row>
    <row r="85" spans="2:23" ht="15.75" x14ac:dyDescent="0.25">
      <c r="B85" s="7"/>
      <c r="C85" s="134"/>
      <c r="D85" s="209"/>
      <c r="E85" s="163"/>
      <c r="F85" s="163"/>
      <c r="G85" s="163"/>
      <c r="H85" s="163"/>
      <c r="I85" s="163"/>
      <c r="J85" s="163"/>
      <c r="K85" s="163"/>
      <c r="L85" s="163"/>
      <c r="M85" s="163"/>
      <c r="N85" s="163"/>
      <c r="O85" s="163"/>
      <c r="P85" s="163"/>
      <c r="Q85" s="163"/>
      <c r="R85" s="163"/>
      <c r="S85" s="163"/>
      <c r="T85" s="211"/>
      <c r="U85" s="203"/>
      <c r="V85" s="9"/>
      <c r="W85" s="9"/>
    </row>
    <row r="86" spans="2:23" ht="17.25" customHeight="1" thickBot="1" x14ac:dyDescent="0.25">
      <c r="B86" s="64"/>
      <c r="C86" s="134">
        <f>Kontrollpanel!D40</f>
        <v>0.86</v>
      </c>
      <c r="D86" s="212">
        <f>D87*Kontrollpanel!$D$40</f>
        <v>235003.6</v>
      </c>
      <c r="E86" s="212">
        <f>E87*Kontrollpanel!$D$40</f>
        <v>500579.77</v>
      </c>
      <c r="F86" s="212">
        <f>F87*Kontrollpanel!$D$40</f>
        <v>1398698.84</v>
      </c>
      <c r="G86" s="212">
        <f>G87*Kontrollpanel!$D$40</f>
        <v>282010.33999999997</v>
      </c>
      <c r="H86" s="212">
        <f>H87*Kontrollpanel!$D$40</f>
        <v>296149.59999999998</v>
      </c>
      <c r="I86" s="212">
        <f>I87*Kontrollpanel!$D$40</f>
        <v>800095.84</v>
      </c>
      <c r="J86" s="212">
        <f>J87*Kontrollpanel!$D$40</f>
        <v>1855244.89</v>
      </c>
      <c r="K86" s="212">
        <f>K87*Kontrollpanel!$D$40</f>
        <v>205214.06</v>
      </c>
      <c r="L86" s="212">
        <f>L87*Kontrollpanel!$D$40</f>
        <v>108681.64</v>
      </c>
      <c r="M86" s="212">
        <f>M87*Kontrollpanel!$D$40</f>
        <v>807312.1</v>
      </c>
      <c r="N86" s="212">
        <f>N87*Kontrollpanel!$D$40</f>
        <v>153639.85999999999</v>
      </c>
      <c r="O86" s="212">
        <f>O87*Kontrollpanel!$D$40</f>
        <v>960359.85</v>
      </c>
      <c r="P86" s="212">
        <f>P87*Kontrollpanel!$D$40</f>
        <v>72417.16</v>
      </c>
      <c r="Q86" s="212">
        <f>Q87*Kontrollpanel!$D$40</f>
        <v>474282.26</v>
      </c>
      <c r="R86" s="212">
        <f>R87*Kontrollpanel!$D$40</f>
        <v>213196.15</v>
      </c>
      <c r="S86" s="212">
        <f>S87*Kontrollpanel!$D$40</f>
        <v>7471786.21</v>
      </c>
      <c r="T86" s="212">
        <f>T87*Kontrollpanel!$D$40</f>
        <v>15834672.17</v>
      </c>
      <c r="U86" s="203"/>
      <c r="V86" s="9"/>
      <c r="W86" s="9"/>
    </row>
    <row r="87" spans="2:23" ht="15.75" thickBot="1" x14ac:dyDescent="0.25">
      <c r="B87" s="64"/>
      <c r="C87" s="201" t="s">
        <v>74</v>
      </c>
      <c r="D87" s="212">
        <f>SUM(D82:D84)</f>
        <v>273260</v>
      </c>
      <c r="E87" s="212">
        <f t="shared" ref="E87:T87" si="12">SUM(E82:E84)</f>
        <v>582069.5</v>
      </c>
      <c r="F87" s="212">
        <f t="shared" si="12"/>
        <v>1626394</v>
      </c>
      <c r="G87" s="212">
        <f t="shared" si="12"/>
        <v>327919</v>
      </c>
      <c r="H87" s="212">
        <f t="shared" si="12"/>
        <v>344360</v>
      </c>
      <c r="I87" s="212">
        <f t="shared" si="12"/>
        <v>930344</v>
      </c>
      <c r="J87" s="212">
        <f t="shared" si="12"/>
        <v>2157261.5</v>
      </c>
      <c r="K87" s="212">
        <f t="shared" si="12"/>
        <v>238621</v>
      </c>
      <c r="L87" s="212">
        <f t="shared" si="12"/>
        <v>126374</v>
      </c>
      <c r="M87" s="212">
        <f t="shared" si="12"/>
        <v>938735</v>
      </c>
      <c r="N87" s="212">
        <f t="shared" si="12"/>
        <v>178651</v>
      </c>
      <c r="O87" s="212">
        <f t="shared" si="12"/>
        <v>1116697.5</v>
      </c>
      <c r="P87" s="212">
        <f t="shared" si="12"/>
        <v>84206</v>
      </c>
      <c r="Q87" s="212">
        <f t="shared" si="12"/>
        <v>551491</v>
      </c>
      <c r="R87" s="212">
        <f t="shared" si="12"/>
        <v>247902.5</v>
      </c>
      <c r="S87" s="212">
        <f t="shared" si="12"/>
        <v>8688123.5</v>
      </c>
      <c r="T87" s="212">
        <f t="shared" si="12"/>
        <v>18412409.5</v>
      </c>
      <c r="U87" s="204" t="s">
        <v>410</v>
      </c>
      <c r="V87" s="9"/>
      <c r="W87" s="9"/>
    </row>
    <row r="88" spans="2:23" ht="16.5" thickBot="1" x14ac:dyDescent="0.3">
      <c r="B88" s="64"/>
      <c r="C88" s="124"/>
      <c r="D88" s="171"/>
      <c r="E88" s="171"/>
      <c r="F88" s="171"/>
      <c r="G88" s="171"/>
      <c r="H88" s="171"/>
      <c r="I88" s="171"/>
      <c r="J88" s="171"/>
      <c r="K88" s="171"/>
      <c r="L88" s="171"/>
      <c r="M88" s="171"/>
      <c r="N88" s="171"/>
      <c r="O88" s="171"/>
      <c r="P88" s="171"/>
      <c r="Q88" s="171"/>
      <c r="R88" s="171"/>
      <c r="S88" s="171"/>
      <c r="T88" s="172"/>
      <c r="U88" s="173"/>
      <c r="V88" s="9"/>
      <c r="W88" s="9"/>
    </row>
    <row r="89" spans="2:23" ht="16.5" thickBot="1" x14ac:dyDescent="0.3">
      <c r="B89" s="64"/>
      <c r="C89" s="174" t="s">
        <v>99</v>
      </c>
      <c r="D89" s="175"/>
      <c r="E89" s="175"/>
      <c r="F89" s="175"/>
      <c r="G89" s="176"/>
      <c r="H89" s="175"/>
      <c r="I89" s="175"/>
      <c r="J89" s="175"/>
      <c r="K89" s="175"/>
      <c r="L89" s="175"/>
      <c r="M89" s="175"/>
      <c r="N89" s="176"/>
      <c r="O89" s="177"/>
      <c r="P89" s="177"/>
      <c r="Q89" s="177"/>
      <c r="R89" s="177"/>
      <c r="S89" s="177"/>
      <c r="T89" s="172"/>
      <c r="U89" s="173"/>
      <c r="V89" s="9"/>
      <c r="W89" s="9"/>
    </row>
    <row r="90" spans="2:23" ht="16.5" thickBot="1" x14ac:dyDescent="0.3">
      <c r="B90" s="64"/>
      <c r="C90" s="124"/>
      <c r="D90" s="177"/>
      <c r="E90" s="177"/>
      <c r="F90" s="177"/>
      <c r="G90" s="177"/>
      <c r="H90" s="177"/>
      <c r="I90" s="177"/>
      <c r="J90" s="177"/>
      <c r="K90" s="177"/>
      <c r="L90" s="177"/>
      <c r="M90" s="177"/>
      <c r="N90" s="177"/>
      <c r="O90" s="177"/>
      <c r="P90" s="177"/>
      <c r="Q90" s="177"/>
      <c r="R90" s="177"/>
      <c r="S90" s="177"/>
      <c r="T90" s="172"/>
      <c r="U90" s="173"/>
      <c r="V90" s="9"/>
      <c r="W90" s="9"/>
    </row>
    <row r="91" spans="2:23" ht="15.75" x14ac:dyDescent="0.25">
      <c r="B91" s="64"/>
      <c r="C91" s="178" t="s">
        <v>695</v>
      </c>
      <c r="D91" s="1303">
        <f>T86</f>
        <v>15834672.17</v>
      </c>
      <c r="E91" s="179"/>
      <c r="F91" s="179"/>
      <c r="G91" s="179"/>
      <c r="H91" s="180"/>
      <c r="I91" s="177"/>
      <c r="J91" s="177"/>
      <c r="K91" s="177"/>
      <c r="L91" s="177"/>
      <c r="M91" s="177"/>
      <c r="N91" s="177"/>
      <c r="O91" s="177"/>
      <c r="P91" s="177"/>
      <c r="Q91" s="177"/>
      <c r="R91" s="177"/>
      <c r="S91" s="177"/>
      <c r="T91" s="172"/>
      <c r="U91" s="173"/>
      <c r="V91" s="9"/>
      <c r="W91" s="9"/>
    </row>
    <row r="92" spans="2:23" ht="15.75" x14ac:dyDescent="0.25">
      <c r="B92" s="64"/>
      <c r="C92" s="181" t="s">
        <v>74</v>
      </c>
      <c r="D92" s="182">
        <f>SUM(T82:T84)</f>
        <v>18412409.5</v>
      </c>
      <c r="E92" s="182"/>
      <c r="F92" s="182"/>
      <c r="G92" s="182"/>
      <c r="H92" s="183"/>
      <c r="I92" s="96"/>
      <c r="J92" s="1301" t="s">
        <v>694</v>
      </c>
      <c r="K92" s="1304">
        <f>T87-T86</f>
        <v>2577737.33</v>
      </c>
      <c r="L92" s="96"/>
      <c r="M92" s="96"/>
      <c r="N92" s="96"/>
      <c r="O92" s="96"/>
      <c r="P92" s="96"/>
      <c r="Q92" s="96"/>
      <c r="R92" s="96"/>
      <c r="S92" s="96"/>
      <c r="T92" s="96"/>
      <c r="U92" s="184"/>
      <c r="V92" s="9"/>
      <c r="W92" s="9"/>
    </row>
    <row r="93" spans="2:23" ht="15.75" x14ac:dyDescent="0.25">
      <c r="B93" s="64"/>
      <c r="C93" s="181" t="s">
        <v>75</v>
      </c>
      <c r="D93" s="1210">
        <f>Kontrollpanel!D39</f>
        <v>0.65</v>
      </c>
      <c r="E93" s="182"/>
      <c r="F93" s="182" t="s">
        <v>76</v>
      </c>
      <c r="G93" s="182"/>
      <c r="H93" s="183"/>
      <c r="I93" s="96"/>
      <c r="J93" s="96"/>
      <c r="K93" s="96"/>
      <c r="L93" s="96"/>
      <c r="M93" s="96"/>
      <c r="N93" s="96"/>
      <c r="O93" s="96"/>
      <c r="P93" s="96"/>
      <c r="Q93" s="96"/>
      <c r="R93" s="96"/>
      <c r="S93" s="96"/>
      <c r="T93" s="96"/>
      <c r="U93" s="184"/>
      <c r="V93" s="9"/>
      <c r="W93" s="9"/>
    </row>
    <row r="94" spans="2:23" ht="15.75" x14ac:dyDescent="0.25">
      <c r="B94" s="7"/>
      <c r="C94" s="181" t="s">
        <v>77</v>
      </c>
      <c r="D94" s="182">
        <f>D91</f>
        <v>15834672.17</v>
      </c>
      <c r="E94" s="182"/>
      <c r="F94" s="182" t="s">
        <v>78</v>
      </c>
      <c r="G94" s="182"/>
      <c r="H94" s="183"/>
      <c r="I94" s="185"/>
      <c r="J94" s="96"/>
      <c r="K94" s="1302">
        <f>D92-D91</f>
        <v>2577737.33</v>
      </c>
      <c r="L94" s="185"/>
      <c r="M94" s="185"/>
      <c r="N94" s="185"/>
      <c r="O94" s="185"/>
      <c r="P94" s="185"/>
      <c r="Q94" s="185"/>
      <c r="R94" s="185"/>
      <c r="S94" s="185"/>
      <c r="T94" s="185"/>
      <c r="U94" s="186"/>
      <c r="V94" s="9"/>
      <c r="W94" s="9"/>
    </row>
    <row r="95" spans="2:23" ht="15.75" x14ac:dyDescent="0.25">
      <c r="B95" s="7"/>
      <c r="C95" s="181"/>
      <c r="D95" s="182" t="s">
        <v>615</v>
      </c>
      <c r="E95" s="182"/>
      <c r="F95" s="182"/>
      <c r="G95" s="182"/>
      <c r="H95" s="183"/>
      <c r="I95" s="185"/>
      <c r="J95" s="185"/>
      <c r="K95" s="185"/>
      <c r="L95" s="185"/>
      <c r="M95" s="185"/>
      <c r="N95" s="185"/>
      <c r="O95" s="185"/>
      <c r="P95" s="185"/>
      <c r="Q95" s="185"/>
      <c r="R95" s="185"/>
      <c r="S95" s="185"/>
      <c r="T95" s="185"/>
      <c r="U95" s="186"/>
      <c r="V95" s="9"/>
      <c r="W95" s="9"/>
    </row>
    <row r="96" spans="2:23" ht="16.5" thickBot="1" x14ac:dyDescent="0.3">
      <c r="B96" s="7"/>
      <c r="C96" s="187" t="s">
        <v>79</v>
      </c>
      <c r="D96" s="188">
        <f>D94/T43</f>
        <v>672.41378275085992</v>
      </c>
      <c r="E96" s="189"/>
      <c r="F96" s="189"/>
      <c r="G96" s="189"/>
      <c r="H96" s="190"/>
      <c r="I96" s="191"/>
      <c r="J96" s="191"/>
      <c r="K96" s="191"/>
      <c r="L96" s="191"/>
      <c r="M96" s="191"/>
      <c r="N96" s="191"/>
      <c r="O96" s="191"/>
      <c r="P96" s="191"/>
      <c r="Q96" s="191"/>
      <c r="R96" s="191"/>
      <c r="S96" s="191"/>
      <c r="T96" s="191"/>
      <c r="U96" s="152"/>
      <c r="V96" s="9"/>
      <c r="W96" s="9"/>
    </row>
    <row r="97" spans="2:22" hidden="1" x14ac:dyDescent="0.2">
      <c r="B97" s="7">
        <v>2012</v>
      </c>
      <c r="C97" s="152"/>
      <c r="D97" s="191"/>
      <c r="E97" s="191"/>
      <c r="F97" s="191"/>
      <c r="G97" s="191"/>
      <c r="H97" s="191"/>
      <c r="I97" s="191"/>
      <c r="J97" s="191"/>
      <c r="K97" s="191"/>
      <c r="L97" s="191"/>
      <c r="M97" s="191"/>
      <c r="N97" s="191"/>
      <c r="O97" s="191"/>
      <c r="P97" s="191"/>
      <c r="Q97" s="191"/>
      <c r="R97" s="191"/>
      <c r="S97" s="191"/>
      <c r="T97" s="191"/>
      <c r="U97" s="152"/>
      <c r="V97" s="18"/>
    </row>
    <row r="98" spans="2:22" hidden="1" x14ac:dyDescent="0.2">
      <c r="B98" s="7"/>
      <c r="C98" s="152"/>
      <c r="D98" s="191"/>
      <c r="E98" s="191"/>
      <c r="F98" s="191"/>
      <c r="G98" s="191"/>
      <c r="H98" s="191"/>
      <c r="I98" s="191"/>
      <c r="J98" s="191"/>
      <c r="K98" s="191"/>
      <c r="L98" s="191"/>
      <c r="M98" s="191"/>
      <c r="N98" s="191"/>
      <c r="O98" s="191"/>
      <c r="P98" s="191"/>
      <c r="Q98" s="191"/>
      <c r="R98" s="191"/>
      <c r="S98" s="191"/>
      <c r="T98" s="191"/>
      <c r="U98" s="152"/>
      <c r="V98" s="18"/>
    </row>
    <row r="99" spans="2:22" hidden="1" x14ac:dyDescent="0.2">
      <c r="B99" s="7"/>
      <c r="C99" s="152"/>
      <c r="D99" s="191"/>
      <c r="E99" s="191"/>
      <c r="F99" s="191"/>
      <c r="G99" s="191"/>
      <c r="H99" s="191"/>
      <c r="I99" s="191"/>
      <c r="J99" s="191"/>
      <c r="K99" s="191"/>
      <c r="L99" s="191"/>
      <c r="M99" s="191"/>
      <c r="N99" s="191"/>
      <c r="O99" s="191"/>
      <c r="P99" s="191"/>
      <c r="Q99" s="191"/>
      <c r="R99" s="191"/>
      <c r="S99" s="191"/>
      <c r="T99" s="191"/>
      <c r="U99" s="152"/>
      <c r="V99" s="18"/>
    </row>
    <row r="100" spans="2:22" hidden="1" x14ac:dyDescent="0.2">
      <c r="B100" s="7"/>
      <c r="C100" s="152"/>
      <c r="D100" s="191"/>
      <c r="E100" s="191"/>
      <c r="F100" s="191"/>
      <c r="G100" s="191"/>
      <c r="H100" s="191"/>
      <c r="I100" s="191"/>
      <c r="J100" s="191"/>
      <c r="K100" s="191"/>
      <c r="L100" s="191"/>
      <c r="M100" s="191"/>
      <c r="N100" s="191"/>
      <c r="O100" s="191"/>
      <c r="P100" s="191"/>
      <c r="Q100" s="191"/>
      <c r="R100" s="191"/>
      <c r="S100" s="191"/>
      <c r="T100" s="191"/>
      <c r="U100" s="152"/>
      <c r="V100" s="18"/>
    </row>
    <row r="101" spans="2:22" hidden="1" x14ac:dyDescent="0.2">
      <c r="B101" s="7"/>
      <c r="C101" s="152"/>
      <c r="D101" s="191"/>
      <c r="E101" s="191"/>
      <c r="F101" s="191"/>
      <c r="G101" s="191"/>
      <c r="H101" s="191"/>
      <c r="I101" s="191"/>
      <c r="J101" s="191"/>
      <c r="K101" s="191"/>
      <c r="L101" s="191"/>
      <c r="M101" s="191"/>
      <c r="N101" s="191"/>
      <c r="O101" s="191"/>
      <c r="P101" s="191"/>
      <c r="Q101" s="191"/>
      <c r="R101" s="191"/>
      <c r="S101" s="191"/>
      <c r="T101" s="191"/>
      <c r="U101" s="152"/>
      <c r="V101" s="18"/>
    </row>
    <row r="102" spans="2:22" hidden="1" x14ac:dyDescent="0.2">
      <c r="B102" s="7"/>
      <c r="C102" s="152"/>
      <c r="D102" s="191"/>
      <c r="E102" s="191"/>
      <c r="F102" s="191"/>
      <c r="G102" s="191"/>
      <c r="H102" s="191"/>
      <c r="I102" s="191"/>
      <c r="J102" s="191"/>
      <c r="K102" s="191"/>
      <c r="L102" s="191"/>
      <c r="M102" s="191"/>
      <c r="N102" s="191"/>
      <c r="O102" s="191"/>
      <c r="P102" s="191"/>
      <c r="Q102" s="191"/>
      <c r="R102" s="191"/>
      <c r="S102" s="191"/>
      <c r="T102" s="191"/>
      <c r="U102" s="152"/>
      <c r="V102" s="18"/>
    </row>
    <row r="103" spans="2:22" hidden="1" x14ac:dyDescent="0.2">
      <c r="B103" s="7"/>
      <c r="C103" s="152"/>
      <c r="D103" s="191"/>
      <c r="E103" s="191"/>
      <c r="F103" s="191"/>
      <c r="G103" s="191"/>
      <c r="H103" s="191"/>
      <c r="I103" s="191"/>
      <c r="J103" s="191"/>
      <c r="K103" s="191"/>
      <c r="L103" s="191"/>
      <c r="M103" s="191"/>
      <c r="N103" s="191"/>
      <c r="O103" s="191"/>
      <c r="P103" s="191"/>
      <c r="Q103" s="191"/>
      <c r="R103" s="191"/>
      <c r="S103" s="191"/>
      <c r="T103" s="191"/>
      <c r="U103" s="152"/>
      <c r="V103" s="18"/>
    </row>
    <row r="104" spans="2:22" hidden="1" x14ac:dyDescent="0.2">
      <c r="B104" s="7"/>
      <c r="C104" s="152"/>
      <c r="D104" s="191"/>
      <c r="E104" s="191"/>
      <c r="F104" s="191"/>
      <c r="G104" s="191"/>
      <c r="H104" s="191"/>
      <c r="I104" s="191"/>
      <c r="J104" s="191"/>
      <c r="K104" s="191"/>
      <c r="L104" s="191"/>
      <c r="M104" s="191"/>
      <c r="N104" s="191"/>
      <c r="O104" s="191"/>
      <c r="P104" s="191"/>
      <c r="Q104" s="191"/>
      <c r="R104" s="191"/>
      <c r="S104" s="191"/>
      <c r="T104" s="191"/>
      <c r="U104" s="152"/>
      <c r="V104" s="18"/>
    </row>
    <row r="105" spans="2:22" hidden="1" x14ac:dyDescent="0.2">
      <c r="B105" s="7"/>
      <c r="C105" s="152"/>
      <c r="D105" s="191"/>
      <c r="E105" s="191"/>
      <c r="F105" s="191"/>
      <c r="G105" s="191"/>
      <c r="H105" s="191"/>
      <c r="I105" s="191"/>
      <c r="J105" s="191"/>
      <c r="K105" s="191"/>
      <c r="L105" s="191"/>
      <c r="M105" s="191"/>
      <c r="N105" s="191"/>
      <c r="O105" s="191"/>
      <c r="P105" s="191"/>
      <c r="Q105" s="191"/>
      <c r="R105" s="191"/>
      <c r="S105" s="191"/>
      <c r="T105" s="191"/>
      <c r="U105" s="152"/>
      <c r="V105" s="18"/>
    </row>
    <row r="106" spans="2:22" hidden="1" x14ac:dyDescent="0.2">
      <c r="B106" s="7"/>
      <c r="C106" s="152"/>
      <c r="D106" s="191"/>
      <c r="E106" s="191"/>
      <c r="F106" s="191"/>
      <c r="G106" s="191"/>
      <c r="H106" s="191"/>
      <c r="I106" s="191"/>
      <c r="J106" s="191"/>
      <c r="K106" s="191"/>
      <c r="L106" s="191"/>
      <c r="M106" s="191"/>
      <c r="N106" s="191"/>
      <c r="O106" s="191"/>
      <c r="P106" s="191"/>
      <c r="Q106" s="191"/>
      <c r="R106" s="191"/>
      <c r="S106" s="191"/>
      <c r="T106" s="191"/>
      <c r="U106" s="152"/>
      <c r="V106" s="18"/>
    </row>
    <row r="107" spans="2:22" hidden="1" x14ac:dyDescent="0.2">
      <c r="B107" s="7"/>
      <c r="C107" s="152"/>
      <c r="D107" s="191"/>
      <c r="E107" s="191"/>
      <c r="F107" s="191"/>
      <c r="G107" s="191"/>
      <c r="H107" s="191"/>
      <c r="I107" s="191"/>
      <c r="J107" s="191"/>
      <c r="K107" s="191"/>
      <c r="L107" s="191"/>
      <c r="M107" s="191"/>
      <c r="N107" s="191"/>
      <c r="O107" s="191"/>
      <c r="P107" s="191"/>
      <c r="Q107" s="191"/>
      <c r="R107" s="191"/>
      <c r="S107" s="191"/>
      <c r="T107" s="191"/>
      <c r="U107" s="152"/>
      <c r="V107" s="19"/>
    </row>
    <row r="108" spans="2:22" hidden="1" x14ac:dyDescent="0.2">
      <c r="B108" s="7"/>
      <c r="C108" s="152"/>
      <c r="D108" s="191"/>
      <c r="E108" s="191"/>
      <c r="F108" s="191"/>
      <c r="G108" s="191"/>
      <c r="H108" s="191"/>
      <c r="I108" s="191"/>
      <c r="J108" s="191"/>
      <c r="K108" s="191"/>
      <c r="L108" s="191"/>
      <c r="M108" s="191"/>
      <c r="N108" s="191"/>
      <c r="O108" s="191"/>
      <c r="P108" s="191"/>
      <c r="Q108" s="191"/>
      <c r="R108" s="191"/>
      <c r="S108" s="191"/>
      <c r="T108" s="191"/>
      <c r="U108" s="152"/>
      <c r="V108" s="11"/>
    </row>
    <row r="109" spans="2:22" hidden="1" x14ac:dyDescent="0.2">
      <c r="B109" s="7"/>
      <c r="C109" s="152"/>
      <c r="D109" s="191"/>
      <c r="E109" s="191"/>
      <c r="F109" s="191"/>
      <c r="G109" s="191"/>
      <c r="H109" s="191"/>
      <c r="I109" s="191"/>
      <c r="J109" s="191"/>
      <c r="K109" s="191"/>
      <c r="L109" s="191"/>
      <c r="M109" s="191"/>
      <c r="N109" s="191"/>
      <c r="O109" s="191"/>
      <c r="P109" s="191"/>
      <c r="Q109" s="191"/>
      <c r="R109" s="191"/>
      <c r="S109" s="191"/>
      <c r="T109" s="191"/>
      <c r="U109" s="152"/>
      <c r="V109" s="14"/>
    </row>
    <row r="110" spans="2:22" hidden="1" x14ac:dyDescent="0.2">
      <c r="B110" s="7"/>
      <c r="C110" s="152"/>
      <c r="D110" s="191"/>
      <c r="E110" s="191"/>
      <c r="F110" s="191"/>
      <c r="G110" s="191"/>
      <c r="H110" s="191"/>
      <c r="I110" s="191"/>
      <c r="J110" s="191"/>
      <c r="K110" s="191"/>
      <c r="L110" s="191"/>
      <c r="M110" s="191"/>
      <c r="N110" s="191"/>
      <c r="O110" s="191"/>
      <c r="P110" s="191"/>
      <c r="Q110" s="191"/>
      <c r="R110" s="191"/>
      <c r="S110" s="191"/>
      <c r="T110" s="191"/>
      <c r="U110" s="152"/>
      <c r="V110" s="14"/>
    </row>
    <row r="111" spans="2:22" hidden="1" x14ac:dyDescent="0.2">
      <c r="B111" s="7"/>
      <c r="C111" s="152"/>
      <c r="D111" s="191"/>
      <c r="E111" s="191"/>
      <c r="F111" s="191"/>
      <c r="G111" s="191"/>
      <c r="H111" s="191"/>
      <c r="I111" s="191"/>
      <c r="J111" s="191"/>
      <c r="K111" s="191"/>
      <c r="L111" s="191"/>
      <c r="M111" s="191"/>
      <c r="N111" s="191"/>
      <c r="O111" s="191"/>
      <c r="P111" s="191"/>
      <c r="Q111" s="191"/>
      <c r="R111" s="191"/>
      <c r="S111" s="191"/>
      <c r="T111" s="191"/>
      <c r="U111" s="152"/>
      <c r="V111" s="14"/>
    </row>
    <row r="112" spans="2:22" hidden="1" x14ac:dyDescent="0.2">
      <c r="B112" s="7"/>
      <c r="C112" s="152"/>
      <c r="D112" s="191"/>
      <c r="E112" s="191"/>
      <c r="F112" s="191"/>
      <c r="G112" s="191"/>
      <c r="H112" s="191"/>
      <c r="I112" s="191"/>
      <c r="J112" s="191"/>
      <c r="K112" s="191"/>
      <c r="L112" s="191"/>
      <c r="M112" s="191"/>
      <c r="N112" s="191"/>
      <c r="O112" s="191"/>
      <c r="P112" s="191"/>
      <c r="Q112" s="191"/>
      <c r="R112" s="191"/>
      <c r="S112" s="191"/>
      <c r="T112" s="191"/>
      <c r="U112" s="152"/>
      <c r="V112" s="14"/>
    </row>
    <row r="113" spans="2:22" hidden="1" x14ac:dyDescent="0.2">
      <c r="B113" s="7"/>
      <c r="C113" s="152"/>
      <c r="D113" s="191"/>
      <c r="E113" s="191"/>
      <c r="F113" s="191"/>
      <c r="G113" s="191"/>
      <c r="H113" s="191"/>
      <c r="I113" s="191"/>
      <c r="J113" s="191"/>
      <c r="K113" s="191"/>
      <c r="L113" s="191"/>
      <c r="M113" s="191"/>
      <c r="N113" s="191"/>
      <c r="O113" s="191"/>
      <c r="P113" s="191"/>
      <c r="Q113" s="191"/>
      <c r="R113" s="191"/>
      <c r="S113" s="191"/>
      <c r="T113" s="191"/>
      <c r="U113" s="152"/>
      <c r="V113" s="14"/>
    </row>
    <row r="114" spans="2:22" hidden="1" x14ac:dyDescent="0.2">
      <c r="B114" s="7"/>
      <c r="C114" s="152"/>
      <c r="D114" s="191"/>
      <c r="E114" s="191"/>
      <c r="F114" s="191"/>
      <c r="G114" s="191"/>
      <c r="H114" s="191"/>
      <c r="I114" s="191"/>
      <c r="J114" s="191"/>
      <c r="K114" s="191"/>
      <c r="L114" s="191"/>
      <c r="M114" s="191"/>
      <c r="N114" s="191"/>
      <c r="O114" s="191"/>
      <c r="P114" s="191"/>
      <c r="Q114" s="191"/>
      <c r="R114" s="191"/>
      <c r="S114" s="191"/>
      <c r="T114" s="191"/>
      <c r="U114" s="152"/>
      <c r="V114" s="14"/>
    </row>
    <row r="115" spans="2:22" hidden="1" x14ac:dyDescent="0.2">
      <c r="B115" s="7"/>
      <c r="C115" s="152"/>
      <c r="D115" s="191"/>
      <c r="E115" s="191"/>
      <c r="F115" s="191"/>
      <c r="G115" s="191"/>
      <c r="H115" s="191"/>
      <c r="I115" s="191"/>
      <c r="J115" s="191"/>
      <c r="K115" s="191"/>
      <c r="L115" s="191"/>
      <c r="M115" s="191"/>
      <c r="N115" s="191"/>
      <c r="O115" s="191"/>
      <c r="P115" s="191"/>
      <c r="Q115" s="191"/>
      <c r="R115" s="191"/>
      <c r="S115" s="191"/>
      <c r="T115" s="191"/>
      <c r="U115" s="152"/>
      <c r="V115" s="14"/>
    </row>
    <row r="116" spans="2:22" hidden="1" x14ac:dyDescent="0.2">
      <c r="B116" s="7"/>
      <c r="C116" s="152"/>
      <c r="D116" s="191"/>
      <c r="E116" s="191"/>
      <c r="F116" s="191"/>
      <c r="G116" s="191"/>
      <c r="H116" s="191"/>
      <c r="I116" s="191"/>
      <c r="J116" s="191"/>
      <c r="K116" s="191"/>
      <c r="L116" s="191"/>
      <c r="M116" s="191"/>
      <c r="N116" s="191"/>
      <c r="O116" s="191"/>
      <c r="P116" s="191"/>
      <c r="Q116" s="191"/>
      <c r="R116" s="191"/>
      <c r="S116" s="191"/>
      <c r="T116" s="191"/>
      <c r="U116" s="152"/>
      <c r="V116" s="14"/>
    </row>
    <row r="117" spans="2:22" hidden="1" x14ac:dyDescent="0.2">
      <c r="B117" s="7"/>
      <c r="C117" s="152"/>
      <c r="D117" s="191"/>
      <c r="E117" s="191"/>
      <c r="F117" s="191"/>
      <c r="G117" s="191"/>
      <c r="H117" s="191"/>
      <c r="I117" s="191"/>
      <c r="J117" s="191"/>
      <c r="K117" s="191"/>
      <c r="L117" s="191"/>
      <c r="M117" s="191"/>
      <c r="N117" s="191"/>
      <c r="O117" s="191"/>
      <c r="P117" s="191"/>
      <c r="Q117" s="191"/>
      <c r="R117" s="191"/>
      <c r="S117" s="191"/>
      <c r="T117" s="191"/>
      <c r="U117" s="152"/>
      <c r="V117" s="14"/>
    </row>
    <row r="118" spans="2:22" hidden="1" x14ac:dyDescent="0.2">
      <c r="B118" s="7"/>
      <c r="C118" s="152"/>
      <c r="D118" s="191"/>
      <c r="E118" s="191"/>
      <c r="F118" s="191"/>
      <c r="G118" s="191"/>
      <c r="H118" s="191"/>
      <c r="I118" s="191"/>
      <c r="J118" s="191"/>
      <c r="K118" s="191"/>
      <c r="L118" s="191"/>
      <c r="M118" s="191"/>
      <c r="N118" s="191"/>
      <c r="O118" s="191"/>
      <c r="P118" s="191"/>
      <c r="Q118" s="191"/>
      <c r="R118" s="191"/>
      <c r="S118" s="191"/>
      <c r="T118" s="191"/>
      <c r="U118" s="152"/>
      <c r="V118" s="14"/>
    </row>
    <row r="119" spans="2:22" hidden="1" x14ac:dyDescent="0.2">
      <c r="B119" s="7"/>
      <c r="C119" s="152"/>
      <c r="D119" s="191"/>
      <c r="E119" s="191"/>
      <c r="F119" s="191"/>
      <c r="G119" s="191"/>
      <c r="H119" s="191"/>
      <c r="I119" s="191"/>
      <c r="J119" s="191"/>
      <c r="K119" s="191"/>
      <c r="L119" s="191"/>
      <c r="M119" s="191"/>
      <c r="N119" s="191"/>
      <c r="O119" s="191"/>
      <c r="P119" s="191"/>
      <c r="Q119" s="191"/>
      <c r="R119" s="191"/>
      <c r="S119" s="191"/>
      <c r="T119" s="191"/>
      <c r="U119" s="152"/>
      <c r="V119" s="14"/>
    </row>
    <row r="120" spans="2:22" hidden="1" x14ac:dyDescent="0.2">
      <c r="B120" s="7"/>
      <c r="C120" s="152"/>
      <c r="D120" s="191"/>
      <c r="E120" s="191"/>
      <c r="F120" s="191"/>
      <c r="G120" s="191"/>
      <c r="H120" s="191"/>
      <c r="I120" s="191"/>
      <c r="J120" s="191"/>
      <c r="K120" s="191"/>
      <c r="L120" s="191"/>
      <c r="M120" s="191"/>
      <c r="N120" s="191"/>
      <c r="O120" s="191"/>
      <c r="P120" s="191"/>
      <c r="Q120" s="191"/>
      <c r="R120" s="191"/>
      <c r="S120" s="191"/>
      <c r="T120" s="191"/>
      <c r="U120" s="152"/>
      <c r="V120" s="14"/>
    </row>
    <row r="121" spans="2:22" hidden="1" x14ac:dyDescent="0.2">
      <c r="B121" s="7"/>
      <c r="C121" s="152"/>
      <c r="D121" s="191"/>
      <c r="E121" s="191"/>
      <c r="F121" s="191"/>
      <c r="G121" s="191"/>
      <c r="H121" s="191"/>
      <c r="I121" s="191"/>
      <c r="J121" s="191"/>
      <c r="K121" s="191"/>
      <c r="L121" s="191"/>
      <c r="M121" s="191"/>
      <c r="N121" s="191"/>
      <c r="O121" s="191"/>
      <c r="P121" s="191"/>
      <c r="Q121" s="191"/>
      <c r="R121" s="191"/>
      <c r="S121" s="191"/>
      <c r="T121" s="191"/>
      <c r="U121" s="152"/>
      <c r="V121" s="14"/>
    </row>
    <row r="122" spans="2:22" hidden="1" x14ac:dyDescent="0.2">
      <c r="B122" s="7"/>
      <c r="C122" s="152"/>
      <c r="D122" s="191"/>
      <c r="E122" s="191"/>
      <c r="F122" s="191"/>
      <c r="G122" s="191"/>
      <c r="H122" s="191"/>
      <c r="I122" s="191"/>
      <c r="J122" s="191"/>
      <c r="K122" s="191"/>
      <c r="L122" s="191"/>
      <c r="M122" s="191"/>
      <c r="N122" s="191"/>
      <c r="O122" s="191"/>
      <c r="P122" s="191"/>
      <c r="Q122" s="191"/>
      <c r="R122" s="191"/>
      <c r="S122" s="191"/>
      <c r="T122" s="191"/>
      <c r="U122" s="152"/>
      <c r="V122" s="11"/>
    </row>
    <row r="123" spans="2:22" hidden="1" x14ac:dyDescent="0.2">
      <c r="B123" s="7"/>
      <c r="C123" s="152"/>
      <c r="D123" s="191"/>
      <c r="E123" s="191"/>
      <c r="F123" s="191"/>
      <c r="G123" s="191"/>
      <c r="H123" s="191"/>
      <c r="I123" s="191"/>
      <c r="J123" s="191"/>
      <c r="K123" s="191"/>
      <c r="L123" s="191"/>
      <c r="M123" s="191"/>
      <c r="N123" s="191"/>
      <c r="O123" s="191"/>
      <c r="P123" s="191"/>
      <c r="Q123" s="191"/>
      <c r="R123" s="191"/>
      <c r="S123" s="191"/>
      <c r="T123" s="191"/>
      <c r="U123" s="152"/>
      <c r="V123" s="11"/>
    </row>
    <row r="124" spans="2:22" hidden="1" x14ac:dyDescent="0.2">
      <c r="B124" s="7"/>
      <c r="C124" s="152"/>
      <c r="D124" s="191"/>
      <c r="E124" s="191"/>
      <c r="F124" s="191"/>
      <c r="G124" s="191"/>
      <c r="H124" s="191"/>
      <c r="I124" s="191"/>
      <c r="J124" s="191"/>
      <c r="K124" s="191"/>
      <c r="L124" s="191"/>
      <c r="M124" s="191"/>
      <c r="N124" s="191"/>
      <c r="O124" s="191"/>
      <c r="P124" s="191"/>
      <c r="Q124" s="191"/>
      <c r="R124" s="191"/>
      <c r="S124" s="191"/>
      <c r="T124" s="191"/>
      <c r="U124" s="152"/>
      <c r="V124" s="11"/>
    </row>
    <row r="125" spans="2:22" hidden="1" x14ac:dyDescent="0.2">
      <c r="B125" s="7">
        <v>2011</v>
      </c>
      <c r="C125" s="152"/>
      <c r="D125" s="191"/>
      <c r="E125" s="191"/>
      <c r="F125" s="191"/>
      <c r="G125" s="191"/>
      <c r="H125" s="191"/>
      <c r="I125" s="191"/>
      <c r="J125" s="191"/>
      <c r="K125" s="191"/>
      <c r="L125" s="191"/>
      <c r="M125" s="191"/>
      <c r="N125" s="191"/>
      <c r="O125" s="191"/>
      <c r="P125" s="191"/>
      <c r="Q125" s="191"/>
      <c r="R125" s="191"/>
      <c r="S125" s="191"/>
      <c r="T125" s="191"/>
      <c r="U125" s="152"/>
      <c r="V125" s="8"/>
    </row>
    <row r="126" spans="2:22" hidden="1" x14ac:dyDescent="0.2">
      <c r="B126" s="7"/>
      <c r="C126" s="152"/>
      <c r="D126" s="191"/>
      <c r="E126" s="191"/>
      <c r="F126" s="191"/>
      <c r="G126" s="191"/>
      <c r="H126" s="191"/>
      <c r="I126" s="191"/>
      <c r="J126" s="191"/>
      <c r="K126" s="191"/>
      <c r="L126" s="191"/>
      <c r="M126" s="191"/>
      <c r="N126" s="191"/>
      <c r="O126" s="191"/>
      <c r="P126" s="191"/>
      <c r="Q126" s="191"/>
      <c r="R126" s="191"/>
      <c r="S126" s="191"/>
      <c r="T126" s="191"/>
      <c r="U126" s="152"/>
      <c r="V126" s="18"/>
    </row>
    <row r="127" spans="2:22" hidden="1" x14ac:dyDescent="0.2">
      <c r="B127" s="7"/>
      <c r="C127" s="152"/>
      <c r="D127" s="191"/>
      <c r="E127" s="191"/>
      <c r="F127" s="191"/>
      <c r="G127" s="191"/>
      <c r="H127" s="191"/>
      <c r="I127" s="191"/>
      <c r="J127" s="191"/>
      <c r="K127" s="191"/>
      <c r="L127" s="191"/>
      <c r="M127" s="191"/>
      <c r="N127" s="191"/>
      <c r="O127" s="191"/>
      <c r="P127" s="191"/>
      <c r="Q127" s="191"/>
      <c r="R127" s="191"/>
      <c r="S127" s="191"/>
      <c r="T127" s="191"/>
      <c r="U127" s="152"/>
      <c r="V127" s="18"/>
    </row>
    <row r="128" spans="2:22" hidden="1" x14ac:dyDescent="0.2">
      <c r="B128" s="7"/>
      <c r="C128" s="152"/>
      <c r="D128" s="191"/>
      <c r="E128" s="191"/>
      <c r="F128" s="191"/>
      <c r="G128" s="191"/>
      <c r="H128" s="191"/>
      <c r="I128" s="191"/>
      <c r="J128" s="191"/>
      <c r="K128" s="191"/>
      <c r="L128" s="191"/>
      <c r="M128" s="191"/>
      <c r="N128" s="191"/>
      <c r="O128" s="191"/>
      <c r="P128" s="191"/>
      <c r="Q128" s="191"/>
      <c r="R128" s="191"/>
      <c r="S128" s="191"/>
      <c r="T128" s="191"/>
      <c r="U128" s="152"/>
      <c r="V128" s="18"/>
    </row>
    <row r="129" spans="2:22" hidden="1" x14ac:dyDescent="0.2">
      <c r="B129" s="7"/>
      <c r="C129" s="152"/>
      <c r="D129" s="191"/>
      <c r="E129" s="191"/>
      <c r="F129" s="191"/>
      <c r="G129" s="191"/>
      <c r="H129" s="191"/>
      <c r="I129" s="191"/>
      <c r="J129" s="191"/>
      <c r="K129" s="191"/>
      <c r="L129" s="191"/>
      <c r="M129" s="191"/>
      <c r="N129" s="191"/>
      <c r="O129" s="191"/>
      <c r="P129" s="191"/>
      <c r="Q129" s="191"/>
      <c r="R129" s="191"/>
      <c r="S129" s="191"/>
      <c r="T129" s="191"/>
      <c r="U129" s="152"/>
      <c r="V129" s="18"/>
    </row>
    <row r="130" spans="2:22" hidden="1" x14ac:dyDescent="0.2">
      <c r="B130" s="7"/>
      <c r="C130" s="152"/>
      <c r="D130" s="191"/>
      <c r="E130" s="191"/>
      <c r="F130" s="191"/>
      <c r="G130" s="191"/>
      <c r="H130" s="191"/>
      <c r="I130" s="191"/>
      <c r="J130" s="191"/>
      <c r="K130" s="191"/>
      <c r="L130" s="191"/>
      <c r="M130" s="191"/>
      <c r="N130" s="191"/>
      <c r="O130" s="191"/>
      <c r="P130" s="191"/>
      <c r="Q130" s="191"/>
      <c r="R130" s="191"/>
      <c r="S130" s="191"/>
      <c r="T130" s="191"/>
      <c r="U130" s="152"/>
      <c r="V130" s="18"/>
    </row>
    <row r="131" spans="2:22" hidden="1" x14ac:dyDescent="0.2">
      <c r="B131" s="7"/>
      <c r="C131" s="152"/>
      <c r="D131" s="191"/>
      <c r="E131" s="191"/>
      <c r="F131" s="191"/>
      <c r="G131" s="191"/>
      <c r="H131" s="191"/>
      <c r="I131" s="191"/>
      <c r="J131" s="191"/>
      <c r="K131" s="191"/>
      <c r="L131" s="191"/>
      <c r="M131" s="191"/>
      <c r="N131" s="191"/>
      <c r="O131" s="191"/>
      <c r="P131" s="191"/>
      <c r="Q131" s="191"/>
      <c r="R131" s="191"/>
      <c r="S131" s="191"/>
      <c r="T131" s="191"/>
      <c r="U131" s="152"/>
      <c r="V131" s="18"/>
    </row>
    <row r="132" spans="2:22" hidden="1" x14ac:dyDescent="0.2">
      <c r="B132" s="7"/>
      <c r="C132" s="152"/>
      <c r="D132" s="191"/>
      <c r="E132" s="191"/>
      <c r="F132" s="191"/>
      <c r="G132" s="191"/>
      <c r="H132" s="191"/>
      <c r="I132" s="191"/>
      <c r="J132" s="191"/>
      <c r="K132" s="191"/>
      <c r="L132" s="191"/>
      <c r="M132" s="191"/>
      <c r="N132" s="191"/>
      <c r="O132" s="191"/>
      <c r="P132" s="191"/>
      <c r="Q132" s="191"/>
      <c r="R132" s="191"/>
      <c r="S132" s="191"/>
      <c r="T132" s="191"/>
      <c r="U132" s="152"/>
      <c r="V132" s="18"/>
    </row>
    <row r="133" spans="2:22" hidden="1" x14ac:dyDescent="0.2">
      <c r="B133" s="7"/>
      <c r="C133" s="152"/>
      <c r="D133" s="191"/>
      <c r="E133" s="191"/>
      <c r="F133" s="191"/>
      <c r="G133" s="191"/>
      <c r="H133" s="191"/>
      <c r="I133" s="191"/>
      <c r="J133" s="191"/>
      <c r="K133" s="191"/>
      <c r="L133" s="191"/>
      <c r="M133" s="191"/>
      <c r="N133" s="191"/>
      <c r="O133" s="191"/>
      <c r="P133" s="191"/>
      <c r="Q133" s="191"/>
      <c r="R133" s="191"/>
      <c r="S133" s="191"/>
      <c r="T133" s="191"/>
      <c r="U133" s="152"/>
      <c r="V133" s="18"/>
    </row>
    <row r="134" spans="2:22" hidden="1" x14ac:dyDescent="0.2">
      <c r="B134" s="7"/>
      <c r="C134" s="152"/>
      <c r="D134" s="191"/>
      <c r="E134" s="191"/>
      <c r="F134" s="191"/>
      <c r="G134" s="191"/>
      <c r="H134" s="191"/>
      <c r="I134" s="191"/>
      <c r="J134" s="191"/>
      <c r="K134" s="191"/>
      <c r="L134" s="191"/>
      <c r="M134" s="191"/>
      <c r="N134" s="191"/>
      <c r="O134" s="191"/>
      <c r="P134" s="191"/>
      <c r="Q134" s="191"/>
      <c r="R134" s="191"/>
      <c r="S134" s="191"/>
      <c r="T134" s="191"/>
      <c r="U134" s="152"/>
      <c r="V134" s="18"/>
    </row>
    <row r="135" spans="2:22" ht="25.5" hidden="1" customHeight="1" x14ac:dyDescent="0.2">
      <c r="B135" s="7"/>
      <c r="C135" s="152"/>
      <c r="D135" s="191"/>
      <c r="E135" s="191"/>
      <c r="F135" s="191"/>
      <c r="G135" s="191"/>
      <c r="H135" s="191"/>
      <c r="I135" s="191"/>
      <c r="J135" s="191"/>
      <c r="K135" s="191"/>
      <c r="L135" s="191"/>
      <c r="M135" s="191"/>
      <c r="N135" s="191"/>
      <c r="O135" s="191"/>
      <c r="P135" s="191"/>
      <c r="Q135" s="191"/>
      <c r="R135" s="191"/>
      <c r="S135" s="191"/>
      <c r="T135" s="191"/>
      <c r="U135" s="152"/>
      <c r="V135" s="19"/>
    </row>
    <row r="136" spans="2:22" ht="22.5" hidden="1" customHeight="1" x14ac:dyDescent="0.2">
      <c r="B136" s="7"/>
      <c r="C136" s="152"/>
      <c r="D136" s="191"/>
      <c r="E136" s="191"/>
      <c r="F136" s="191"/>
      <c r="G136" s="191"/>
      <c r="H136" s="191"/>
      <c r="I136" s="191"/>
      <c r="J136" s="191"/>
      <c r="K136" s="191"/>
      <c r="L136" s="191"/>
      <c r="M136" s="191"/>
      <c r="N136" s="191"/>
      <c r="O136" s="191"/>
      <c r="P136" s="191"/>
      <c r="Q136" s="191"/>
      <c r="R136" s="191"/>
      <c r="S136" s="191"/>
      <c r="T136" s="191"/>
      <c r="U136" s="152"/>
      <c r="V136" s="11"/>
    </row>
    <row r="137" spans="2:22" ht="21.75" hidden="1" customHeight="1" x14ac:dyDescent="0.2">
      <c r="B137" s="7"/>
      <c r="C137" s="152"/>
      <c r="D137" s="191"/>
      <c r="E137" s="191"/>
      <c r="F137" s="191"/>
      <c r="G137" s="191"/>
      <c r="H137" s="191"/>
      <c r="I137" s="191"/>
      <c r="J137" s="191"/>
      <c r="K137" s="191"/>
      <c r="L137" s="191"/>
      <c r="M137" s="191"/>
      <c r="N137" s="191"/>
      <c r="O137" s="191"/>
      <c r="P137" s="191"/>
      <c r="Q137" s="191"/>
      <c r="R137" s="191"/>
      <c r="S137" s="191"/>
      <c r="T137" s="191"/>
      <c r="U137" s="152"/>
      <c r="V137" s="14"/>
    </row>
    <row r="138" spans="2:22" ht="21.75" hidden="1" customHeight="1" x14ac:dyDescent="0.2">
      <c r="B138" s="7"/>
      <c r="C138" s="152"/>
      <c r="D138" s="191"/>
      <c r="E138" s="191"/>
      <c r="F138" s="191"/>
      <c r="G138" s="191"/>
      <c r="H138" s="191"/>
      <c r="I138" s="191"/>
      <c r="J138" s="191"/>
      <c r="K138" s="191"/>
      <c r="L138" s="191"/>
      <c r="M138" s="191"/>
      <c r="N138" s="191"/>
      <c r="O138" s="191"/>
      <c r="P138" s="191"/>
      <c r="Q138" s="191"/>
      <c r="R138" s="191"/>
      <c r="S138" s="191"/>
      <c r="T138" s="191"/>
      <c r="U138" s="152"/>
      <c r="V138" s="14"/>
    </row>
    <row r="139" spans="2:22" ht="21.75" hidden="1" customHeight="1" x14ac:dyDescent="0.2">
      <c r="B139" s="7"/>
      <c r="C139" s="152"/>
      <c r="D139" s="191"/>
      <c r="E139" s="191"/>
      <c r="F139" s="191"/>
      <c r="G139" s="191"/>
      <c r="H139" s="191"/>
      <c r="I139" s="191"/>
      <c r="J139" s="191"/>
      <c r="K139" s="191"/>
      <c r="L139" s="191"/>
      <c r="M139" s="191"/>
      <c r="N139" s="191"/>
      <c r="O139" s="191"/>
      <c r="P139" s="191"/>
      <c r="Q139" s="191"/>
      <c r="R139" s="191"/>
      <c r="S139" s="191"/>
      <c r="T139" s="191"/>
      <c r="U139" s="152"/>
      <c r="V139" s="14"/>
    </row>
    <row r="140" spans="2:22" ht="20.25" hidden="1" customHeight="1" x14ac:dyDescent="0.2">
      <c r="B140" s="7"/>
      <c r="C140" s="152"/>
      <c r="D140" s="191"/>
      <c r="E140" s="191"/>
      <c r="F140" s="191"/>
      <c r="G140" s="191"/>
      <c r="H140" s="191"/>
      <c r="I140" s="191"/>
      <c r="J140" s="191"/>
      <c r="K140" s="191"/>
      <c r="L140" s="191"/>
      <c r="M140" s="191"/>
      <c r="N140" s="191"/>
      <c r="O140" s="191"/>
      <c r="P140" s="191"/>
      <c r="Q140" s="191"/>
      <c r="R140" s="191"/>
      <c r="S140" s="191"/>
      <c r="T140" s="191"/>
      <c r="U140" s="152"/>
      <c r="V140" s="14"/>
    </row>
    <row r="141" spans="2:22" ht="18.75" hidden="1" customHeight="1" x14ac:dyDescent="0.2">
      <c r="B141" s="7"/>
      <c r="C141" s="152"/>
      <c r="D141" s="191"/>
      <c r="E141" s="191"/>
      <c r="F141" s="191"/>
      <c r="G141" s="191"/>
      <c r="H141" s="191"/>
      <c r="I141" s="191"/>
      <c r="J141" s="191"/>
      <c r="K141" s="191"/>
      <c r="L141" s="191"/>
      <c r="M141" s="191"/>
      <c r="N141" s="191"/>
      <c r="O141" s="191"/>
      <c r="P141" s="191"/>
      <c r="Q141" s="191"/>
      <c r="R141" s="191"/>
      <c r="S141" s="191"/>
      <c r="T141" s="191"/>
      <c r="U141" s="152"/>
      <c r="V141" s="14"/>
    </row>
    <row r="142" spans="2:22" ht="18.75" hidden="1" customHeight="1" x14ac:dyDescent="0.2">
      <c r="B142" s="7"/>
      <c r="C142" s="152"/>
      <c r="D142" s="191"/>
      <c r="E142" s="191"/>
      <c r="F142" s="191"/>
      <c r="G142" s="191"/>
      <c r="H142" s="191"/>
      <c r="I142" s="191"/>
      <c r="J142" s="191"/>
      <c r="K142" s="191"/>
      <c r="L142" s="191"/>
      <c r="M142" s="191"/>
      <c r="N142" s="191"/>
      <c r="O142" s="191"/>
      <c r="P142" s="191"/>
      <c r="Q142" s="191"/>
      <c r="R142" s="191"/>
      <c r="S142" s="191"/>
      <c r="T142" s="191"/>
      <c r="U142" s="152"/>
      <c r="V142" s="14"/>
    </row>
    <row r="143" spans="2:22" ht="19.5" hidden="1" customHeight="1" x14ac:dyDescent="0.2">
      <c r="B143" s="7"/>
      <c r="C143" s="152"/>
      <c r="D143" s="191"/>
      <c r="E143" s="191"/>
      <c r="F143" s="191"/>
      <c r="G143" s="191"/>
      <c r="H143" s="191"/>
      <c r="I143" s="191"/>
      <c r="J143" s="191"/>
      <c r="K143" s="191"/>
      <c r="L143" s="191"/>
      <c r="M143" s="191"/>
      <c r="N143" s="191"/>
      <c r="O143" s="191"/>
      <c r="P143" s="191"/>
      <c r="Q143" s="191"/>
      <c r="R143" s="191"/>
      <c r="S143" s="191"/>
      <c r="T143" s="191"/>
      <c r="U143" s="152"/>
      <c r="V143" s="14"/>
    </row>
    <row r="144" spans="2:22" ht="21" hidden="1" customHeight="1" x14ac:dyDescent="0.2">
      <c r="B144" s="7"/>
      <c r="C144" s="152"/>
      <c r="D144" s="191"/>
      <c r="E144" s="191"/>
      <c r="F144" s="191"/>
      <c r="G144" s="191"/>
      <c r="H144" s="191"/>
      <c r="I144" s="191"/>
      <c r="J144" s="191"/>
      <c r="K144" s="191"/>
      <c r="L144" s="191"/>
      <c r="M144" s="191"/>
      <c r="N144" s="191"/>
      <c r="O144" s="191"/>
      <c r="P144" s="191"/>
      <c r="Q144" s="191"/>
      <c r="R144" s="191"/>
      <c r="S144" s="191"/>
      <c r="T144" s="191"/>
      <c r="U144" s="152"/>
      <c r="V144" s="14"/>
    </row>
    <row r="145" spans="2:22" ht="19.5" hidden="1" customHeight="1" x14ac:dyDescent="0.2">
      <c r="B145" s="7"/>
      <c r="C145" s="152"/>
      <c r="D145" s="191"/>
      <c r="E145" s="191"/>
      <c r="F145" s="191"/>
      <c r="G145" s="191"/>
      <c r="H145" s="191"/>
      <c r="I145" s="191"/>
      <c r="J145" s="191"/>
      <c r="K145" s="191"/>
      <c r="L145" s="191"/>
      <c r="M145" s="191"/>
      <c r="N145" s="191"/>
      <c r="O145" s="191"/>
      <c r="P145" s="191"/>
      <c r="Q145" s="191"/>
      <c r="R145" s="191"/>
      <c r="S145" s="191"/>
      <c r="T145" s="191"/>
      <c r="U145" s="152"/>
      <c r="V145" s="14"/>
    </row>
    <row r="146" spans="2:22" ht="21" hidden="1" customHeight="1" x14ac:dyDescent="0.2">
      <c r="B146" s="7"/>
      <c r="C146" s="152"/>
      <c r="D146" s="191"/>
      <c r="E146" s="191"/>
      <c r="F146" s="191"/>
      <c r="G146" s="191"/>
      <c r="H146" s="191"/>
      <c r="I146" s="191"/>
      <c r="J146" s="191"/>
      <c r="K146" s="191"/>
      <c r="L146" s="191"/>
      <c r="M146" s="191"/>
      <c r="N146" s="191"/>
      <c r="O146" s="191"/>
      <c r="P146" s="191"/>
      <c r="Q146" s="191"/>
      <c r="R146" s="191"/>
      <c r="S146" s="191"/>
      <c r="T146" s="191"/>
      <c r="U146" s="152"/>
      <c r="V146" s="14"/>
    </row>
    <row r="147" spans="2:22" hidden="1" x14ac:dyDescent="0.2">
      <c r="B147" s="7"/>
      <c r="C147" s="152"/>
      <c r="D147" s="191"/>
      <c r="E147" s="191"/>
      <c r="F147" s="191"/>
      <c r="G147" s="191"/>
      <c r="H147" s="191"/>
      <c r="I147" s="191"/>
      <c r="J147" s="191"/>
      <c r="K147" s="191"/>
      <c r="L147" s="191"/>
      <c r="M147" s="191"/>
      <c r="N147" s="191"/>
      <c r="O147" s="191"/>
      <c r="P147" s="191"/>
      <c r="Q147" s="191"/>
      <c r="R147" s="191"/>
      <c r="S147" s="191"/>
      <c r="T147" s="191"/>
      <c r="U147" s="152"/>
      <c r="V147" s="14"/>
    </row>
    <row r="148" spans="2:22" hidden="1" x14ac:dyDescent="0.2">
      <c r="B148" s="7"/>
      <c r="C148" s="152"/>
      <c r="D148" s="191"/>
      <c r="E148" s="191"/>
      <c r="F148" s="191"/>
      <c r="G148" s="191"/>
      <c r="H148" s="191"/>
      <c r="I148" s="191"/>
      <c r="J148" s="191"/>
      <c r="K148" s="191"/>
      <c r="L148" s="191"/>
      <c r="M148" s="191"/>
      <c r="N148" s="191"/>
      <c r="O148" s="191"/>
      <c r="P148" s="191"/>
      <c r="Q148" s="191"/>
      <c r="R148" s="191"/>
      <c r="S148" s="191"/>
      <c r="T148" s="191"/>
      <c r="U148" s="152"/>
      <c r="V148" s="11"/>
    </row>
    <row r="149" spans="2:22" hidden="1" x14ac:dyDescent="0.2">
      <c r="B149" s="7"/>
      <c r="C149" s="152"/>
      <c r="D149" s="191"/>
      <c r="E149" s="191"/>
      <c r="F149" s="191"/>
      <c r="G149" s="191"/>
      <c r="H149" s="191"/>
      <c r="I149" s="191"/>
      <c r="J149" s="191"/>
      <c r="K149" s="191"/>
      <c r="L149" s="191"/>
      <c r="M149" s="191"/>
      <c r="N149" s="191"/>
      <c r="O149" s="191"/>
      <c r="P149" s="191"/>
      <c r="Q149" s="191"/>
      <c r="R149" s="191"/>
      <c r="S149" s="191"/>
      <c r="T149" s="191"/>
      <c r="U149" s="152"/>
      <c r="V149" s="11"/>
    </row>
    <row r="150" spans="2:22" hidden="1" x14ac:dyDescent="0.2">
      <c r="B150" s="7"/>
      <c r="C150" s="152"/>
      <c r="D150" s="191"/>
      <c r="E150" s="191"/>
      <c r="F150" s="191"/>
      <c r="G150" s="191"/>
      <c r="H150" s="191"/>
      <c r="I150" s="191"/>
      <c r="J150" s="191"/>
      <c r="K150" s="191"/>
      <c r="L150" s="191"/>
      <c r="M150" s="191"/>
      <c r="N150" s="191"/>
      <c r="O150" s="191"/>
      <c r="P150" s="191"/>
      <c r="Q150" s="191"/>
      <c r="R150" s="191"/>
      <c r="S150" s="191"/>
      <c r="T150" s="191"/>
      <c r="U150" s="152"/>
      <c r="V150" s="11"/>
    </row>
    <row r="151" spans="2:22" hidden="1" x14ac:dyDescent="0.2">
      <c r="B151" s="7"/>
      <c r="C151" s="152"/>
      <c r="D151" s="191"/>
      <c r="E151" s="191"/>
      <c r="F151" s="191"/>
      <c r="G151" s="191"/>
      <c r="H151" s="191"/>
      <c r="I151" s="191"/>
      <c r="J151" s="191"/>
      <c r="K151" s="191"/>
      <c r="L151" s="191"/>
      <c r="M151" s="191"/>
      <c r="N151" s="191"/>
      <c r="O151" s="191"/>
      <c r="P151" s="191"/>
      <c r="Q151" s="191"/>
      <c r="R151" s="191"/>
      <c r="S151" s="191"/>
      <c r="T151" s="191"/>
      <c r="U151" s="152"/>
      <c r="V151" s="11"/>
    </row>
    <row r="152" spans="2:22" hidden="1" x14ac:dyDescent="0.2">
      <c r="B152" s="7">
        <v>2010</v>
      </c>
      <c r="C152" s="152"/>
      <c r="D152" s="191"/>
      <c r="E152" s="191"/>
      <c r="F152" s="191"/>
      <c r="G152" s="191"/>
      <c r="H152" s="191"/>
      <c r="I152" s="191"/>
      <c r="J152" s="191"/>
      <c r="K152" s="191"/>
      <c r="L152" s="191"/>
      <c r="M152" s="191"/>
      <c r="N152" s="191"/>
      <c r="O152" s="191"/>
      <c r="P152" s="191"/>
      <c r="Q152" s="191"/>
      <c r="R152" s="191"/>
      <c r="S152" s="191"/>
      <c r="T152" s="191"/>
      <c r="U152" s="152"/>
      <c r="V152" s="8"/>
    </row>
    <row r="153" spans="2:22" hidden="1" x14ac:dyDescent="0.2">
      <c r="B153" s="7"/>
      <c r="C153" s="152"/>
      <c r="D153" s="191"/>
      <c r="E153" s="191"/>
      <c r="F153" s="191"/>
      <c r="G153" s="191"/>
      <c r="H153" s="191"/>
      <c r="I153" s="191"/>
      <c r="J153" s="191"/>
      <c r="K153" s="191"/>
      <c r="L153" s="191"/>
      <c r="M153" s="191"/>
      <c r="N153" s="191"/>
      <c r="O153" s="191"/>
      <c r="P153" s="191"/>
      <c r="Q153" s="191"/>
      <c r="R153" s="191"/>
      <c r="S153" s="191"/>
      <c r="T153" s="191"/>
      <c r="U153" s="152"/>
      <c r="V153" s="18"/>
    </row>
    <row r="154" spans="2:22" hidden="1" x14ac:dyDescent="0.2">
      <c r="B154" s="7"/>
      <c r="C154" s="152"/>
      <c r="D154" s="191"/>
      <c r="E154" s="191"/>
      <c r="F154" s="191"/>
      <c r="G154" s="191"/>
      <c r="H154" s="191"/>
      <c r="I154" s="191"/>
      <c r="J154" s="191"/>
      <c r="K154" s="191"/>
      <c r="L154" s="191"/>
      <c r="M154" s="191"/>
      <c r="N154" s="191"/>
      <c r="O154" s="191"/>
      <c r="P154" s="191"/>
      <c r="Q154" s="191"/>
      <c r="R154" s="191"/>
      <c r="S154" s="191"/>
      <c r="T154" s="191"/>
      <c r="U154" s="152"/>
      <c r="V154" s="18"/>
    </row>
    <row r="155" spans="2:22" hidden="1" x14ac:dyDescent="0.2">
      <c r="B155" s="7"/>
      <c r="C155" s="152"/>
      <c r="D155" s="191"/>
      <c r="E155" s="191"/>
      <c r="F155" s="191"/>
      <c r="G155" s="191"/>
      <c r="H155" s="191"/>
      <c r="I155" s="191"/>
      <c r="J155" s="191"/>
      <c r="K155" s="191"/>
      <c r="L155" s="191"/>
      <c r="M155" s="191"/>
      <c r="N155" s="191"/>
      <c r="O155" s="191"/>
      <c r="P155" s="191"/>
      <c r="Q155" s="191"/>
      <c r="R155" s="191"/>
      <c r="S155" s="191"/>
      <c r="T155" s="191"/>
      <c r="U155" s="152"/>
      <c r="V155" s="18"/>
    </row>
    <row r="156" spans="2:22" hidden="1" x14ac:dyDescent="0.2">
      <c r="B156" s="7"/>
      <c r="C156" s="152"/>
      <c r="D156" s="191"/>
      <c r="E156" s="191"/>
      <c r="F156" s="191"/>
      <c r="G156" s="191"/>
      <c r="H156" s="191"/>
      <c r="I156" s="191"/>
      <c r="J156" s="191"/>
      <c r="K156" s="191"/>
      <c r="L156" s="191"/>
      <c r="M156" s="191"/>
      <c r="N156" s="191"/>
      <c r="O156" s="191"/>
      <c r="P156" s="191"/>
      <c r="Q156" s="191"/>
      <c r="R156" s="191"/>
      <c r="S156" s="191"/>
      <c r="T156" s="191"/>
      <c r="U156" s="152"/>
      <c r="V156" s="18"/>
    </row>
    <row r="157" spans="2:22" hidden="1" x14ac:dyDescent="0.2">
      <c r="C157" s="152"/>
      <c r="D157" s="191"/>
      <c r="E157" s="191"/>
      <c r="F157" s="191"/>
      <c r="G157" s="191"/>
      <c r="H157" s="191"/>
      <c r="I157" s="191"/>
      <c r="J157" s="191"/>
      <c r="K157" s="191"/>
      <c r="L157" s="191"/>
      <c r="M157" s="191"/>
      <c r="N157" s="191"/>
      <c r="O157" s="191"/>
      <c r="P157" s="191"/>
      <c r="Q157" s="191"/>
      <c r="R157" s="191"/>
      <c r="S157" s="191"/>
      <c r="T157" s="191"/>
      <c r="U157" s="152"/>
      <c r="V157" s="18"/>
    </row>
    <row r="158" spans="2:22" hidden="1" x14ac:dyDescent="0.2">
      <c r="C158" s="152"/>
      <c r="D158" s="191"/>
      <c r="E158" s="191"/>
      <c r="F158" s="191"/>
      <c r="G158" s="191"/>
      <c r="H158" s="191"/>
      <c r="I158" s="191"/>
      <c r="J158" s="191"/>
      <c r="K158" s="191"/>
      <c r="L158" s="191"/>
      <c r="M158" s="191"/>
      <c r="N158" s="191"/>
      <c r="O158" s="191"/>
      <c r="P158" s="191"/>
      <c r="Q158" s="191"/>
      <c r="R158" s="191"/>
      <c r="S158" s="191"/>
      <c r="T158" s="191"/>
      <c r="U158" s="152"/>
      <c r="V158" s="18"/>
    </row>
    <row r="159" spans="2:22" hidden="1" x14ac:dyDescent="0.2">
      <c r="C159" s="152"/>
      <c r="D159" s="191"/>
      <c r="E159" s="191"/>
      <c r="F159" s="191"/>
      <c r="G159" s="191"/>
      <c r="H159" s="191"/>
      <c r="I159" s="191"/>
      <c r="J159" s="191"/>
      <c r="K159" s="191"/>
      <c r="L159" s="191"/>
      <c r="M159" s="191"/>
      <c r="N159" s="191"/>
      <c r="O159" s="191"/>
      <c r="P159" s="191"/>
      <c r="Q159" s="191"/>
      <c r="R159" s="191"/>
      <c r="S159" s="191"/>
      <c r="T159" s="191"/>
      <c r="U159" s="152"/>
      <c r="V159" s="18"/>
    </row>
    <row r="160" spans="2:22" hidden="1" x14ac:dyDescent="0.2">
      <c r="C160" s="152"/>
      <c r="D160" s="191"/>
      <c r="E160" s="191"/>
      <c r="F160" s="191"/>
      <c r="G160" s="191"/>
      <c r="H160" s="191"/>
      <c r="I160" s="191"/>
      <c r="J160" s="191"/>
      <c r="K160" s="191"/>
      <c r="L160" s="191"/>
      <c r="M160" s="191"/>
      <c r="N160" s="191"/>
      <c r="O160" s="191"/>
      <c r="P160" s="191"/>
      <c r="Q160" s="191"/>
      <c r="R160" s="191"/>
      <c r="S160" s="191"/>
      <c r="T160" s="191"/>
      <c r="U160" s="152"/>
      <c r="V160" s="18"/>
    </row>
    <row r="161" spans="3:22" hidden="1" x14ac:dyDescent="0.2">
      <c r="C161" s="152"/>
      <c r="D161" s="191"/>
      <c r="E161" s="191"/>
      <c r="F161" s="191"/>
      <c r="G161" s="191"/>
      <c r="H161" s="191"/>
      <c r="I161" s="191"/>
      <c r="J161" s="191"/>
      <c r="K161" s="191"/>
      <c r="L161" s="191"/>
      <c r="M161" s="191"/>
      <c r="N161" s="191"/>
      <c r="O161" s="191"/>
      <c r="P161" s="191"/>
      <c r="Q161" s="191"/>
      <c r="R161" s="191"/>
      <c r="S161" s="191"/>
      <c r="T161" s="191"/>
      <c r="U161" s="152"/>
      <c r="V161" s="18"/>
    </row>
    <row r="162" spans="3:22" hidden="1" x14ac:dyDescent="0.2">
      <c r="C162" s="152"/>
      <c r="D162" s="191"/>
      <c r="E162" s="191"/>
      <c r="F162" s="191"/>
      <c r="G162" s="191"/>
      <c r="H162" s="191"/>
      <c r="I162" s="191"/>
      <c r="J162" s="191"/>
      <c r="K162" s="191"/>
      <c r="L162" s="191"/>
      <c r="M162" s="191"/>
      <c r="N162" s="191"/>
      <c r="O162" s="191"/>
      <c r="P162" s="191"/>
      <c r="Q162" s="191"/>
      <c r="R162" s="191"/>
      <c r="S162" s="191"/>
      <c r="T162" s="191"/>
      <c r="U162" s="152"/>
      <c r="V162" s="19"/>
    </row>
    <row r="163" spans="3:22" hidden="1" x14ac:dyDescent="0.2">
      <c r="C163" s="152"/>
      <c r="D163" s="191"/>
      <c r="E163" s="191"/>
      <c r="F163" s="191"/>
      <c r="G163" s="191"/>
      <c r="H163" s="191"/>
      <c r="I163" s="191"/>
      <c r="J163" s="191"/>
      <c r="K163" s="191"/>
      <c r="L163" s="191"/>
      <c r="M163" s="191"/>
      <c r="N163" s="191"/>
      <c r="O163" s="191"/>
      <c r="P163" s="191"/>
      <c r="Q163" s="191"/>
      <c r="R163" s="191"/>
      <c r="S163" s="191"/>
      <c r="T163" s="191"/>
      <c r="U163" s="152"/>
      <c r="V163" s="11"/>
    </row>
    <row r="164" spans="3:22" hidden="1" x14ac:dyDescent="0.2">
      <c r="C164" s="152"/>
      <c r="D164" s="191"/>
      <c r="E164" s="191"/>
      <c r="F164" s="191"/>
      <c r="G164" s="191"/>
      <c r="H164" s="191"/>
      <c r="I164" s="191"/>
      <c r="J164" s="191"/>
      <c r="K164" s="191"/>
      <c r="L164" s="191"/>
      <c r="M164" s="191"/>
      <c r="N164" s="191"/>
      <c r="O164" s="191"/>
      <c r="P164" s="191"/>
      <c r="Q164" s="191"/>
      <c r="R164" s="191"/>
      <c r="S164" s="191"/>
      <c r="T164" s="191"/>
      <c r="U164" s="152"/>
      <c r="V164" s="11"/>
    </row>
    <row r="165" spans="3:22" hidden="1" x14ac:dyDescent="0.2">
      <c r="C165" s="152"/>
      <c r="D165" s="191"/>
      <c r="E165" s="191"/>
      <c r="F165" s="191"/>
      <c r="G165" s="191"/>
      <c r="H165" s="191"/>
      <c r="I165" s="191"/>
      <c r="J165" s="191"/>
      <c r="K165" s="191"/>
      <c r="L165" s="191"/>
      <c r="M165" s="191"/>
      <c r="N165" s="191"/>
      <c r="O165" s="191"/>
      <c r="P165" s="191"/>
      <c r="Q165" s="191"/>
      <c r="R165" s="191"/>
      <c r="S165" s="191"/>
      <c r="T165" s="191"/>
      <c r="U165" s="152"/>
      <c r="V165" s="11"/>
    </row>
    <row r="166" spans="3:22" hidden="1" x14ac:dyDescent="0.2">
      <c r="C166" s="152"/>
      <c r="D166" s="191"/>
      <c r="E166" s="191"/>
      <c r="F166" s="191"/>
      <c r="G166" s="191"/>
      <c r="H166" s="191"/>
      <c r="I166" s="191"/>
      <c r="J166" s="191"/>
      <c r="K166" s="191"/>
      <c r="L166" s="191"/>
      <c r="M166" s="191"/>
      <c r="N166" s="191"/>
      <c r="O166" s="191"/>
      <c r="P166" s="191"/>
      <c r="Q166" s="191"/>
      <c r="R166" s="191"/>
      <c r="S166" s="191"/>
      <c r="T166" s="191"/>
      <c r="U166" s="152"/>
      <c r="V166" s="11"/>
    </row>
    <row r="167" spans="3:22" hidden="1" x14ac:dyDescent="0.2">
      <c r="C167" s="152"/>
      <c r="D167" s="191"/>
      <c r="E167" s="191"/>
      <c r="F167" s="191"/>
      <c r="G167" s="191"/>
      <c r="H167" s="191"/>
      <c r="I167" s="191"/>
      <c r="J167" s="191"/>
      <c r="K167" s="191"/>
      <c r="L167" s="191"/>
      <c r="M167" s="191"/>
      <c r="N167" s="191"/>
      <c r="O167" s="191"/>
      <c r="P167" s="191"/>
      <c r="Q167" s="191"/>
      <c r="R167" s="191"/>
      <c r="S167" s="191"/>
      <c r="T167" s="191"/>
      <c r="U167" s="152"/>
      <c r="V167" s="14"/>
    </row>
    <row r="168" spans="3:22" hidden="1" x14ac:dyDescent="0.2">
      <c r="C168" s="152"/>
      <c r="D168" s="191"/>
      <c r="E168" s="191"/>
      <c r="F168" s="191"/>
      <c r="G168" s="191"/>
      <c r="H168" s="191"/>
      <c r="I168" s="191"/>
      <c r="J168" s="191"/>
      <c r="K168" s="191"/>
      <c r="L168" s="191"/>
      <c r="M168" s="191"/>
      <c r="N168" s="191"/>
      <c r="O168" s="191"/>
      <c r="P168" s="191"/>
      <c r="Q168" s="191"/>
      <c r="R168" s="191"/>
      <c r="S168" s="191"/>
      <c r="T168" s="191"/>
      <c r="U168" s="152"/>
      <c r="V168" s="14"/>
    </row>
    <row r="169" spans="3:22" hidden="1" x14ac:dyDescent="0.2">
      <c r="C169" s="152"/>
      <c r="D169" s="191"/>
      <c r="E169" s="191"/>
      <c r="F169" s="191"/>
      <c r="G169" s="191"/>
      <c r="H169" s="191"/>
      <c r="I169" s="191"/>
      <c r="J169" s="191"/>
      <c r="K169" s="191"/>
      <c r="L169" s="191"/>
      <c r="M169" s="191"/>
      <c r="N169" s="191"/>
      <c r="O169" s="191"/>
      <c r="P169" s="191"/>
      <c r="Q169" s="191"/>
      <c r="R169" s="191"/>
      <c r="S169" s="191"/>
      <c r="T169" s="191"/>
      <c r="U169" s="152"/>
      <c r="V169" s="14"/>
    </row>
    <row r="170" spans="3:22" hidden="1" x14ac:dyDescent="0.2">
      <c r="C170" s="152"/>
      <c r="D170" s="191"/>
      <c r="E170" s="191"/>
      <c r="F170" s="191"/>
      <c r="G170" s="191"/>
      <c r="H170" s="191"/>
      <c r="I170" s="191"/>
      <c r="J170" s="191"/>
      <c r="K170" s="191"/>
      <c r="L170" s="191"/>
      <c r="M170" s="191"/>
      <c r="N170" s="191"/>
      <c r="O170" s="191"/>
      <c r="P170" s="191"/>
      <c r="Q170" s="191"/>
      <c r="R170" s="191"/>
      <c r="S170" s="191"/>
      <c r="T170" s="191"/>
      <c r="U170" s="152"/>
      <c r="V170" s="14"/>
    </row>
    <row r="171" spans="3:22" hidden="1" x14ac:dyDescent="0.2">
      <c r="C171" s="152"/>
      <c r="D171" s="191"/>
      <c r="E171" s="191"/>
      <c r="F171" s="191"/>
      <c r="G171" s="191"/>
      <c r="H171" s="191"/>
      <c r="I171" s="191"/>
      <c r="J171" s="191"/>
      <c r="K171" s="191"/>
      <c r="L171" s="191"/>
      <c r="M171" s="191"/>
      <c r="N171" s="191"/>
      <c r="O171" s="191"/>
      <c r="P171" s="191"/>
      <c r="Q171" s="191"/>
      <c r="R171" s="191"/>
      <c r="S171" s="191"/>
      <c r="T171" s="191"/>
      <c r="U171" s="152"/>
      <c r="V171" s="14"/>
    </row>
    <row r="172" spans="3:22" hidden="1" x14ac:dyDescent="0.2">
      <c r="C172" s="152"/>
      <c r="D172" s="191"/>
      <c r="E172" s="191"/>
      <c r="F172" s="191"/>
      <c r="G172" s="191"/>
      <c r="H172" s="191"/>
      <c r="I172" s="191"/>
      <c r="J172" s="191"/>
      <c r="K172" s="191"/>
      <c r="L172" s="191"/>
      <c r="M172" s="191"/>
      <c r="N172" s="191"/>
      <c r="O172" s="191"/>
      <c r="P172" s="191"/>
      <c r="Q172" s="191"/>
      <c r="R172" s="191"/>
      <c r="S172" s="191"/>
      <c r="T172" s="191"/>
      <c r="U172" s="152"/>
      <c r="V172" s="14"/>
    </row>
    <row r="173" spans="3:22" hidden="1" x14ac:dyDescent="0.2">
      <c r="C173" s="152"/>
      <c r="D173" s="191"/>
      <c r="E173" s="191"/>
      <c r="F173" s="191"/>
      <c r="G173" s="191"/>
      <c r="H173" s="191"/>
      <c r="I173" s="191"/>
      <c r="J173" s="191"/>
      <c r="K173" s="191"/>
      <c r="L173" s="191"/>
      <c r="M173" s="191"/>
      <c r="N173" s="191"/>
      <c r="O173" s="191"/>
      <c r="P173" s="191"/>
      <c r="Q173" s="191"/>
      <c r="R173" s="191"/>
      <c r="S173" s="191"/>
      <c r="T173" s="191"/>
      <c r="U173" s="152"/>
      <c r="V173" s="14"/>
    </row>
    <row r="174" spans="3:22" hidden="1" x14ac:dyDescent="0.2">
      <c r="C174" s="152"/>
      <c r="D174" s="191"/>
      <c r="E174" s="191"/>
      <c r="F174" s="191"/>
      <c r="G174" s="191"/>
      <c r="H174" s="191"/>
      <c r="I174" s="191"/>
      <c r="J174" s="191"/>
      <c r="K174" s="191"/>
      <c r="L174" s="191"/>
      <c r="M174" s="191"/>
      <c r="N174" s="191"/>
      <c r="O174" s="191"/>
      <c r="P174" s="191"/>
      <c r="Q174" s="191"/>
      <c r="R174" s="191"/>
      <c r="S174" s="191"/>
      <c r="T174" s="191"/>
      <c r="U174" s="152"/>
      <c r="V174" s="14"/>
    </row>
    <row r="175" spans="3:22" hidden="1" x14ac:dyDescent="0.2">
      <c r="C175" s="152"/>
      <c r="D175" s="191"/>
      <c r="E175" s="191"/>
      <c r="F175" s="191"/>
      <c r="G175" s="191"/>
      <c r="H175" s="191"/>
      <c r="I175" s="191"/>
      <c r="J175" s="191"/>
      <c r="K175" s="191"/>
      <c r="L175" s="191"/>
      <c r="M175" s="191"/>
      <c r="N175" s="191"/>
      <c r="O175" s="191"/>
      <c r="P175" s="191"/>
      <c r="Q175" s="191"/>
      <c r="R175" s="191"/>
      <c r="S175" s="191"/>
      <c r="T175" s="191"/>
      <c r="U175" s="152"/>
      <c r="V175" s="14"/>
    </row>
    <row r="176" spans="3:22" hidden="1" x14ac:dyDescent="0.2">
      <c r="C176" s="152"/>
      <c r="D176" s="191"/>
      <c r="E176" s="191"/>
      <c r="F176" s="191"/>
      <c r="G176" s="191"/>
      <c r="H176" s="191"/>
      <c r="I176" s="191"/>
      <c r="J176" s="191"/>
      <c r="K176" s="191"/>
      <c r="L176" s="191"/>
      <c r="M176" s="191"/>
      <c r="N176" s="191"/>
      <c r="O176" s="191"/>
      <c r="P176" s="191"/>
      <c r="Q176" s="191"/>
      <c r="R176" s="191"/>
      <c r="S176" s="191"/>
      <c r="T176" s="191"/>
      <c r="U176" s="152"/>
      <c r="V176" s="14"/>
    </row>
    <row r="177" spans="2:22" hidden="1" x14ac:dyDescent="0.2">
      <c r="C177" s="152"/>
      <c r="D177" s="191"/>
      <c r="E177" s="191"/>
      <c r="F177" s="191"/>
      <c r="G177" s="191"/>
      <c r="H177" s="191"/>
      <c r="I177" s="191"/>
      <c r="J177" s="191"/>
      <c r="K177" s="191"/>
      <c r="L177" s="191"/>
      <c r="M177" s="191"/>
      <c r="N177" s="191"/>
      <c r="O177" s="191"/>
      <c r="P177" s="191"/>
      <c r="Q177" s="191"/>
      <c r="R177" s="191"/>
      <c r="S177" s="191"/>
      <c r="T177" s="191"/>
      <c r="U177" s="152"/>
      <c r="V177" s="14"/>
    </row>
    <row r="178" spans="2:22" hidden="1" x14ac:dyDescent="0.2">
      <c r="C178" s="152"/>
      <c r="D178" s="191"/>
      <c r="E178" s="191"/>
      <c r="F178" s="191"/>
      <c r="G178" s="191"/>
      <c r="H178" s="191"/>
      <c r="I178" s="191"/>
      <c r="J178" s="191"/>
      <c r="K178" s="191"/>
      <c r="L178" s="191"/>
      <c r="M178" s="191"/>
      <c r="N178" s="191"/>
      <c r="O178" s="191"/>
      <c r="P178" s="191"/>
      <c r="Q178" s="191"/>
      <c r="R178" s="191"/>
      <c r="S178" s="191"/>
      <c r="T178" s="191"/>
      <c r="U178" s="152"/>
      <c r="V178" s="20"/>
    </row>
    <row r="179" spans="2:22" ht="15.75" thickBot="1" x14ac:dyDescent="0.25">
      <c r="C179" s="152"/>
      <c r="D179" s="191"/>
      <c r="E179" s="191"/>
      <c r="F179" s="191"/>
      <c r="G179" s="191"/>
      <c r="H179" s="191"/>
      <c r="I179" s="191"/>
      <c r="J179" s="191"/>
      <c r="K179" s="191"/>
      <c r="L179" s="191"/>
      <c r="M179" s="191"/>
      <c r="N179" s="191"/>
      <c r="O179" s="191"/>
      <c r="P179" s="191"/>
      <c r="Q179" s="191"/>
      <c r="R179" s="191"/>
      <c r="S179" s="191"/>
      <c r="T179" s="191"/>
      <c r="U179" s="152"/>
      <c r="V179" s="9"/>
    </row>
    <row r="180" spans="2:22" ht="16.5" thickBot="1" x14ac:dyDescent="0.3">
      <c r="C180" s="154" t="s">
        <v>80</v>
      </c>
      <c r="D180" s="155" t="s">
        <v>8</v>
      </c>
      <c r="E180" s="155" t="s">
        <v>9</v>
      </c>
      <c r="F180" s="155" t="s">
        <v>10</v>
      </c>
      <c r="G180" s="155" t="s">
        <v>11</v>
      </c>
      <c r="H180" s="155" t="s">
        <v>12</v>
      </c>
      <c r="I180" s="155" t="s">
        <v>13</v>
      </c>
      <c r="J180" s="155" t="s">
        <v>14</v>
      </c>
      <c r="K180" s="155" t="s">
        <v>15</v>
      </c>
      <c r="L180" s="155" t="s">
        <v>16</v>
      </c>
      <c r="M180" s="155" t="s">
        <v>17</v>
      </c>
      <c r="N180" s="155" t="s">
        <v>18</v>
      </c>
      <c r="O180" s="155" t="s">
        <v>19</v>
      </c>
      <c r="P180" s="155" t="s">
        <v>20</v>
      </c>
      <c r="Q180" s="155" t="s">
        <v>21</v>
      </c>
      <c r="R180" s="155" t="s">
        <v>22</v>
      </c>
      <c r="S180" s="155" t="s">
        <v>23</v>
      </c>
      <c r="T180" s="156" t="s">
        <v>24</v>
      </c>
      <c r="U180" s="157"/>
    </row>
    <row r="181" spans="2:22" ht="15.75" x14ac:dyDescent="0.25">
      <c r="C181" s="158" t="s">
        <v>81</v>
      </c>
      <c r="D181" s="159">
        <f>(D56)*$D$91</f>
        <v>255728.39992763693</v>
      </c>
      <c r="E181" s="159">
        <f t="shared" ref="E181:S181" si="13">(E56)*$D$91</f>
        <v>534221.93931470742</v>
      </c>
      <c r="F181" s="159">
        <f t="shared" si="13"/>
        <v>1403091.4286830882</v>
      </c>
      <c r="G181" s="159">
        <f t="shared" si="13"/>
        <v>302776.35481046623</v>
      </c>
      <c r="H181" s="159">
        <f t="shared" si="13"/>
        <v>258763.75185556142</v>
      </c>
      <c r="I181" s="159">
        <f t="shared" si="13"/>
        <v>837757.13210715482</v>
      </c>
      <c r="J181" s="159">
        <f t="shared" si="13"/>
        <v>2466223.4414386349</v>
      </c>
      <c r="K181" s="159">
        <f t="shared" si="13"/>
        <v>184397.62962141179</v>
      </c>
      <c r="L181" s="159">
        <f t="shared" si="13"/>
        <v>125967.10500886568</v>
      </c>
      <c r="M181" s="159">
        <f t="shared" si="13"/>
        <v>1079826.4483591318</v>
      </c>
      <c r="N181" s="159">
        <f t="shared" si="13"/>
        <v>212474.63495471317</v>
      </c>
      <c r="O181" s="159">
        <f t="shared" si="13"/>
        <v>984212.8626295107</v>
      </c>
      <c r="P181" s="159">
        <f t="shared" si="13"/>
        <v>49324.468828772704</v>
      </c>
      <c r="Q181" s="159">
        <f t="shared" si="13"/>
        <v>553192.88886423537</v>
      </c>
      <c r="R181" s="159">
        <f t="shared" si="13"/>
        <v>223098.36670244884</v>
      </c>
      <c r="S181" s="159">
        <f t="shared" si="13"/>
        <v>6363615.3168936595</v>
      </c>
      <c r="T181" s="160">
        <f>SUM(D181:S181)</f>
        <v>15834672.17</v>
      </c>
      <c r="U181" s="161"/>
      <c r="V181" s="22">
        <f>T181-T86</f>
        <v>0</v>
      </c>
    </row>
    <row r="182" spans="2:22" ht="15.75" x14ac:dyDescent="0.25">
      <c r="C182" s="162"/>
      <c r="D182" s="163"/>
      <c r="E182" s="163"/>
      <c r="F182" s="163"/>
      <c r="G182" s="163"/>
      <c r="H182" s="163"/>
      <c r="I182" s="163"/>
      <c r="J182" s="163"/>
      <c r="K182" s="163"/>
      <c r="L182" s="163"/>
      <c r="M182" s="163"/>
      <c r="N182" s="163"/>
      <c r="O182" s="163"/>
      <c r="P182" s="163"/>
      <c r="Q182" s="163"/>
      <c r="R182" s="163"/>
      <c r="S182" s="163"/>
      <c r="T182" s="164"/>
      <c r="U182" s="165"/>
    </row>
    <row r="183" spans="2:22" ht="15.75" x14ac:dyDescent="0.25">
      <c r="C183" s="166" t="s">
        <v>83</v>
      </c>
      <c r="D183" s="163">
        <f>(-D181+D86)*Kontrollpanel!$D$39</f>
        <v>-13471.119952964</v>
      </c>
      <c r="E183" s="163">
        <f>(-E181+E86)*Kontrollpanel!$D$39</f>
        <v>-21867.410054559808</v>
      </c>
      <c r="F183" s="163">
        <f>(-F181+F86)*Kontrollpanel!$D$39</f>
        <v>-2855.1826440072505</v>
      </c>
      <c r="G183" s="163">
        <f>(-G181+G86)*Kontrollpanel!$D$39</f>
        <v>-13497.909626803073</v>
      </c>
      <c r="H183" s="163">
        <f>(-H181+H86)*Kontrollpanel!$D$39</f>
        <v>24300.801293885062</v>
      </c>
      <c r="I183" s="163">
        <f>(-I181+I86)*Kontrollpanel!$D$39</f>
        <v>-24479.839869650652</v>
      </c>
      <c r="J183" s="163">
        <f>(-J181+J86)*Kontrollpanel!$D$39</f>
        <v>-397136.05843511276</v>
      </c>
      <c r="K183" s="163">
        <f>(-K181+K86)*Kontrollpanel!$D$39</f>
        <v>13530.679746082335</v>
      </c>
      <c r="L183" s="163">
        <f>(-L181+L86)*Kontrollpanel!$D$39</f>
        <v>-11235.552255762692</v>
      </c>
      <c r="M183" s="163">
        <f>(-M181+M86)*Kontrollpanel!$D$39</f>
        <v>-177134.32643343569</v>
      </c>
      <c r="N183" s="163">
        <f>(-N181+N86)*Kontrollpanel!$D$39</f>
        <v>-38242.603720563573</v>
      </c>
      <c r="O183" s="163">
        <f>(-O181+O86)*Kontrollpanel!$D$39</f>
        <v>-15504.458209181967</v>
      </c>
      <c r="P183" s="163">
        <f>(-P181+P86)*Kontrollpanel!$D$39</f>
        <v>15010.249261297746</v>
      </c>
      <c r="Q183" s="163">
        <f>(-Q181+Q86)*Kontrollpanel!$D$39</f>
        <v>-51291.908761752988</v>
      </c>
      <c r="R183" s="163">
        <f>(-R181+R86)*Kontrollpanel!$D$39</f>
        <v>-6436.4408565917493</v>
      </c>
      <c r="S183" s="163">
        <f>(-S181+S86)*Kontrollpanel!$D$39</f>
        <v>720311.08051912126</v>
      </c>
      <c r="T183" s="198">
        <f>SUM(D183:S183)</f>
        <v>0</v>
      </c>
      <c r="U183" s="165"/>
    </row>
    <row r="184" spans="2:22" ht="15.75" x14ac:dyDescent="0.25">
      <c r="C184" s="166"/>
      <c r="D184" s="163"/>
      <c r="E184" s="163"/>
      <c r="F184" s="163"/>
      <c r="G184" s="163"/>
      <c r="H184" s="163"/>
      <c r="I184" s="163"/>
      <c r="J184" s="163"/>
      <c r="K184" s="163"/>
      <c r="L184" s="163"/>
      <c r="M184" s="163"/>
      <c r="N184" s="163"/>
      <c r="O184" s="163"/>
      <c r="P184" s="163"/>
      <c r="Q184" s="163"/>
      <c r="R184" s="163"/>
      <c r="S184" s="163"/>
      <c r="T184" s="164"/>
      <c r="U184" s="165"/>
    </row>
    <row r="185" spans="2:22" ht="15.75" x14ac:dyDescent="0.25">
      <c r="C185" s="166"/>
      <c r="D185" s="1306">
        <f>D183/0.6</f>
        <v>-22451.866588273333</v>
      </c>
      <c r="E185" s="1306">
        <f t="shared" ref="E185:S185" si="14">E183/0.6</f>
        <v>-36445.683424266346</v>
      </c>
      <c r="F185" s="1306">
        <f t="shared" si="14"/>
        <v>-4758.6377400120846</v>
      </c>
      <c r="G185" s="1306">
        <f t="shared" si="14"/>
        <v>-22496.516044671789</v>
      </c>
      <c r="H185" s="1306">
        <f t="shared" si="14"/>
        <v>40501.335489808436</v>
      </c>
      <c r="I185" s="1306">
        <f t="shared" si="14"/>
        <v>-40799.733116084419</v>
      </c>
      <c r="J185" s="1306">
        <f t="shared" si="14"/>
        <v>-661893.43072518799</v>
      </c>
      <c r="K185" s="1306">
        <f t="shared" si="14"/>
        <v>22551.132910137225</v>
      </c>
      <c r="L185" s="1306">
        <f t="shared" si="14"/>
        <v>-18725.920426271154</v>
      </c>
      <c r="M185" s="1306">
        <f t="shared" si="14"/>
        <v>-295223.87738905952</v>
      </c>
      <c r="N185" s="1306">
        <f t="shared" si="14"/>
        <v>-63737.672867605957</v>
      </c>
      <c r="O185" s="1306">
        <f t="shared" si="14"/>
        <v>-25840.763681969944</v>
      </c>
      <c r="P185" s="1306">
        <f t="shared" si="14"/>
        <v>25017.082102162909</v>
      </c>
      <c r="Q185" s="1306">
        <f t="shared" si="14"/>
        <v>-85486.514602921656</v>
      </c>
      <c r="R185" s="1306">
        <f t="shared" si="14"/>
        <v>-10727.401427652916</v>
      </c>
      <c r="S185" s="1306">
        <f t="shared" si="14"/>
        <v>1200518.4675318687</v>
      </c>
      <c r="T185" s="167"/>
      <c r="U185" s="165"/>
    </row>
    <row r="186" spans="2:22" ht="16.5" thickBot="1" x14ac:dyDescent="0.3">
      <c r="B186" s="9"/>
      <c r="C186" s="168"/>
      <c r="D186" s="1307">
        <f>-D181+D86</f>
        <v>-20724.799927636923</v>
      </c>
      <c r="E186" s="1307">
        <f t="shared" ref="E186:S186" si="15">-E181+E86</f>
        <v>-33642.169314707397</v>
      </c>
      <c r="F186" s="1307">
        <f t="shared" si="15"/>
        <v>-4392.5886830880772</v>
      </c>
      <c r="G186" s="1307">
        <f t="shared" si="15"/>
        <v>-20766.014810466266</v>
      </c>
      <c r="H186" s="1307">
        <f t="shared" si="15"/>
        <v>37385.848144438554</v>
      </c>
      <c r="I186" s="1307">
        <f t="shared" si="15"/>
        <v>-37661.292107154848</v>
      </c>
      <c r="J186" s="1307">
        <f t="shared" si="15"/>
        <v>-610978.55143863498</v>
      </c>
      <c r="K186" s="1307">
        <f t="shared" si="15"/>
        <v>20816.430378588208</v>
      </c>
      <c r="L186" s="1307">
        <f t="shared" si="15"/>
        <v>-17285.465008865678</v>
      </c>
      <c r="M186" s="1307">
        <f t="shared" si="15"/>
        <v>-272514.34835913184</v>
      </c>
      <c r="N186" s="1307">
        <f t="shared" si="15"/>
        <v>-58834.774954713183</v>
      </c>
      <c r="O186" s="1307">
        <f t="shared" si="15"/>
        <v>-23853.012629510718</v>
      </c>
      <c r="P186" s="1307">
        <f t="shared" si="15"/>
        <v>23092.691171227299</v>
      </c>
      <c r="Q186" s="1307">
        <f t="shared" si="15"/>
        <v>-78910.628864235361</v>
      </c>
      <c r="R186" s="1307">
        <f t="shared" si="15"/>
        <v>-9902.2167024488444</v>
      </c>
      <c r="S186" s="1307">
        <f t="shared" si="15"/>
        <v>1108170.8931063404</v>
      </c>
      <c r="T186" s="192"/>
      <c r="U186" s="170"/>
    </row>
    <row r="187" spans="2:22" ht="15.75" x14ac:dyDescent="0.25">
      <c r="B187" s="9"/>
      <c r="C187" s="6"/>
      <c r="D187" s="151"/>
      <c r="E187" s="193"/>
      <c r="F187" s="150"/>
      <c r="G187" s="193"/>
      <c r="H187" s="194"/>
      <c r="I187" s="114"/>
      <c r="J187" s="9"/>
      <c r="K187" s="9"/>
      <c r="L187" s="9"/>
      <c r="M187" s="9"/>
      <c r="N187" s="9"/>
      <c r="O187" s="9"/>
      <c r="P187" s="9"/>
      <c r="Q187" s="9"/>
      <c r="R187" s="9"/>
    </row>
    <row r="188" spans="2:22" ht="15.75" x14ac:dyDescent="0.25">
      <c r="B188" s="9"/>
      <c r="C188" s="9"/>
      <c r="D188" s="151"/>
      <c r="E188" s="193"/>
      <c r="F188" s="194"/>
      <c r="G188" s="193"/>
      <c r="H188" s="194"/>
      <c r="I188" s="114"/>
      <c r="J188" s="9"/>
      <c r="K188" s="9"/>
      <c r="L188" s="9"/>
      <c r="M188" s="9"/>
      <c r="N188" s="9"/>
      <c r="O188" s="9"/>
      <c r="P188" s="9"/>
      <c r="Q188" s="9"/>
      <c r="R188" s="9"/>
    </row>
    <row r="189" spans="2:22" x14ac:dyDescent="0.2">
      <c r="B189" s="9"/>
      <c r="C189" s="9"/>
      <c r="D189" s="9"/>
      <c r="E189" s="9"/>
      <c r="F189" s="9"/>
      <c r="G189" s="9"/>
      <c r="H189" s="9"/>
      <c r="I189" s="9"/>
      <c r="J189" s="9"/>
      <c r="K189" s="9"/>
      <c r="L189" s="36"/>
      <c r="N189" s="9"/>
      <c r="O189" s="36"/>
      <c r="P189" s="9"/>
      <c r="Q189" s="9"/>
      <c r="R189" s="9"/>
    </row>
    <row r="190" spans="2:22" x14ac:dyDescent="0.2">
      <c r="B190" s="9"/>
      <c r="C190" s="9"/>
      <c r="D190" s="9"/>
      <c r="E190" s="9"/>
      <c r="F190" s="9"/>
      <c r="G190" s="9"/>
      <c r="H190" s="9"/>
      <c r="I190" s="9"/>
      <c r="J190" s="9"/>
      <c r="K190" s="9"/>
      <c r="L190" s="36"/>
      <c r="N190" s="9"/>
      <c r="O190" s="36"/>
      <c r="P190" s="9"/>
      <c r="Q190" s="9"/>
      <c r="R190" s="9"/>
    </row>
    <row r="191" spans="2:22" x14ac:dyDescent="0.2">
      <c r="B191" s="9"/>
      <c r="C191" s="9"/>
      <c r="D191" s="9"/>
      <c r="E191" s="9"/>
      <c r="F191" s="9"/>
      <c r="G191" s="9"/>
      <c r="H191" s="9"/>
      <c r="I191" s="9"/>
      <c r="J191" s="9"/>
      <c r="K191" s="9"/>
      <c r="L191" s="36"/>
      <c r="O191" s="36"/>
    </row>
    <row r="192" spans="2:22" ht="16.5" thickBot="1" x14ac:dyDescent="0.3">
      <c r="B192" s="9"/>
      <c r="C192" s="9"/>
      <c r="D192" s="9"/>
      <c r="E192" s="5" t="s">
        <v>85</v>
      </c>
      <c r="F192" s="9"/>
      <c r="G192" s="9"/>
      <c r="H192" s="6"/>
      <c r="I192" s="9"/>
      <c r="J192" s="9"/>
      <c r="K192" s="9"/>
      <c r="L192" s="36"/>
      <c r="O192" s="36"/>
      <c r="S192" s="9"/>
    </row>
    <row r="193" spans="2:19" ht="16.5" thickBot="1" x14ac:dyDescent="0.3">
      <c r="B193" s="9"/>
      <c r="C193" s="9"/>
      <c r="D193" s="9"/>
      <c r="E193" s="89" t="s">
        <v>84</v>
      </c>
      <c r="F193" s="150"/>
      <c r="G193" s="150"/>
      <c r="H193" s="150"/>
      <c r="I193" s="150"/>
      <c r="J193" s="492"/>
      <c r="K193" s="9"/>
      <c r="L193" s="36"/>
      <c r="O193" s="36"/>
      <c r="S193" s="9"/>
    </row>
    <row r="194" spans="2:19" ht="15.75" x14ac:dyDescent="0.25">
      <c r="B194" s="9"/>
      <c r="C194" s="214" t="s">
        <v>8</v>
      </c>
      <c r="E194" s="220">
        <f>D183</f>
        <v>-13471.119952964</v>
      </c>
      <c r="F194" s="193"/>
      <c r="G194" s="220">
        <f>D86</f>
        <v>235003.6</v>
      </c>
      <c r="H194" s="193">
        <f>(G194/$C$86)-G194</f>
        <v>38256.399999999994</v>
      </c>
      <c r="I194" s="193"/>
      <c r="J194" s="114"/>
      <c r="K194" s="9"/>
      <c r="L194" s="36"/>
      <c r="O194" s="36"/>
      <c r="P194" s="96"/>
      <c r="Q194" s="96"/>
      <c r="R194" s="96"/>
      <c r="S194" s="9"/>
    </row>
    <row r="195" spans="2:19" ht="15.75" x14ac:dyDescent="0.25">
      <c r="B195" s="9"/>
      <c r="C195" s="215" t="s">
        <v>9</v>
      </c>
      <c r="D195" s="36"/>
      <c r="E195" s="220">
        <f>E183</f>
        <v>-21867.410054559808</v>
      </c>
      <c r="F195" s="193"/>
      <c r="G195" s="220">
        <f>E86</f>
        <v>500579.77</v>
      </c>
      <c r="H195" s="193">
        <f t="shared" ref="H195:H210" si="16">(G195/$C$86)-G195</f>
        <v>81489.729999999981</v>
      </c>
      <c r="I195" s="193"/>
      <c r="J195" s="114"/>
      <c r="K195" s="9"/>
      <c r="L195" s="36"/>
      <c r="O195" s="36"/>
      <c r="S195" s="9"/>
    </row>
    <row r="196" spans="2:19" ht="15.75" x14ac:dyDescent="0.25">
      <c r="B196" s="9"/>
      <c r="C196" s="215" t="s">
        <v>10</v>
      </c>
      <c r="E196" s="220">
        <f>F183</f>
        <v>-2855.1826440072505</v>
      </c>
      <c r="F196" s="193"/>
      <c r="G196" s="220">
        <f>F86</f>
        <v>1398698.84</v>
      </c>
      <c r="H196" s="193">
        <f t="shared" si="16"/>
        <v>227695.16000000015</v>
      </c>
      <c r="I196" s="193"/>
      <c r="J196" s="114"/>
      <c r="K196" s="9"/>
      <c r="L196" s="36"/>
      <c r="O196" s="36"/>
      <c r="S196" s="9"/>
    </row>
    <row r="197" spans="2:19" ht="15.75" x14ac:dyDescent="0.25">
      <c r="B197" s="9"/>
      <c r="C197" s="215" t="s">
        <v>11</v>
      </c>
      <c r="E197" s="220">
        <f>G183</f>
        <v>-13497.909626803073</v>
      </c>
      <c r="F197" s="193"/>
      <c r="G197" s="220">
        <f>G86</f>
        <v>282010.33999999997</v>
      </c>
      <c r="H197" s="193">
        <f t="shared" si="16"/>
        <v>45908.659999999974</v>
      </c>
      <c r="I197" s="193"/>
      <c r="J197" s="114"/>
      <c r="K197" s="9"/>
      <c r="L197" s="36"/>
      <c r="O197" s="36"/>
      <c r="S197" s="9"/>
    </row>
    <row r="198" spans="2:19" ht="15.75" x14ac:dyDescent="0.25">
      <c r="B198" s="9"/>
      <c r="C198" s="215" t="s">
        <v>12</v>
      </c>
      <c r="D198" s="36"/>
      <c r="E198" s="220">
        <f>H183</f>
        <v>24300.801293885062</v>
      </c>
      <c r="F198" s="193"/>
      <c r="G198" s="220">
        <f>H86</f>
        <v>296149.59999999998</v>
      </c>
      <c r="H198" s="193">
        <f t="shared" si="16"/>
        <v>48210.400000000023</v>
      </c>
      <c r="I198" s="193"/>
      <c r="J198" s="114"/>
      <c r="K198" s="9"/>
      <c r="L198" s="36"/>
      <c r="O198" s="36"/>
      <c r="S198" s="9"/>
    </row>
    <row r="199" spans="2:19" ht="15.75" x14ac:dyDescent="0.25">
      <c r="B199" s="9"/>
      <c r="C199" s="215" t="s">
        <v>13</v>
      </c>
      <c r="E199" s="220">
        <f>I183</f>
        <v>-24479.839869650652</v>
      </c>
      <c r="F199" s="193"/>
      <c r="G199" s="220">
        <f>I86</f>
        <v>800095.84</v>
      </c>
      <c r="H199" s="193">
        <f t="shared" si="16"/>
        <v>130248.16000000003</v>
      </c>
      <c r="I199" s="193"/>
      <c r="J199" s="114"/>
      <c r="K199" s="9"/>
      <c r="S199" s="9"/>
    </row>
    <row r="200" spans="2:19" ht="15.75" x14ac:dyDescent="0.25">
      <c r="B200" s="9"/>
      <c r="C200" s="215" t="s">
        <v>14</v>
      </c>
      <c r="E200" s="220">
        <f>J183</f>
        <v>-397136.05843511276</v>
      </c>
      <c r="F200" s="193"/>
      <c r="G200" s="220">
        <f>J86</f>
        <v>1855244.89</v>
      </c>
      <c r="H200" s="193">
        <f t="shared" si="16"/>
        <v>302016.6100000001</v>
      </c>
      <c r="I200" s="193"/>
      <c r="J200" s="114"/>
      <c r="K200" s="9"/>
      <c r="S200" s="9"/>
    </row>
    <row r="201" spans="2:19" ht="15.75" x14ac:dyDescent="0.25">
      <c r="C201" s="215" t="s">
        <v>15</v>
      </c>
      <c r="E201" s="220">
        <f>K183</f>
        <v>13530.679746082335</v>
      </c>
      <c r="F201" s="193"/>
      <c r="G201" s="220">
        <f>K86</f>
        <v>205214.06</v>
      </c>
      <c r="H201" s="193">
        <f t="shared" si="16"/>
        <v>33406.94</v>
      </c>
      <c r="I201" s="193"/>
      <c r="J201" s="114"/>
      <c r="K201" s="9"/>
      <c r="S201" s="9"/>
    </row>
    <row r="202" spans="2:19" ht="15.75" x14ac:dyDescent="0.25">
      <c r="C202" s="215" t="s">
        <v>16</v>
      </c>
      <c r="D202" s="9"/>
      <c r="E202" s="220">
        <f>L183</f>
        <v>-11235.552255762692</v>
      </c>
      <c r="F202" s="193"/>
      <c r="G202" s="220">
        <f>L86</f>
        <v>108681.64</v>
      </c>
      <c r="H202" s="193">
        <f t="shared" si="16"/>
        <v>17692.36</v>
      </c>
      <c r="I202" s="193"/>
      <c r="J202" s="114"/>
      <c r="K202" s="9"/>
      <c r="S202" s="9"/>
    </row>
    <row r="203" spans="2:19" ht="15.75" x14ac:dyDescent="0.25">
      <c r="C203" s="215" t="s">
        <v>17</v>
      </c>
      <c r="E203" s="220">
        <f>M183</f>
        <v>-177134.32643343569</v>
      </c>
      <c r="F203" s="193"/>
      <c r="G203" s="220">
        <f>M86</f>
        <v>807312.1</v>
      </c>
      <c r="H203" s="193">
        <f t="shared" si="16"/>
        <v>131422.90000000002</v>
      </c>
      <c r="I203" s="193"/>
      <c r="J203" s="114"/>
      <c r="K203" s="9"/>
      <c r="S203" s="9"/>
    </row>
    <row r="204" spans="2:19" ht="15.75" x14ac:dyDescent="0.25">
      <c r="C204" s="215" t="s">
        <v>18</v>
      </c>
      <c r="E204" s="220">
        <f>N183</f>
        <v>-38242.603720563573</v>
      </c>
      <c r="F204" s="193"/>
      <c r="G204" s="220">
        <f>N86</f>
        <v>153639.85999999999</v>
      </c>
      <c r="H204" s="193">
        <f t="shared" si="16"/>
        <v>25011.140000000014</v>
      </c>
      <c r="I204" s="193"/>
      <c r="J204" s="114"/>
      <c r="K204" s="9"/>
      <c r="S204" s="9"/>
    </row>
    <row r="205" spans="2:19" ht="15.75" x14ac:dyDescent="0.25">
      <c r="C205" s="215" t="s">
        <v>19</v>
      </c>
      <c r="E205" s="220">
        <f>O183</f>
        <v>-15504.458209181967</v>
      </c>
      <c r="F205" s="193"/>
      <c r="G205" s="220">
        <f>O86</f>
        <v>960359.85</v>
      </c>
      <c r="H205" s="193">
        <f t="shared" si="16"/>
        <v>156337.65000000002</v>
      </c>
      <c r="I205" s="193"/>
      <c r="J205" s="114"/>
      <c r="K205" s="9"/>
      <c r="S205" s="9"/>
    </row>
    <row r="206" spans="2:19" ht="15.75" x14ac:dyDescent="0.25">
      <c r="C206" s="215" t="s">
        <v>20</v>
      </c>
      <c r="E206" s="220">
        <f>P183</f>
        <v>15010.249261297746</v>
      </c>
      <c r="F206" s="193"/>
      <c r="G206" s="220">
        <f>P86</f>
        <v>72417.16</v>
      </c>
      <c r="H206" s="193">
        <f t="shared" si="16"/>
        <v>11788.839999999997</v>
      </c>
      <c r="I206" s="193"/>
      <c r="J206" s="114"/>
      <c r="K206" s="9"/>
      <c r="S206" s="9"/>
    </row>
    <row r="207" spans="2:19" ht="15.75" x14ac:dyDescent="0.25">
      <c r="C207" s="215" t="s">
        <v>21</v>
      </c>
      <c r="E207" s="220">
        <f>Q183</f>
        <v>-51291.908761752988</v>
      </c>
      <c r="F207" s="193"/>
      <c r="G207" s="220">
        <f>Q86</f>
        <v>474282.26</v>
      </c>
      <c r="H207" s="193">
        <f t="shared" si="16"/>
        <v>77208.739999999991</v>
      </c>
      <c r="I207" s="193"/>
      <c r="J207" s="114"/>
      <c r="K207" s="9"/>
      <c r="S207" s="9"/>
    </row>
    <row r="208" spans="2:19" ht="15.75" x14ac:dyDescent="0.25">
      <c r="C208" s="215" t="s">
        <v>22</v>
      </c>
      <c r="E208" s="220">
        <f>R183</f>
        <v>-6436.4408565917493</v>
      </c>
      <c r="F208" s="193"/>
      <c r="G208" s="220">
        <f>R86</f>
        <v>213196.15</v>
      </c>
      <c r="H208" s="193">
        <f t="shared" si="16"/>
        <v>34706.350000000006</v>
      </c>
      <c r="I208" s="193"/>
      <c r="J208" s="114"/>
      <c r="K208" s="9"/>
      <c r="S208" s="9"/>
    </row>
    <row r="209" spans="3:19" ht="16.5" thickBot="1" x14ac:dyDescent="0.3">
      <c r="C209" s="216" t="s">
        <v>23</v>
      </c>
      <c r="E209" s="221">
        <f>S183</f>
        <v>720311.08051912126</v>
      </c>
      <c r="F209" s="193"/>
      <c r="G209" s="221">
        <f>S86</f>
        <v>7471786.21</v>
      </c>
      <c r="H209" s="193">
        <f t="shared" si="16"/>
        <v>1216337.29</v>
      </c>
      <c r="I209" s="193"/>
      <c r="J209" s="114"/>
      <c r="K209" s="9"/>
      <c r="S209" s="9"/>
    </row>
    <row r="210" spans="3:19" ht="15.75" x14ac:dyDescent="0.25">
      <c r="D210" s="9"/>
      <c r="E210" s="222">
        <f>SUM(E194:E209)</f>
        <v>0</v>
      </c>
      <c r="F210" s="222"/>
      <c r="G210" s="222">
        <f>SUM(G194:G209)</f>
        <v>15834672.169999998</v>
      </c>
      <c r="H210" s="193">
        <f t="shared" si="16"/>
        <v>2577737.3299999982</v>
      </c>
      <c r="I210" s="222"/>
      <c r="J210" s="6"/>
      <c r="K210" s="9"/>
      <c r="S210" s="9"/>
    </row>
    <row r="211" spans="3:19" x14ac:dyDescent="0.2">
      <c r="D211" s="9"/>
      <c r="E211" s="21"/>
      <c r="F211" s="9"/>
      <c r="G211" s="9"/>
      <c r="H211" s="9"/>
      <c r="I211" s="9"/>
      <c r="J211" s="9"/>
      <c r="K211" s="9"/>
      <c r="S211" s="9"/>
    </row>
    <row r="212" spans="3:19" x14ac:dyDescent="0.2">
      <c r="D212" s="9"/>
      <c r="E212" s="21"/>
      <c r="F212" s="9"/>
      <c r="G212" s="9"/>
      <c r="H212" s="9"/>
      <c r="I212" s="9"/>
      <c r="J212" s="9"/>
      <c r="K212" s="9"/>
      <c r="S212" s="9"/>
    </row>
    <row r="213" spans="3:19" x14ac:dyDescent="0.2">
      <c r="D213" s="9"/>
      <c r="E213" s="21"/>
      <c r="F213" s="9"/>
      <c r="G213" s="9"/>
      <c r="H213" s="9"/>
      <c r="I213" s="9"/>
      <c r="J213" s="9"/>
      <c r="K213" s="9"/>
      <c r="S213" s="9"/>
    </row>
    <row r="214" spans="3:19" x14ac:dyDescent="0.2">
      <c r="D214" s="9"/>
      <c r="E214" s="21"/>
      <c r="F214" s="9"/>
      <c r="G214" s="9"/>
      <c r="H214" s="9"/>
      <c r="I214" s="9"/>
      <c r="J214" s="9"/>
      <c r="K214" s="9"/>
      <c r="S214" s="9"/>
    </row>
    <row r="215" spans="3:19" x14ac:dyDescent="0.2">
      <c r="D215" s="9"/>
      <c r="E215" s="21"/>
      <c r="F215" s="9"/>
      <c r="G215" s="9"/>
      <c r="H215" s="9"/>
      <c r="I215" s="9"/>
      <c r="J215" s="9"/>
      <c r="S215" s="9"/>
    </row>
    <row r="216" spans="3:19" x14ac:dyDescent="0.2">
      <c r="D216" s="9"/>
      <c r="E216" s="21"/>
      <c r="F216" s="9"/>
      <c r="G216" s="9"/>
      <c r="H216" s="9"/>
      <c r="I216" s="9"/>
      <c r="J216" s="9"/>
      <c r="S216" s="9"/>
    </row>
    <row r="217" spans="3:19" x14ac:dyDescent="0.2">
      <c r="D217" s="9"/>
      <c r="E217" s="9"/>
      <c r="F217" s="9"/>
      <c r="G217" s="9"/>
      <c r="H217" s="9"/>
      <c r="I217" s="9"/>
      <c r="J217" s="9"/>
      <c r="S217" s="9"/>
    </row>
    <row r="218" spans="3:19" x14ac:dyDescent="0.2">
      <c r="D218" s="9"/>
      <c r="E218" s="36"/>
      <c r="F218" s="9"/>
      <c r="G218" s="9"/>
      <c r="H218" s="9"/>
      <c r="I218" s="9"/>
      <c r="J218" s="9"/>
      <c r="K218" s="9"/>
      <c r="L218" s="9"/>
      <c r="M218" s="9"/>
      <c r="N218" s="9"/>
      <c r="O218" s="9"/>
      <c r="S218" s="9"/>
    </row>
    <row r="219" spans="3:19" ht="15.75" x14ac:dyDescent="0.25">
      <c r="D219" s="9"/>
      <c r="E219" s="9"/>
      <c r="F219" s="9"/>
      <c r="G219" s="9"/>
      <c r="H219" s="9"/>
      <c r="I219" s="9"/>
      <c r="J219" s="9"/>
      <c r="K219" s="9"/>
      <c r="L219" s="9"/>
      <c r="M219" s="6"/>
      <c r="N219" s="9"/>
      <c r="O219" s="9"/>
      <c r="R219" s="9"/>
    </row>
    <row r="220" spans="3:19" x14ac:dyDescent="0.2">
      <c r="D220" s="9"/>
      <c r="E220" s="9"/>
      <c r="F220" s="9"/>
      <c r="G220" s="9"/>
      <c r="H220" s="194"/>
      <c r="I220" s="194"/>
      <c r="J220" s="194"/>
      <c r="K220" s="195"/>
      <c r="L220" s="194"/>
      <c r="M220" s="194"/>
      <c r="N220" s="194"/>
      <c r="O220" s="9"/>
      <c r="R220" s="9"/>
    </row>
    <row r="221" spans="3:19" ht="15.75" x14ac:dyDescent="0.25">
      <c r="D221" s="9"/>
      <c r="E221" s="9"/>
      <c r="F221" s="9"/>
      <c r="G221" s="114"/>
      <c r="H221" s="193"/>
      <c r="I221" s="96"/>
      <c r="J221" s="193"/>
      <c r="K221" s="193"/>
      <c r="L221" s="194"/>
      <c r="M221" s="196"/>
      <c r="N221" s="194"/>
      <c r="O221" s="9"/>
      <c r="R221" s="9"/>
    </row>
    <row r="222" spans="3:19" ht="15.75" x14ac:dyDescent="0.25">
      <c r="F222" s="9"/>
      <c r="G222" s="37"/>
      <c r="H222" s="193"/>
      <c r="I222" s="194"/>
      <c r="J222" s="193"/>
      <c r="K222" s="193"/>
      <c r="L222" s="194"/>
      <c r="M222" s="196"/>
      <c r="N222" s="194"/>
      <c r="O222" s="9"/>
    </row>
    <row r="223" spans="3:19" ht="15.75" x14ac:dyDescent="0.25">
      <c r="F223" s="9"/>
      <c r="G223" s="37"/>
      <c r="H223" s="193"/>
      <c r="I223" s="194"/>
      <c r="J223" s="193"/>
      <c r="K223" s="193"/>
      <c r="L223" s="194"/>
      <c r="M223" s="196"/>
      <c r="N223" s="194"/>
      <c r="O223" s="9"/>
    </row>
    <row r="224" spans="3:19" ht="15.75" x14ac:dyDescent="0.25">
      <c r="F224" s="9"/>
      <c r="G224" s="197"/>
      <c r="H224" s="193"/>
      <c r="I224" s="194"/>
      <c r="J224" s="193"/>
      <c r="K224" s="193"/>
      <c r="L224" s="194"/>
      <c r="M224" s="196"/>
      <c r="N224" s="194"/>
      <c r="O224" s="9"/>
    </row>
    <row r="225" spans="4:15" ht="15.75" x14ac:dyDescent="0.25">
      <c r="F225" s="9"/>
      <c r="G225" s="197"/>
      <c r="H225" s="193"/>
      <c r="I225" s="194"/>
      <c r="J225" s="193"/>
      <c r="K225" s="193"/>
      <c r="L225" s="194"/>
      <c r="M225" s="196"/>
      <c r="N225" s="194"/>
      <c r="O225" s="9"/>
    </row>
    <row r="226" spans="4:15" ht="15.75" x14ac:dyDescent="0.25">
      <c r="F226" s="9"/>
      <c r="G226" s="37"/>
      <c r="H226" s="193"/>
      <c r="I226" s="194"/>
      <c r="J226" s="193"/>
      <c r="K226" s="193"/>
      <c r="L226" s="194"/>
      <c r="M226" s="196"/>
      <c r="N226" s="194"/>
      <c r="O226" s="9"/>
    </row>
    <row r="227" spans="4:15" ht="15.75" x14ac:dyDescent="0.25">
      <c r="F227" s="9"/>
      <c r="G227" s="37"/>
      <c r="H227" s="193"/>
      <c r="I227" s="194"/>
      <c r="J227" s="193"/>
      <c r="K227" s="193"/>
      <c r="L227" s="194"/>
      <c r="M227" s="196"/>
      <c r="N227" s="194"/>
      <c r="O227" s="9"/>
    </row>
    <row r="228" spans="4:15" ht="15.75" x14ac:dyDescent="0.25">
      <c r="F228" s="9"/>
      <c r="G228" s="197"/>
      <c r="H228" s="193"/>
      <c r="I228" s="194"/>
      <c r="J228" s="193"/>
      <c r="K228" s="193"/>
      <c r="L228" s="194"/>
      <c r="M228" s="196"/>
      <c r="N228" s="194"/>
      <c r="O228" s="9"/>
    </row>
    <row r="229" spans="4:15" ht="15.75" x14ac:dyDescent="0.25">
      <c r="F229" s="9"/>
      <c r="G229" s="197"/>
      <c r="H229" s="193"/>
      <c r="I229" s="194"/>
      <c r="J229" s="193"/>
      <c r="K229" s="193"/>
      <c r="L229" s="194"/>
      <c r="M229" s="196"/>
      <c r="N229" s="194"/>
      <c r="O229" s="9"/>
    </row>
    <row r="230" spans="4:15" ht="15.75" x14ac:dyDescent="0.25">
      <c r="F230" s="9"/>
      <c r="G230" s="37"/>
      <c r="H230" s="193"/>
      <c r="I230" s="194"/>
      <c r="J230" s="193"/>
      <c r="K230" s="193"/>
      <c r="L230" s="194"/>
      <c r="M230" s="196"/>
      <c r="N230" s="194"/>
      <c r="O230" s="9"/>
    </row>
    <row r="231" spans="4:15" ht="15.75" x14ac:dyDescent="0.25">
      <c r="F231" s="9"/>
      <c r="G231" s="37"/>
      <c r="H231" s="193"/>
      <c r="I231" s="194"/>
      <c r="J231" s="193"/>
      <c r="K231" s="193"/>
      <c r="L231" s="194"/>
      <c r="M231" s="196"/>
      <c r="N231" s="194"/>
      <c r="O231" s="9"/>
    </row>
    <row r="232" spans="4:15" ht="15.75" x14ac:dyDescent="0.25">
      <c r="F232" s="9"/>
      <c r="G232" s="37"/>
      <c r="H232" s="193"/>
      <c r="I232" s="194"/>
      <c r="J232" s="193"/>
      <c r="K232" s="193"/>
      <c r="L232" s="194"/>
      <c r="M232" s="196"/>
      <c r="N232" s="194"/>
      <c r="O232" s="9"/>
    </row>
    <row r="233" spans="4:15" ht="15.75" x14ac:dyDescent="0.25">
      <c r="F233" s="9"/>
      <c r="G233" s="197"/>
      <c r="H233" s="193"/>
      <c r="I233" s="194"/>
      <c r="J233" s="193"/>
      <c r="K233" s="193"/>
      <c r="L233" s="194"/>
      <c r="M233" s="196"/>
      <c r="N233" s="194"/>
      <c r="O233" s="9"/>
    </row>
    <row r="234" spans="4:15" ht="15.75" x14ac:dyDescent="0.25">
      <c r="F234" s="9"/>
      <c r="G234" s="37"/>
      <c r="H234" s="193"/>
      <c r="I234" s="194"/>
      <c r="J234" s="193"/>
      <c r="K234" s="193"/>
      <c r="L234" s="194"/>
      <c r="M234" s="196"/>
      <c r="N234" s="194"/>
      <c r="O234" s="9"/>
    </row>
    <row r="235" spans="4:15" ht="15.75" x14ac:dyDescent="0.25">
      <c r="F235" s="9"/>
      <c r="G235" s="197"/>
      <c r="H235" s="193"/>
      <c r="I235" s="194"/>
      <c r="J235" s="193"/>
      <c r="K235" s="193"/>
      <c r="L235" s="194"/>
      <c r="M235" s="196"/>
      <c r="N235" s="194"/>
      <c r="O235" s="9"/>
    </row>
    <row r="236" spans="4:15" ht="15.75" x14ac:dyDescent="0.25">
      <c r="F236" s="9"/>
      <c r="G236" s="37"/>
      <c r="H236" s="193"/>
      <c r="I236" s="194"/>
      <c r="J236" s="193"/>
      <c r="K236" s="193"/>
      <c r="L236" s="194"/>
      <c r="M236" s="196"/>
      <c r="N236" s="194"/>
      <c r="O236" s="9"/>
    </row>
    <row r="237" spans="4:15" ht="15.75" x14ac:dyDescent="0.25">
      <c r="F237" s="9"/>
      <c r="G237" s="9"/>
      <c r="H237" s="222"/>
      <c r="I237" s="6"/>
      <c r="J237" s="222"/>
      <c r="K237" s="222"/>
      <c r="L237" s="6"/>
      <c r="M237" s="6"/>
      <c r="N237" s="6"/>
      <c r="O237" s="9"/>
    </row>
    <row r="238" spans="4:15" x14ac:dyDescent="0.2">
      <c r="F238" s="9"/>
      <c r="G238" s="9"/>
      <c r="H238" s="9"/>
      <c r="I238" s="9"/>
      <c r="J238" s="9"/>
      <c r="K238" s="9"/>
      <c r="L238" s="9"/>
      <c r="M238" s="9"/>
      <c r="N238" s="9"/>
      <c r="O238" s="9"/>
    </row>
    <row r="239" spans="4:15" x14ac:dyDescent="0.2">
      <c r="E239" s="119"/>
      <c r="F239" s="117"/>
      <c r="G239" s="117"/>
      <c r="H239" s="9"/>
      <c r="I239" s="9"/>
      <c r="J239" s="9"/>
      <c r="K239" s="9"/>
      <c r="L239" s="9"/>
      <c r="M239" s="9"/>
      <c r="N239" s="9"/>
      <c r="O239" s="9"/>
    </row>
    <row r="240" spans="4:15" x14ac:dyDescent="0.2">
      <c r="D240" s="116"/>
      <c r="E240" s="116"/>
      <c r="F240" s="116"/>
      <c r="G240" s="116"/>
      <c r="H240" s="116"/>
      <c r="I240" s="116"/>
      <c r="J240" s="116"/>
      <c r="K240" s="116"/>
      <c r="L240" s="9"/>
      <c r="M240" s="9"/>
      <c r="N240" s="9"/>
      <c r="O240" s="9"/>
    </row>
    <row r="241" spans="6:15" ht="15.75" x14ac:dyDescent="0.25">
      <c r="F241" s="9"/>
      <c r="G241" s="9"/>
      <c r="H241" s="9"/>
      <c r="I241" s="150"/>
      <c r="J241" s="184"/>
      <c r="K241" s="9"/>
      <c r="L241" s="9"/>
      <c r="M241" s="9"/>
      <c r="N241" s="9"/>
      <c r="O241" s="9"/>
    </row>
    <row r="242" spans="6:15" ht="15.75" x14ac:dyDescent="0.25">
      <c r="F242" s="9"/>
      <c r="G242" s="9"/>
      <c r="H242" s="9"/>
      <c r="I242" s="150"/>
      <c r="J242" s="184"/>
      <c r="K242" s="9"/>
      <c r="L242" s="9"/>
      <c r="M242" s="9"/>
      <c r="N242" s="9"/>
      <c r="O242" s="9"/>
    </row>
    <row r="243" spans="6:15" x14ac:dyDescent="0.2">
      <c r="F243" s="9"/>
      <c r="G243" s="9"/>
      <c r="H243" s="9"/>
      <c r="I243" s="9"/>
      <c r="J243" s="9"/>
      <c r="K243" s="9"/>
      <c r="L243" s="9"/>
      <c r="M243" s="9"/>
      <c r="N243" s="9"/>
      <c r="O243" s="9"/>
    </row>
    <row r="244" spans="6:15" x14ac:dyDescent="0.2">
      <c r="I244" s="1" t="s">
        <v>86</v>
      </c>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244"/>
  <sheetViews>
    <sheetView topLeftCell="A51" zoomScale="70" zoomScaleNormal="70" workbookViewId="0">
      <selection activeCell="D87" sqref="D87"/>
    </sheetView>
  </sheetViews>
  <sheetFormatPr defaultColWidth="8.88671875" defaultRowHeight="15" x14ac:dyDescent="0.2"/>
  <cols>
    <col min="1" max="1" width="2.21875" style="1" customWidth="1"/>
    <col min="2" max="2" width="2" style="1" customWidth="1"/>
    <col min="3" max="3" width="32.6640625" style="1" customWidth="1"/>
    <col min="4" max="4" width="10.6640625" style="1" customWidth="1"/>
    <col min="5" max="5" width="16" style="1" customWidth="1"/>
    <col min="6" max="6" width="13.6640625" style="1" bestFit="1" customWidth="1"/>
    <col min="7" max="7" width="12.109375" style="1" customWidth="1"/>
    <col min="8" max="8" width="14.6640625" style="1" customWidth="1"/>
    <col min="9" max="9" width="15.77734375" style="1" customWidth="1"/>
    <col min="10" max="10" width="15.88671875" style="1" customWidth="1"/>
    <col min="11" max="11" width="12.109375" style="1" customWidth="1"/>
    <col min="12" max="12" width="10.6640625" style="1" customWidth="1"/>
    <col min="13" max="13" width="10.77734375" style="1" customWidth="1"/>
    <col min="14" max="14" width="9.44140625" style="1" bestFit="1" customWidth="1"/>
    <col min="15" max="15" width="13.6640625" style="1" bestFit="1" customWidth="1"/>
    <col min="16" max="16" width="9.109375" style="1" bestFit="1" customWidth="1"/>
    <col min="17" max="17" width="10.5546875" style="1" bestFit="1" customWidth="1"/>
    <col min="18" max="18" width="13.6640625" style="1" bestFit="1" customWidth="1"/>
    <col min="19" max="19" width="11.5546875" style="1" customWidth="1"/>
    <col min="20" max="20" width="14.77734375" style="1" customWidth="1"/>
    <col min="21" max="21" width="15.88671875" style="1" customWidth="1"/>
    <col min="22" max="22" width="5.44140625" style="1" customWidth="1"/>
    <col min="23" max="16384" width="8.88671875" style="1"/>
  </cols>
  <sheetData>
    <row r="2" spans="3:8" ht="23.25" thickBot="1" x14ac:dyDescent="0.35">
      <c r="C2" s="225" t="s">
        <v>65</v>
      </c>
      <c r="D2" s="121"/>
      <c r="E2" s="120"/>
      <c r="F2" s="120"/>
      <c r="G2" s="120"/>
    </row>
    <row r="3" spans="3:8" ht="15.75" thickTop="1" x14ac:dyDescent="0.2"/>
    <row r="5" spans="3:8" ht="17.25" customHeight="1" thickBot="1" x14ac:dyDescent="0.3">
      <c r="C5" s="223" t="s">
        <v>98</v>
      </c>
      <c r="D5" s="224"/>
      <c r="E5" s="224"/>
      <c r="F5" s="224"/>
      <c r="G5" s="224"/>
      <c r="H5" s="224"/>
    </row>
    <row r="6" spans="3:8" ht="17.25" hidden="1" customHeight="1" thickTop="1" x14ac:dyDescent="0.2"/>
    <row r="7" spans="3:8" ht="17.25" hidden="1" customHeight="1" x14ac:dyDescent="0.2"/>
    <row r="8" spans="3:8" ht="17.25" hidden="1" customHeight="1" x14ac:dyDescent="0.2"/>
    <row r="9" spans="3:8" ht="17.25" hidden="1" customHeight="1" x14ac:dyDescent="0.2"/>
    <row r="10" spans="3:8" ht="17.25" hidden="1" customHeight="1" x14ac:dyDescent="0.2"/>
    <row r="11" spans="3:8" ht="17.25" hidden="1" customHeight="1" x14ac:dyDescent="0.2"/>
    <row r="12" spans="3:8" ht="17.25" hidden="1" customHeight="1" x14ac:dyDescent="0.2"/>
    <row r="13" spans="3:8" ht="17.25" hidden="1" customHeight="1" x14ac:dyDescent="0.2"/>
    <row r="14" spans="3:8" ht="17.25" hidden="1" customHeight="1" x14ac:dyDescent="0.2"/>
    <row r="15" spans="3:8" ht="17.25" hidden="1" customHeight="1" x14ac:dyDescent="0.2"/>
    <row r="16" spans="3:8" ht="15" hidden="1" customHeight="1" x14ac:dyDescent="0.2"/>
    <row r="17" spans="2:13" ht="15" hidden="1" customHeight="1" x14ac:dyDescent="0.2"/>
    <row r="18" spans="2:13" ht="15" hidden="1" customHeight="1" x14ac:dyDescent="0.2"/>
    <row r="19" spans="2:13" ht="15" hidden="1" customHeight="1" x14ac:dyDescent="0.2"/>
    <row r="20" spans="2:13" ht="15" hidden="1" customHeight="1" x14ac:dyDescent="0.2"/>
    <row r="21" spans="2:13" ht="15" hidden="1" customHeight="1" x14ac:dyDescent="0.2"/>
    <row r="22" spans="2:13" ht="15" hidden="1" customHeight="1" x14ac:dyDescent="0.2"/>
    <row r="23" spans="2:13" ht="15" hidden="1" customHeight="1" x14ac:dyDescent="0.2"/>
    <row r="24" spans="2:13" ht="15" hidden="1" customHeight="1" x14ac:dyDescent="0.2"/>
    <row r="25" spans="2:13" ht="15.75" thickTop="1" x14ac:dyDescent="0.2"/>
    <row r="27" spans="2:13" ht="17.25" thickBot="1" x14ac:dyDescent="0.3">
      <c r="B27" s="34"/>
      <c r="C27" s="227" t="s">
        <v>97</v>
      </c>
      <c r="D27" s="227"/>
      <c r="E27" s="227"/>
      <c r="F27" s="227"/>
      <c r="G27" s="227"/>
      <c r="H27" s="226"/>
    </row>
    <row r="28" spans="2:13" ht="15.75" thickTop="1" x14ac:dyDescent="0.2">
      <c r="H28" s="9"/>
      <c r="I28" s="9"/>
      <c r="J28" s="9"/>
    </row>
    <row r="29" spans="2:13" ht="15.75" x14ac:dyDescent="0.25">
      <c r="H29" s="9"/>
      <c r="I29" s="46"/>
      <c r="J29" s="9"/>
      <c r="L29" s="9"/>
    </row>
    <row r="30" spans="2:13" ht="15.75" x14ac:dyDescent="0.25">
      <c r="H30" s="9"/>
      <c r="I30" s="46"/>
      <c r="J30" s="124"/>
      <c r="L30" s="123"/>
      <c r="M30" s="45"/>
    </row>
    <row r="31" spans="2:13" ht="15.75" x14ac:dyDescent="0.25">
      <c r="H31" s="9"/>
      <c r="I31" s="46"/>
      <c r="J31" s="124"/>
      <c r="L31" s="46"/>
      <c r="M31" s="46"/>
    </row>
    <row r="32" spans="2:13" ht="15.75" x14ac:dyDescent="0.25">
      <c r="H32" s="9"/>
      <c r="I32" s="46"/>
      <c r="J32" s="124"/>
      <c r="L32" s="125"/>
      <c r="M32" s="46"/>
    </row>
    <row r="33" spans="1:23" ht="15.75" x14ac:dyDescent="0.25">
      <c r="H33" s="9"/>
      <c r="I33" s="46"/>
      <c r="J33" s="124"/>
      <c r="K33" s="9"/>
      <c r="L33" s="125"/>
      <c r="M33" s="46"/>
    </row>
    <row r="34" spans="1:23" ht="15.75" x14ac:dyDescent="0.25">
      <c r="H34" s="9"/>
      <c r="I34" s="46"/>
      <c r="J34" s="124"/>
      <c r="K34" s="9"/>
      <c r="L34" s="125"/>
      <c r="M34" s="46"/>
    </row>
    <row r="35" spans="1:23" ht="15.75" x14ac:dyDescent="0.25">
      <c r="H35" s="9"/>
      <c r="I35" s="9"/>
      <c r="J35" s="46"/>
      <c r="K35" s="124"/>
      <c r="L35" s="125"/>
      <c r="M35" s="46"/>
    </row>
    <row r="36" spans="1:23" ht="15.75" x14ac:dyDescent="0.25">
      <c r="H36" s="9"/>
      <c r="I36" s="9"/>
      <c r="J36" s="46"/>
      <c r="K36" s="124"/>
      <c r="L36" s="125"/>
      <c r="M36" s="46"/>
    </row>
    <row r="37" spans="1:23" x14ac:dyDescent="0.2">
      <c r="I37" s="9"/>
      <c r="J37" s="9"/>
      <c r="K37" s="9"/>
      <c r="L37" s="9"/>
      <c r="M37" s="9"/>
    </row>
    <row r="38" spans="1:23" x14ac:dyDescent="0.2">
      <c r="M38" s="9"/>
    </row>
    <row r="39" spans="1:23" ht="15.75" thickBot="1" x14ac:dyDescent="0.25">
      <c r="V39" s="9"/>
      <c r="W39" s="9"/>
    </row>
    <row r="40" spans="1:23" ht="15.75" x14ac:dyDescent="0.25">
      <c r="C40" s="2"/>
      <c r="D40" s="3"/>
      <c r="E40" s="3"/>
      <c r="F40" s="3"/>
      <c r="G40" s="3"/>
      <c r="H40" s="3"/>
      <c r="I40" s="3"/>
      <c r="J40" s="3"/>
      <c r="K40" s="3"/>
      <c r="L40" s="3"/>
      <c r="M40" s="3"/>
      <c r="N40" s="3"/>
      <c r="O40" s="3"/>
      <c r="P40" s="3"/>
      <c r="Q40" s="3"/>
      <c r="R40" s="3"/>
      <c r="S40" s="3"/>
      <c r="T40" s="3"/>
      <c r="U40" s="4"/>
      <c r="V40" s="6"/>
      <c r="W40" s="9"/>
    </row>
    <row r="41" spans="1:23" ht="16.5" thickBot="1" x14ac:dyDescent="0.3">
      <c r="B41" s="5"/>
      <c r="C41" s="52" t="s">
        <v>475</v>
      </c>
      <c r="D41" s="75" t="s">
        <v>477</v>
      </c>
      <c r="E41" s="9"/>
      <c r="F41" s="9"/>
      <c r="G41" s="9"/>
      <c r="H41" s="9"/>
      <c r="I41" s="9"/>
      <c r="J41" s="9"/>
      <c r="K41" s="9"/>
      <c r="L41" s="9"/>
      <c r="M41" s="9"/>
      <c r="N41" s="9"/>
      <c r="O41" s="9"/>
      <c r="P41" s="9"/>
      <c r="Q41" s="9"/>
      <c r="R41" s="9"/>
      <c r="S41" s="9"/>
      <c r="T41" s="9"/>
      <c r="U41" s="108" t="s">
        <v>47</v>
      </c>
      <c r="V41" s="6"/>
      <c r="W41" s="9"/>
    </row>
    <row r="42" spans="1:23" ht="15.75" x14ac:dyDescent="0.25">
      <c r="C42" s="122" t="s">
        <v>66</v>
      </c>
      <c r="D42" s="126" t="s">
        <v>8</v>
      </c>
      <c r="E42" s="57" t="s">
        <v>9</v>
      </c>
      <c r="F42" s="57" t="s">
        <v>10</v>
      </c>
      <c r="G42" s="57" t="s">
        <v>11</v>
      </c>
      <c r="H42" s="57" t="s">
        <v>12</v>
      </c>
      <c r="I42" s="57" t="s">
        <v>13</v>
      </c>
      <c r="J42" s="57" t="s">
        <v>14</v>
      </c>
      <c r="K42" s="57" t="s">
        <v>15</v>
      </c>
      <c r="L42" s="57" t="s">
        <v>16</v>
      </c>
      <c r="M42" s="57" t="s">
        <v>17</v>
      </c>
      <c r="N42" s="57" t="s">
        <v>18</v>
      </c>
      <c r="O42" s="57" t="s">
        <v>19</v>
      </c>
      <c r="P42" s="57" t="s">
        <v>20</v>
      </c>
      <c r="Q42" s="57" t="s">
        <v>21</v>
      </c>
      <c r="R42" s="57" t="s">
        <v>22</v>
      </c>
      <c r="S42" s="57" t="s">
        <v>23</v>
      </c>
      <c r="T42" s="127" t="s">
        <v>24</v>
      </c>
      <c r="U42" s="128"/>
      <c r="V42" s="9"/>
      <c r="W42" s="9"/>
    </row>
    <row r="43" spans="1:23" ht="15.75" x14ac:dyDescent="0.25">
      <c r="B43" s="7"/>
      <c r="C43" s="129" t="s">
        <v>67</v>
      </c>
      <c r="D43" s="130">
        <v>385</v>
      </c>
      <c r="E43" s="54">
        <v>771</v>
      </c>
      <c r="F43" s="54">
        <v>2065</v>
      </c>
      <c r="G43" s="54">
        <v>451</v>
      </c>
      <c r="H43" s="54">
        <v>394</v>
      </c>
      <c r="I43" s="54">
        <v>1268</v>
      </c>
      <c r="J43" s="54">
        <v>3760</v>
      </c>
      <c r="K43" s="54">
        <v>250</v>
      </c>
      <c r="L43" s="54">
        <v>198</v>
      </c>
      <c r="M43" s="54">
        <v>1642</v>
      </c>
      <c r="N43" s="54">
        <v>327</v>
      </c>
      <c r="O43" s="54">
        <v>1487</v>
      </c>
      <c r="P43" s="54">
        <v>76</v>
      </c>
      <c r="Q43" s="54">
        <v>853</v>
      </c>
      <c r="R43" s="54">
        <v>331</v>
      </c>
      <c r="S43" s="54">
        <v>9473</v>
      </c>
      <c r="T43" s="131">
        <v>23731</v>
      </c>
      <c r="U43" s="132">
        <f>T43/$T$49</f>
        <v>1</v>
      </c>
      <c r="V43" s="37"/>
      <c r="W43" s="9"/>
    </row>
    <row r="44" spans="1:23" ht="15.75" x14ac:dyDescent="0.25">
      <c r="B44" s="7"/>
      <c r="C44" s="40" t="s">
        <v>68</v>
      </c>
      <c r="D44" s="130"/>
      <c r="E44" s="54"/>
      <c r="F44" s="54"/>
      <c r="G44" s="54"/>
      <c r="H44" s="54"/>
      <c r="I44" s="54"/>
      <c r="J44" s="54"/>
      <c r="K44" s="54"/>
      <c r="L44" s="54"/>
      <c r="M44" s="54"/>
      <c r="N44" s="54"/>
      <c r="O44" s="54"/>
      <c r="P44" s="54"/>
      <c r="Q44" s="54"/>
      <c r="R44" s="54"/>
      <c r="S44" s="54"/>
      <c r="T44" s="131">
        <f t="shared" ref="T44" si="0">SUM(D44:S44)</f>
        <v>0</v>
      </c>
      <c r="U44" s="132">
        <f>T44/$T$49</f>
        <v>0</v>
      </c>
      <c r="V44" s="37"/>
      <c r="W44" s="9"/>
    </row>
    <row r="45" spans="1:23" ht="15.75" x14ac:dyDescent="0.25">
      <c r="B45" s="7"/>
      <c r="C45" s="40" t="s">
        <v>69</v>
      </c>
      <c r="D45" s="130"/>
      <c r="E45" s="54"/>
      <c r="F45" s="54"/>
      <c r="G45" s="54"/>
      <c r="H45" s="54"/>
      <c r="I45" s="54"/>
      <c r="J45" s="54"/>
      <c r="K45" s="54"/>
      <c r="L45" s="54"/>
      <c r="M45" s="54"/>
      <c r="N45" s="54"/>
      <c r="O45" s="54"/>
      <c r="P45" s="54"/>
      <c r="Q45" s="54"/>
      <c r="R45" s="54"/>
      <c r="S45" s="54"/>
      <c r="T45" s="131">
        <f>SUM(D45:S45)</f>
        <v>0</v>
      </c>
      <c r="U45" s="132">
        <f>T45/$T$49</f>
        <v>0</v>
      </c>
      <c r="V45" s="37"/>
      <c r="W45" s="9"/>
    </row>
    <row r="46" spans="1:23" ht="15.75" x14ac:dyDescent="0.25">
      <c r="B46" s="7"/>
      <c r="C46" s="40"/>
      <c r="D46" s="130"/>
      <c r="E46" s="54"/>
      <c r="F46" s="54"/>
      <c r="G46" s="54"/>
      <c r="H46" s="54"/>
      <c r="I46" s="54"/>
      <c r="J46" s="54"/>
      <c r="K46" s="54"/>
      <c r="L46" s="54"/>
      <c r="M46" s="54"/>
      <c r="N46" s="54"/>
      <c r="O46" s="54"/>
      <c r="P46" s="54"/>
      <c r="Q46" s="54"/>
      <c r="R46" s="54"/>
      <c r="S46" s="54"/>
      <c r="T46" s="131"/>
      <c r="U46" s="133"/>
      <c r="V46" s="37"/>
      <c r="W46" s="9"/>
    </row>
    <row r="47" spans="1:23" ht="15.75" x14ac:dyDescent="0.25">
      <c r="A47" s="119"/>
      <c r="B47" s="136"/>
      <c r="C47" s="40" t="s">
        <v>4</v>
      </c>
      <c r="D47" s="134">
        <v>320</v>
      </c>
      <c r="E47" s="38">
        <v>673</v>
      </c>
      <c r="F47" s="38">
        <v>1835</v>
      </c>
      <c r="G47" s="38">
        <v>389</v>
      </c>
      <c r="H47" s="38">
        <v>355</v>
      </c>
      <c r="I47" s="38">
        <v>1102</v>
      </c>
      <c r="J47" s="38">
        <v>3345</v>
      </c>
      <c r="K47" s="38">
        <v>221</v>
      </c>
      <c r="L47" s="38">
        <v>158</v>
      </c>
      <c r="M47" s="38">
        <v>1448</v>
      </c>
      <c r="N47" s="38">
        <v>275</v>
      </c>
      <c r="O47" s="38">
        <v>1286</v>
      </c>
      <c r="P47" s="38">
        <v>65</v>
      </c>
      <c r="Q47" s="38">
        <v>730</v>
      </c>
      <c r="R47" s="38">
        <v>282</v>
      </c>
      <c r="S47" s="38">
        <v>8341</v>
      </c>
      <c r="T47" s="135">
        <v>20825</v>
      </c>
      <c r="U47" s="133"/>
      <c r="V47" s="37"/>
      <c r="W47" s="9"/>
    </row>
    <row r="48" spans="1:23" ht="15.75" x14ac:dyDescent="0.25">
      <c r="A48" s="119"/>
      <c r="B48" s="136"/>
      <c r="C48" s="40"/>
      <c r="D48" s="134"/>
      <c r="E48" s="38"/>
      <c r="F48" s="38"/>
      <c r="G48" s="38"/>
      <c r="H48" s="38"/>
      <c r="I48" s="38"/>
      <c r="J48" s="38"/>
      <c r="K48" s="38"/>
      <c r="L48" s="38"/>
      <c r="M48" s="38"/>
      <c r="N48" s="38"/>
      <c r="O48" s="38"/>
      <c r="P48" s="38"/>
      <c r="Q48" s="38"/>
      <c r="R48" s="38"/>
      <c r="S48" s="38"/>
      <c r="T48" s="135"/>
      <c r="U48" s="133"/>
      <c r="V48" s="37"/>
      <c r="W48" s="9"/>
    </row>
    <row r="49" spans="1:23" ht="16.5" thickBot="1" x14ac:dyDescent="0.3">
      <c r="A49" s="119"/>
      <c r="B49" s="136"/>
      <c r="C49" s="42" t="s">
        <v>27</v>
      </c>
      <c r="D49" s="307">
        <f t="shared" ref="D49:T49" si="1">SUM(D43:D45)</f>
        <v>385</v>
      </c>
      <c r="E49" s="192">
        <f t="shared" si="1"/>
        <v>771</v>
      </c>
      <c r="F49" s="192">
        <f t="shared" si="1"/>
        <v>2065</v>
      </c>
      <c r="G49" s="192">
        <f t="shared" si="1"/>
        <v>451</v>
      </c>
      <c r="H49" s="192">
        <f t="shared" si="1"/>
        <v>394</v>
      </c>
      <c r="I49" s="192">
        <f t="shared" si="1"/>
        <v>1268</v>
      </c>
      <c r="J49" s="192">
        <f t="shared" si="1"/>
        <v>3760</v>
      </c>
      <c r="K49" s="192">
        <f t="shared" si="1"/>
        <v>250</v>
      </c>
      <c r="L49" s="192">
        <f t="shared" si="1"/>
        <v>198</v>
      </c>
      <c r="M49" s="192">
        <f t="shared" si="1"/>
        <v>1642</v>
      </c>
      <c r="N49" s="192">
        <f t="shared" si="1"/>
        <v>327</v>
      </c>
      <c r="O49" s="192">
        <f t="shared" si="1"/>
        <v>1487</v>
      </c>
      <c r="P49" s="192">
        <f t="shared" si="1"/>
        <v>76</v>
      </c>
      <c r="Q49" s="192">
        <f t="shared" si="1"/>
        <v>853</v>
      </c>
      <c r="R49" s="192">
        <f t="shared" si="1"/>
        <v>331</v>
      </c>
      <c r="S49" s="192">
        <f t="shared" si="1"/>
        <v>9473</v>
      </c>
      <c r="T49" s="308">
        <f t="shared" si="1"/>
        <v>23731</v>
      </c>
      <c r="U49" s="137"/>
      <c r="V49" s="37"/>
      <c r="W49" s="9"/>
    </row>
    <row r="50" spans="1:23" ht="16.5" thickBot="1" x14ac:dyDescent="0.3">
      <c r="A50" s="119"/>
      <c r="B50" s="136"/>
      <c r="C50" s="6"/>
      <c r="D50" s="6"/>
      <c r="E50" s="6"/>
      <c r="F50" s="6"/>
      <c r="G50" s="6"/>
      <c r="H50" s="6"/>
      <c r="I50" s="6"/>
      <c r="J50" s="6"/>
      <c r="K50" s="6"/>
      <c r="L50" s="6"/>
      <c r="M50" s="6"/>
      <c r="N50" s="6"/>
      <c r="O50" s="6"/>
      <c r="P50" s="6"/>
      <c r="Q50" s="6"/>
      <c r="R50" s="6"/>
      <c r="S50" s="6"/>
      <c r="T50" s="138"/>
      <c r="U50" s="9"/>
      <c r="V50" s="9"/>
      <c r="W50" s="9"/>
    </row>
    <row r="51" spans="1:23" ht="15.75" x14ac:dyDescent="0.25">
      <c r="A51" s="119"/>
      <c r="B51" s="136"/>
      <c r="C51" s="139" t="s">
        <v>28</v>
      </c>
      <c r="D51" s="297"/>
      <c r="E51" s="140"/>
      <c r="F51" s="140"/>
      <c r="G51" s="140"/>
      <c r="H51" s="140"/>
      <c r="I51" s="140"/>
      <c r="J51" s="140"/>
      <c r="K51" s="140"/>
      <c r="L51" s="140"/>
      <c r="M51" s="140"/>
      <c r="N51" s="140"/>
      <c r="O51" s="140"/>
      <c r="P51" s="140"/>
      <c r="Q51" s="140"/>
      <c r="R51" s="140"/>
      <c r="S51" s="298"/>
      <c r="T51" s="141" t="s">
        <v>24</v>
      </c>
      <c r="U51" s="9"/>
      <c r="V51" s="9"/>
      <c r="W51" s="9"/>
    </row>
    <row r="52" spans="1:23" ht="15.75" x14ac:dyDescent="0.25">
      <c r="A52" s="119"/>
      <c r="B52" s="136"/>
      <c r="C52" s="142" t="s">
        <v>71</v>
      </c>
      <c r="D52" s="299">
        <f t="shared" ref="D52:T52" si="2">D43/D$49</f>
        <v>1</v>
      </c>
      <c r="E52" s="143">
        <f t="shared" si="2"/>
        <v>1</v>
      </c>
      <c r="F52" s="143">
        <f t="shared" si="2"/>
        <v>1</v>
      </c>
      <c r="G52" s="143">
        <f t="shared" si="2"/>
        <v>1</v>
      </c>
      <c r="H52" s="143">
        <f t="shared" si="2"/>
        <v>1</v>
      </c>
      <c r="I52" s="143">
        <f t="shared" si="2"/>
        <v>1</v>
      </c>
      <c r="J52" s="143">
        <f t="shared" si="2"/>
        <v>1</v>
      </c>
      <c r="K52" s="143">
        <f t="shared" si="2"/>
        <v>1</v>
      </c>
      <c r="L52" s="143">
        <f t="shared" si="2"/>
        <v>1</v>
      </c>
      <c r="M52" s="143">
        <f t="shared" si="2"/>
        <v>1</v>
      </c>
      <c r="N52" s="143">
        <f t="shared" si="2"/>
        <v>1</v>
      </c>
      <c r="O52" s="143">
        <f t="shared" si="2"/>
        <v>1</v>
      </c>
      <c r="P52" s="143">
        <f t="shared" si="2"/>
        <v>1</v>
      </c>
      <c r="Q52" s="143">
        <f t="shared" si="2"/>
        <v>1</v>
      </c>
      <c r="R52" s="143">
        <f t="shared" si="2"/>
        <v>1</v>
      </c>
      <c r="S52" s="300">
        <f t="shared" si="2"/>
        <v>1</v>
      </c>
      <c r="T52" s="144">
        <f t="shared" si="2"/>
        <v>1</v>
      </c>
      <c r="U52" s="9"/>
      <c r="V52" s="9"/>
      <c r="W52" s="9"/>
    </row>
    <row r="53" spans="1:23" ht="15.75" x14ac:dyDescent="0.25">
      <c r="A53" s="119"/>
      <c r="B53" s="136"/>
      <c r="C53" s="145"/>
      <c r="D53" s="299"/>
      <c r="E53" s="143"/>
      <c r="F53" s="143"/>
      <c r="G53" s="143"/>
      <c r="H53" s="143"/>
      <c r="I53" s="143"/>
      <c r="J53" s="143"/>
      <c r="K53" s="143"/>
      <c r="L53" s="143"/>
      <c r="M53" s="143"/>
      <c r="N53" s="143"/>
      <c r="O53" s="143"/>
      <c r="P53" s="143"/>
      <c r="Q53" s="143"/>
      <c r="R53" s="143"/>
      <c r="S53" s="300"/>
      <c r="T53" s="144"/>
      <c r="U53" s="9"/>
      <c r="V53" s="9"/>
      <c r="W53" s="9"/>
    </row>
    <row r="54" spans="1:23" ht="15.75" x14ac:dyDescent="0.25">
      <c r="A54" s="119"/>
      <c r="B54" s="136"/>
      <c r="C54" s="142" t="s">
        <v>92</v>
      </c>
      <c r="D54" s="299">
        <f t="shared" ref="D54:S54" si="3">D43/$T$43</f>
        <v>1.6223505119885382E-2</v>
      </c>
      <c r="E54" s="143">
        <f t="shared" si="3"/>
        <v>3.2489149214108129E-2</v>
      </c>
      <c r="F54" s="143">
        <f t="shared" si="3"/>
        <v>8.7016982006657959E-2</v>
      </c>
      <c r="G54" s="143">
        <f t="shared" si="3"/>
        <v>1.9004677426151449E-2</v>
      </c>
      <c r="H54" s="143">
        <f t="shared" si="3"/>
        <v>1.6602755888921662E-2</v>
      </c>
      <c r="I54" s="143">
        <f t="shared" si="3"/>
        <v>5.343221945977835E-2</v>
      </c>
      <c r="J54" s="143">
        <f t="shared" si="3"/>
        <v>0.15844254350849099</v>
      </c>
      <c r="K54" s="143">
        <f t="shared" si="3"/>
        <v>1.0534743584341158E-2</v>
      </c>
      <c r="L54" s="143">
        <f t="shared" si="3"/>
        <v>8.343516918798196E-3</v>
      </c>
      <c r="M54" s="143">
        <f t="shared" si="3"/>
        <v>6.9192195861952716E-2</v>
      </c>
      <c r="N54" s="143">
        <f t="shared" si="3"/>
        <v>1.3779444608318234E-2</v>
      </c>
      <c r="O54" s="143">
        <f t="shared" si="3"/>
        <v>6.2660654839661198E-2</v>
      </c>
      <c r="P54" s="143">
        <f t="shared" si="3"/>
        <v>3.2025620496397116E-3</v>
      </c>
      <c r="Q54" s="143">
        <f t="shared" si="3"/>
        <v>3.5944545109772026E-2</v>
      </c>
      <c r="R54" s="143">
        <f t="shared" si="3"/>
        <v>1.3948000505667692E-2</v>
      </c>
      <c r="S54" s="300">
        <f t="shared" si="3"/>
        <v>0.39918250389785515</v>
      </c>
      <c r="T54" s="228">
        <f>SUM(D54:S54)</f>
        <v>1</v>
      </c>
      <c r="U54" s="9"/>
      <c r="V54" s="9"/>
      <c r="W54" s="9"/>
    </row>
    <row r="55" spans="1:23" ht="15.75" x14ac:dyDescent="0.25">
      <c r="A55" s="119"/>
      <c r="B55" s="136"/>
      <c r="C55" s="145" t="s">
        <v>93</v>
      </c>
      <c r="D55" s="299">
        <f>D49/$T$49</f>
        <v>1.6223505119885382E-2</v>
      </c>
      <c r="E55" s="143">
        <f t="shared" ref="E55:S55" si="4">E49/$T$49</f>
        <v>3.2489149214108129E-2</v>
      </c>
      <c r="F55" s="143">
        <f t="shared" si="4"/>
        <v>8.7016982006657959E-2</v>
      </c>
      <c r="G55" s="143">
        <f t="shared" si="4"/>
        <v>1.9004677426151449E-2</v>
      </c>
      <c r="H55" s="143">
        <f t="shared" si="4"/>
        <v>1.6602755888921662E-2</v>
      </c>
      <c r="I55" s="143">
        <f t="shared" si="4"/>
        <v>5.343221945977835E-2</v>
      </c>
      <c r="J55" s="143">
        <f t="shared" si="4"/>
        <v>0.15844254350849099</v>
      </c>
      <c r="K55" s="143">
        <f t="shared" si="4"/>
        <v>1.0534743584341158E-2</v>
      </c>
      <c r="L55" s="143">
        <f t="shared" si="4"/>
        <v>8.343516918798196E-3</v>
      </c>
      <c r="M55" s="143">
        <f t="shared" si="4"/>
        <v>6.9192195861952716E-2</v>
      </c>
      <c r="N55" s="143">
        <f t="shared" si="4"/>
        <v>1.3779444608318234E-2</v>
      </c>
      <c r="O55" s="143">
        <f t="shared" si="4"/>
        <v>6.2660654839661198E-2</v>
      </c>
      <c r="P55" s="143">
        <f t="shared" si="4"/>
        <v>3.2025620496397116E-3</v>
      </c>
      <c r="Q55" s="143">
        <f t="shared" si="4"/>
        <v>3.5944545109772026E-2</v>
      </c>
      <c r="R55" s="143">
        <f t="shared" si="4"/>
        <v>1.3948000505667692E-2</v>
      </c>
      <c r="S55" s="300">
        <f t="shared" si="4"/>
        <v>0.39918250389785515</v>
      </c>
      <c r="T55" s="144"/>
      <c r="U55" s="9"/>
      <c r="V55" s="9"/>
      <c r="W55" s="9"/>
    </row>
    <row r="56" spans="1:23" ht="15.75" x14ac:dyDescent="0.25">
      <c r="A56" s="119"/>
      <c r="B56" s="136"/>
      <c r="C56" s="145" t="s">
        <v>728</v>
      </c>
      <c r="D56" s="299">
        <f>D47/$T$47</f>
        <v>1.5366146458583434E-2</v>
      </c>
      <c r="E56" s="299">
        <f t="shared" ref="E56:S56" si="5">E47/$T$47</f>
        <v>3.2316926770708285E-2</v>
      </c>
      <c r="F56" s="299">
        <f t="shared" si="5"/>
        <v>8.8115246098439376E-2</v>
      </c>
      <c r="G56" s="299">
        <f t="shared" si="5"/>
        <v>1.8679471788715485E-2</v>
      </c>
      <c r="H56" s="299">
        <f t="shared" si="5"/>
        <v>1.7046818727490996E-2</v>
      </c>
      <c r="I56" s="299">
        <f t="shared" si="5"/>
        <v>5.2917166866746697E-2</v>
      </c>
      <c r="J56" s="299">
        <f t="shared" si="5"/>
        <v>0.16062424969987996</v>
      </c>
      <c r="K56" s="299">
        <f t="shared" si="5"/>
        <v>1.0612244897959184E-2</v>
      </c>
      <c r="L56" s="299">
        <f t="shared" si="5"/>
        <v>7.5870348139255705E-3</v>
      </c>
      <c r="M56" s="299">
        <f t="shared" si="5"/>
        <v>6.9531812725090042E-2</v>
      </c>
      <c r="N56" s="299">
        <f t="shared" si="5"/>
        <v>1.3205282112845138E-2</v>
      </c>
      <c r="O56" s="299">
        <f t="shared" si="5"/>
        <v>6.1752701080432175E-2</v>
      </c>
      <c r="P56" s="299">
        <f t="shared" si="5"/>
        <v>3.1212484993997599E-3</v>
      </c>
      <c r="Q56" s="299">
        <f t="shared" si="5"/>
        <v>3.505402160864346E-2</v>
      </c>
      <c r="R56" s="299">
        <f t="shared" si="5"/>
        <v>1.3541416566626651E-2</v>
      </c>
      <c r="S56" s="299">
        <f t="shared" si="5"/>
        <v>0.40052821128451382</v>
      </c>
      <c r="T56" s="144"/>
      <c r="U56" s="9"/>
      <c r="V56" s="9"/>
      <c r="W56" s="9"/>
    </row>
    <row r="57" spans="1:23" ht="15.75" x14ac:dyDescent="0.25">
      <c r="A57" s="119"/>
      <c r="B57" s="136"/>
      <c r="C57" s="146" t="s">
        <v>172</v>
      </c>
      <c r="D57" s="301"/>
      <c r="E57" s="147"/>
      <c r="F57" s="147"/>
      <c r="G57" s="147"/>
      <c r="H57" s="147"/>
      <c r="I57" s="147"/>
      <c r="J57" s="147"/>
      <c r="K57" s="147"/>
      <c r="L57" s="147"/>
      <c r="M57" s="147"/>
      <c r="N57" s="147"/>
      <c r="O57" s="147"/>
      <c r="P57" s="147"/>
      <c r="Q57" s="147"/>
      <c r="R57" s="147"/>
      <c r="S57" s="302"/>
      <c r="T57" s="148"/>
      <c r="U57" s="9"/>
      <c r="V57" s="9"/>
      <c r="W57" s="9"/>
    </row>
    <row r="58" spans="1:23" ht="15.75" x14ac:dyDescent="0.25">
      <c r="A58" s="119"/>
      <c r="B58" s="136"/>
      <c r="C58" s="142" t="s">
        <v>168</v>
      </c>
      <c r="D58" s="301"/>
      <c r="E58" s="147"/>
      <c r="F58" s="147"/>
      <c r="G58" s="147"/>
      <c r="H58" s="147"/>
      <c r="I58" s="147"/>
      <c r="J58" s="147"/>
      <c r="K58" s="147"/>
      <c r="L58" s="147"/>
      <c r="M58" s="147"/>
      <c r="N58" s="147"/>
      <c r="O58" s="147"/>
      <c r="P58" s="147"/>
      <c r="Q58" s="147"/>
      <c r="R58" s="147"/>
      <c r="S58" s="302"/>
      <c r="T58" s="294">
        <f>SUM(D58:S58)</f>
        <v>0</v>
      </c>
      <c r="U58" s="9"/>
      <c r="V58" s="9"/>
      <c r="W58" s="9"/>
    </row>
    <row r="59" spans="1:23" ht="15.75" x14ac:dyDescent="0.25">
      <c r="A59" s="119"/>
      <c r="B59" s="136"/>
      <c r="C59" s="142" t="s">
        <v>235</v>
      </c>
      <c r="D59" s="303"/>
      <c r="E59" s="295"/>
      <c r="F59" s="295"/>
      <c r="G59" s="295"/>
      <c r="H59" s="295"/>
      <c r="I59" s="295"/>
      <c r="J59" s="295"/>
      <c r="K59" s="295"/>
      <c r="L59" s="295"/>
      <c r="M59" s="295"/>
      <c r="N59" s="295"/>
      <c r="O59" s="295"/>
      <c r="P59" s="295"/>
      <c r="Q59" s="295"/>
      <c r="R59" s="295"/>
      <c r="S59" s="304"/>
      <c r="T59" s="294">
        <f t="shared" ref="T59:T62" si="6">SUM(D59:S59)</f>
        <v>0</v>
      </c>
      <c r="U59" s="9"/>
      <c r="V59" s="9"/>
      <c r="W59" s="9"/>
    </row>
    <row r="60" spans="1:23" ht="15.75" x14ac:dyDescent="0.25">
      <c r="A60" s="119"/>
      <c r="B60" s="136"/>
      <c r="C60" s="142" t="s">
        <v>470</v>
      </c>
      <c r="D60" s="303"/>
      <c r="E60" s="295"/>
      <c r="F60" s="295"/>
      <c r="G60" s="295"/>
      <c r="H60" s="295"/>
      <c r="I60" s="295"/>
      <c r="J60" s="295"/>
      <c r="K60" s="295"/>
      <c r="L60" s="295"/>
      <c r="M60" s="295"/>
      <c r="N60" s="295"/>
      <c r="O60" s="295"/>
      <c r="P60" s="295"/>
      <c r="Q60" s="295"/>
      <c r="R60" s="295"/>
      <c r="S60" s="304"/>
      <c r="T60" s="294">
        <f t="shared" si="6"/>
        <v>0</v>
      </c>
      <c r="U60" s="9"/>
      <c r="V60" s="9"/>
      <c r="W60" s="9"/>
    </row>
    <row r="61" spans="1:23" ht="15.75" x14ac:dyDescent="0.25">
      <c r="A61" s="119"/>
      <c r="B61" s="136"/>
      <c r="C61" s="142" t="s">
        <v>234</v>
      </c>
      <c r="D61" s="301"/>
      <c r="E61" s="147"/>
      <c r="F61" s="147"/>
      <c r="G61" s="147"/>
      <c r="H61" s="147"/>
      <c r="I61" s="147"/>
      <c r="J61" s="147"/>
      <c r="K61" s="147"/>
      <c r="L61" s="147"/>
      <c r="M61" s="147"/>
      <c r="N61" s="147"/>
      <c r="O61" s="147"/>
      <c r="P61" s="147"/>
      <c r="Q61" s="147"/>
      <c r="R61" s="147"/>
      <c r="S61" s="302"/>
      <c r="T61" s="294">
        <f t="shared" si="6"/>
        <v>0</v>
      </c>
      <c r="U61" s="9"/>
      <c r="V61" s="9"/>
      <c r="W61" s="9"/>
    </row>
    <row r="62" spans="1:23" ht="15.75" x14ac:dyDescent="0.25">
      <c r="A62" s="119"/>
      <c r="B62" s="136"/>
      <c r="C62" s="142" t="s">
        <v>233</v>
      </c>
      <c r="D62" s="301"/>
      <c r="E62" s="147"/>
      <c r="F62" s="147"/>
      <c r="G62" s="147"/>
      <c r="H62" s="147"/>
      <c r="I62" s="147"/>
      <c r="J62" s="147"/>
      <c r="K62" s="147"/>
      <c r="L62" s="147"/>
      <c r="M62" s="147"/>
      <c r="N62" s="147"/>
      <c r="O62" s="147"/>
      <c r="P62" s="147"/>
      <c r="Q62" s="147"/>
      <c r="R62" s="147"/>
      <c r="S62" s="302"/>
      <c r="T62" s="294">
        <f t="shared" si="6"/>
        <v>0</v>
      </c>
      <c r="U62" s="1167"/>
      <c r="V62" s="9"/>
      <c r="W62" s="9"/>
    </row>
    <row r="63" spans="1:23" ht="16.5" thickBot="1" x14ac:dyDescent="0.3">
      <c r="A63" s="119"/>
      <c r="B63" s="136"/>
      <c r="C63" s="142" t="s">
        <v>236</v>
      </c>
      <c r="D63" s="305"/>
      <c r="E63" s="149">
        <v>0.58333333333333337</v>
      </c>
      <c r="F63" s="149">
        <v>5</v>
      </c>
      <c r="G63" s="149"/>
      <c r="H63" s="149">
        <v>2</v>
      </c>
      <c r="I63" s="149">
        <v>3</v>
      </c>
      <c r="J63" s="149">
        <v>1.5833333333333335</v>
      </c>
      <c r="K63" s="149"/>
      <c r="L63" s="149"/>
      <c r="M63" s="149">
        <v>1</v>
      </c>
      <c r="N63" s="149"/>
      <c r="O63" s="149">
        <v>0.58333333333333337</v>
      </c>
      <c r="P63" s="149"/>
      <c r="Q63" s="149"/>
      <c r="R63" s="149">
        <v>0.41666666666666669</v>
      </c>
      <c r="S63" s="306">
        <v>8.4166666666666679</v>
      </c>
      <c r="T63" s="1064">
        <f>SUM(D63:S63)</f>
        <v>22.583333333333336</v>
      </c>
      <c r="U63" s="1167"/>
      <c r="V63" s="9"/>
      <c r="W63" s="9"/>
    </row>
    <row r="64" spans="1:23" ht="15.75" thickBot="1" x14ac:dyDescent="0.25">
      <c r="A64" s="119"/>
      <c r="B64" s="136"/>
      <c r="C64" s="296" t="s">
        <v>169</v>
      </c>
      <c r="D64" s="309">
        <f>SUM(D58:D62)</f>
        <v>0</v>
      </c>
      <c r="E64" s="309">
        <f t="shared" ref="E64:T64" si="7">SUM(E58:E62)</f>
        <v>0</v>
      </c>
      <c r="F64" s="309">
        <f t="shared" si="7"/>
        <v>0</v>
      </c>
      <c r="G64" s="309">
        <f t="shared" si="7"/>
        <v>0</v>
      </c>
      <c r="H64" s="309">
        <f t="shared" si="7"/>
        <v>0</v>
      </c>
      <c r="I64" s="309">
        <f t="shared" si="7"/>
        <v>0</v>
      </c>
      <c r="J64" s="309">
        <f t="shared" si="7"/>
        <v>0</v>
      </c>
      <c r="K64" s="309">
        <f t="shared" si="7"/>
        <v>0</v>
      </c>
      <c r="L64" s="309">
        <f t="shared" si="7"/>
        <v>0</v>
      </c>
      <c r="M64" s="309">
        <f t="shared" si="7"/>
        <v>0</v>
      </c>
      <c r="N64" s="309">
        <f t="shared" si="7"/>
        <v>0</v>
      </c>
      <c r="O64" s="309">
        <f t="shared" si="7"/>
        <v>0</v>
      </c>
      <c r="P64" s="309">
        <f t="shared" si="7"/>
        <v>0</v>
      </c>
      <c r="Q64" s="309">
        <f t="shared" si="7"/>
        <v>0</v>
      </c>
      <c r="R64" s="309">
        <f t="shared" si="7"/>
        <v>0</v>
      </c>
      <c r="S64" s="309">
        <f t="shared" si="7"/>
        <v>0</v>
      </c>
      <c r="T64" s="309">
        <f t="shared" si="7"/>
        <v>0</v>
      </c>
      <c r="U64" s="9"/>
      <c r="V64" s="9"/>
      <c r="W64" s="9"/>
    </row>
    <row r="65" spans="1:23" ht="15.75" x14ac:dyDescent="0.25">
      <c r="A65" s="119"/>
      <c r="B65" s="136"/>
      <c r="C65" s="231"/>
      <c r="D65" s="232"/>
      <c r="E65" s="232"/>
      <c r="F65" s="232"/>
      <c r="G65" s="232"/>
      <c r="H65" s="232"/>
      <c r="I65" s="232"/>
      <c r="J65" s="232"/>
      <c r="K65" s="232"/>
      <c r="L65" s="232"/>
      <c r="M65" s="232"/>
      <c r="N65" s="232"/>
      <c r="O65" s="232"/>
      <c r="P65" s="232"/>
      <c r="Q65" s="232"/>
      <c r="R65" s="232"/>
      <c r="S65" s="232"/>
      <c r="T65" s="233">
        <v>763000</v>
      </c>
      <c r="U65" s="9"/>
      <c r="V65" s="9"/>
      <c r="W65" s="9"/>
    </row>
    <row r="66" spans="1:23" ht="15.75" x14ac:dyDescent="0.25">
      <c r="A66" s="119"/>
      <c r="B66" s="311"/>
      <c r="C66" s="231"/>
      <c r="D66" s="310"/>
      <c r="E66" s="310"/>
      <c r="F66" s="310"/>
      <c r="G66" s="310"/>
      <c r="H66" s="310"/>
      <c r="I66" s="310"/>
      <c r="J66" s="310"/>
      <c r="K66" s="310"/>
      <c r="L66" s="310"/>
      <c r="M66" s="310"/>
      <c r="N66" s="310"/>
      <c r="O66" s="310"/>
      <c r="P66" s="310"/>
      <c r="Q66" s="310"/>
      <c r="R66" s="310"/>
      <c r="S66" s="310"/>
      <c r="T66" s="1062">
        <f>SUM(T58:T62)+T65</f>
        <v>763000</v>
      </c>
      <c r="U66" s="9"/>
      <c r="V66" s="9"/>
      <c r="W66" s="9"/>
    </row>
    <row r="67" spans="1:23" ht="15.75" x14ac:dyDescent="0.25">
      <c r="A67" s="119"/>
      <c r="B67" s="311"/>
      <c r="C67" s="313"/>
      <c r="D67" s="310"/>
      <c r="E67" s="310"/>
      <c r="F67" s="310"/>
      <c r="G67" s="310"/>
      <c r="H67" s="310" t="s">
        <v>378</v>
      </c>
      <c r="I67" s="310"/>
      <c r="J67" s="310"/>
      <c r="K67" s="310"/>
      <c r="L67" s="310"/>
      <c r="M67" s="310"/>
      <c r="N67" s="310"/>
      <c r="O67" s="310"/>
      <c r="P67" s="310"/>
      <c r="Q67" s="310"/>
      <c r="R67" s="310"/>
      <c r="S67" s="310"/>
      <c r="T67" s="312" t="s">
        <v>595</v>
      </c>
      <c r="U67" s="9"/>
      <c r="V67" s="9"/>
      <c r="W67" s="9"/>
    </row>
    <row r="68" spans="1:23" ht="16.5" thickBot="1" x14ac:dyDescent="0.3">
      <c r="A68" s="119"/>
      <c r="B68" s="311"/>
      <c r="C68" s="313"/>
      <c r="D68" s="310"/>
      <c r="E68" s="310"/>
      <c r="F68" s="310"/>
      <c r="G68" s="310"/>
      <c r="H68" s="310"/>
      <c r="I68" s="310"/>
      <c r="J68" s="310"/>
      <c r="K68" s="310"/>
      <c r="L68" s="310"/>
      <c r="M68" s="310"/>
      <c r="N68" s="310"/>
      <c r="O68" s="310"/>
      <c r="P68" s="310"/>
      <c r="Q68" s="310"/>
      <c r="R68" s="310"/>
      <c r="S68" s="310"/>
      <c r="T68" s="312"/>
      <c r="U68" s="9"/>
      <c r="V68" s="9"/>
      <c r="W68" s="9"/>
    </row>
    <row r="69" spans="1:23" ht="15.75" x14ac:dyDescent="0.25">
      <c r="A69" s="119"/>
      <c r="B69" s="136"/>
      <c r="C69" s="139"/>
      <c r="D69" s="140"/>
      <c r="E69" s="140"/>
      <c r="F69" s="140"/>
      <c r="G69" s="140"/>
      <c r="H69" s="140"/>
      <c r="I69" s="140"/>
      <c r="J69" s="140"/>
      <c r="K69" s="140"/>
      <c r="L69" s="140"/>
      <c r="M69" s="140"/>
      <c r="N69" s="140"/>
      <c r="O69" s="140"/>
      <c r="P69" s="140"/>
      <c r="Q69" s="140"/>
      <c r="R69" s="140"/>
      <c r="S69" s="140"/>
      <c r="T69" s="141"/>
      <c r="U69" s="9"/>
      <c r="V69" s="9"/>
      <c r="W69" s="9"/>
    </row>
    <row r="70" spans="1:23" ht="15.75" x14ac:dyDescent="0.25">
      <c r="A70" s="119"/>
      <c r="B70" s="136"/>
      <c r="C70" s="142"/>
      <c r="D70" s="147"/>
      <c r="E70" s="147"/>
      <c r="F70" s="147"/>
      <c r="G70" s="147"/>
      <c r="H70" s="147"/>
      <c r="I70" s="147"/>
      <c r="J70" s="147"/>
      <c r="K70" s="147"/>
      <c r="L70" s="147"/>
      <c r="M70" s="147"/>
      <c r="N70" s="147"/>
      <c r="O70" s="147"/>
      <c r="P70" s="147"/>
      <c r="Q70" s="147"/>
      <c r="R70" s="147"/>
      <c r="S70" s="302"/>
      <c r="T70" s="294"/>
      <c r="U70" s="9"/>
      <c r="V70" s="9"/>
      <c r="W70" s="9"/>
    </row>
    <row r="71" spans="1:23" ht="15.75" x14ac:dyDescent="0.25">
      <c r="A71" s="119"/>
      <c r="B71" s="136"/>
      <c r="C71" s="142"/>
      <c r="D71" s="295"/>
      <c r="E71" s="295"/>
      <c r="F71" s="295"/>
      <c r="G71" s="295"/>
      <c r="H71" s="295"/>
      <c r="I71" s="295"/>
      <c r="J71" s="295"/>
      <c r="K71" s="295"/>
      <c r="L71" s="295"/>
      <c r="M71" s="295"/>
      <c r="N71" s="295"/>
      <c r="O71" s="295"/>
      <c r="P71" s="295"/>
      <c r="Q71" s="295"/>
      <c r="R71" s="295"/>
      <c r="S71" s="304"/>
      <c r="T71" s="294"/>
      <c r="U71" s="9"/>
      <c r="V71" s="9"/>
      <c r="W71" s="9"/>
    </row>
    <row r="72" spans="1:23" ht="15.75" x14ac:dyDescent="0.25">
      <c r="A72" s="119"/>
      <c r="B72" s="136"/>
      <c r="C72" s="142"/>
      <c r="D72" s="295"/>
      <c r="E72" s="295"/>
      <c r="F72" s="295"/>
      <c r="G72" s="295"/>
      <c r="H72" s="295"/>
      <c r="I72" s="295"/>
      <c r="J72" s="295"/>
      <c r="K72" s="295"/>
      <c r="L72" s="295"/>
      <c r="M72" s="295"/>
      <c r="N72" s="295"/>
      <c r="O72" s="295"/>
      <c r="P72" s="295"/>
      <c r="Q72" s="295"/>
      <c r="R72" s="295"/>
      <c r="S72" s="304"/>
      <c r="T72" s="294"/>
      <c r="U72" s="9"/>
      <c r="V72" s="9"/>
      <c r="W72" s="9"/>
    </row>
    <row r="73" spans="1:23" ht="15.75" x14ac:dyDescent="0.25">
      <c r="A73" s="119"/>
      <c r="B73" s="136"/>
      <c r="C73" s="142"/>
      <c r="D73" s="147"/>
      <c r="E73" s="147"/>
      <c r="F73" s="147"/>
      <c r="G73" s="147"/>
      <c r="H73" s="147"/>
      <c r="I73" s="147"/>
      <c r="J73" s="147"/>
      <c r="K73" s="147"/>
      <c r="L73" s="147"/>
      <c r="M73" s="147"/>
      <c r="N73" s="147"/>
      <c r="O73" s="147"/>
      <c r="P73" s="147"/>
      <c r="Q73" s="147"/>
      <c r="R73" s="147"/>
      <c r="S73" s="302"/>
      <c r="T73" s="294"/>
      <c r="U73" s="9"/>
      <c r="V73" s="9"/>
      <c r="W73" s="9"/>
    </row>
    <row r="74" spans="1:23" ht="15.75" x14ac:dyDescent="0.25">
      <c r="A74" s="119"/>
      <c r="B74" s="136"/>
      <c r="C74" s="142"/>
      <c r="D74" s="147"/>
      <c r="E74" s="147"/>
      <c r="F74" s="147"/>
      <c r="G74" s="147"/>
      <c r="H74" s="147"/>
      <c r="I74" s="147"/>
      <c r="J74" s="147"/>
      <c r="K74" s="147"/>
      <c r="L74" s="147"/>
      <c r="M74" s="147"/>
      <c r="N74" s="147"/>
      <c r="O74" s="147"/>
      <c r="P74" s="147"/>
      <c r="Q74" s="147"/>
      <c r="R74" s="147"/>
      <c r="S74" s="302"/>
      <c r="T74" s="294"/>
      <c r="U74" s="9"/>
      <c r="V74" s="9"/>
      <c r="W74" s="9"/>
    </row>
    <row r="75" spans="1:23" ht="16.5" thickBot="1" x14ac:dyDescent="0.3">
      <c r="A75" s="119"/>
      <c r="B75" s="136"/>
      <c r="C75" s="142"/>
      <c r="D75" s="149"/>
      <c r="E75" s="149"/>
      <c r="F75" s="149"/>
      <c r="G75" s="149"/>
      <c r="H75" s="149"/>
      <c r="I75" s="149"/>
      <c r="J75" s="149"/>
      <c r="K75" s="149"/>
      <c r="L75" s="149"/>
      <c r="M75" s="149"/>
      <c r="N75" s="149"/>
      <c r="O75" s="149"/>
      <c r="P75" s="149"/>
      <c r="Q75" s="149"/>
      <c r="R75" s="149"/>
      <c r="S75" s="306"/>
      <c r="T75" s="294"/>
      <c r="U75" s="9"/>
      <c r="V75" s="9"/>
      <c r="W75" s="9"/>
    </row>
    <row r="76" spans="1:23" ht="16.5" thickBot="1" x14ac:dyDescent="0.3">
      <c r="A76" s="119"/>
      <c r="B76" s="136"/>
      <c r="C76" s="296"/>
      <c r="D76" s="580"/>
      <c r="E76" s="580"/>
      <c r="F76" s="580"/>
      <c r="G76" s="580"/>
      <c r="H76" s="580"/>
      <c r="I76" s="580"/>
      <c r="J76" s="580"/>
      <c r="K76" s="580"/>
      <c r="L76" s="580"/>
      <c r="M76" s="580"/>
      <c r="N76" s="580"/>
      <c r="O76" s="580"/>
      <c r="P76" s="580"/>
      <c r="Q76" s="580"/>
      <c r="R76" s="580"/>
      <c r="S76" s="580"/>
      <c r="T76" s="581"/>
      <c r="U76" s="9"/>
      <c r="V76" s="9"/>
      <c r="W76" s="9"/>
    </row>
    <row r="77" spans="1:23" ht="15.75" x14ac:dyDescent="0.25">
      <c r="A77" s="119"/>
      <c r="B77" s="136"/>
      <c r="C77" s="231"/>
      <c r="D77" s="232"/>
      <c r="E77" s="232"/>
      <c r="F77" s="293"/>
      <c r="G77" s="232"/>
      <c r="H77" s="232"/>
      <c r="I77" s="232"/>
      <c r="J77" s="232"/>
      <c r="K77" s="232"/>
      <c r="L77" s="232"/>
      <c r="M77" s="232"/>
      <c r="N77" s="232"/>
      <c r="O77" s="232"/>
      <c r="P77" s="232"/>
      <c r="Q77" s="232"/>
      <c r="R77" s="232"/>
      <c r="S77" s="232"/>
      <c r="T77" s="233"/>
      <c r="U77" s="9"/>
      <c r="V77" s="9"/>
      <c r="W77" s="9"/>
    </row>
    <row r="78" spans="1:23" ht="15.75" x14ac:dyDescent="0.25">
      <c r="A78" s="119"/>
      <c r="B78" s="136"/>
      <c r="C78" s="231"/>
      <c r="D78" s="232"/>
      <c r="E78" s="232"/>
      <c r="F78" s="232"/>
      <c r="G78" s="232"/>
      <c r="H78" s="232"/>
      <c r="I78" s="232"/>
      <c r="J78" s="232"/>
      <c r="K78" s="232"/>
      <c r="L78" s="232"/>
      <c r="M78" s="232"/>
      <c r="N78" s="232"/>
      <c r="O78" s="232"/>
      <c r="P78" s="232"/>
      <c r="Q78" s="232"/>
      <c r="R78" s="232"/>
      <c r="S78" s="232"/>
      <c r="T78" s="233"/>
      <c r="U78" s="9"/>
      <c r="V78" s="9"/>
      <c r="W78" s="9"/>
    </row>
    <row r="79" spans="1:23" ht="15.75" x14ac:dyDescent="0.25">
      <c r="A79" s="119"/>
      <c r="B79" s="136"/>
      <c r="C79" s="231"/>
      <c r="D79" s="232"/>
      <c r="E79" s="232"/>
      <c r="F79" s="232"/>
      <c r="G79" s="232"/>
      <c r="H79" s="232"/>
      <c r="I79" s="232"/>
      <c r="J79" s="232"/>
      <c r="K79" s="232"/>
      <c r="L79" s="232"/>
      <c r="M79" s="232"/>
      <c r="N79" s="232"/>
      <c r="O79" s="232"/>
      <c r="P79" s="232"/>
      <c r="Q79" s="232"/>
      <c r="R79" s="232"/>
      <c r="S79" s="232"/>
      <c r="T79" s="233"/>
      <c r="U79" s="9"/>
      <c r="V79" s="9"/>
      <c r="W79" s="9"/>
    </row>
    <row r="80" spans="1:23" ht="21.75" customHeight="1" thickBot="1" x14ac:dyDescent="0.3">
      <c r="A80" s="119"/>
      <c r="B80" s="136"/>
      <c r="C80" s="150"/>
      <c r="D80" s="151"/>
      <c r="E80" s="152"/>
      <c r="F80" s="152"/>
      <c r="G80" s="152"/>
      <c r="H80" s="152"/>
      <c r="I80" s="152"/>
      <c r="J80" s="152"/>
      <c r="K80" s="152"/>
      <c r="L80" s="152"/>
      <c r="M80" s="152"/>
      <c r="N80" s="152"/>
      <c r="O80" s="152"/>
      <c r="P80" s="152"/>
      <c r="Q80" s="152"/>
      <c r="R80" s="152"/>
      <c r="S80" s="152"/>
      <c r="T80" s="153"/>
      <c r="U80" s="152"/>
      <c r="V80" s="9"/>
      <c r="W80" s="9"/>
    </row>
    <row r="81" spans="2:23" ht="21.75" customHeight="1" thickBot="1" x14ac:dyDescent="0.3">
      <c r="B81" s="7"/>
      <c r="C81" s="154" t="s">
        <v>170</v>
      </c>
      <c r="D81" s="205" t="s">
        <v>8</v>
      </c>
      <c r="E81" s="205" t="s">
        <v>9</v>
      </c>
      <c r="F81" s="205" t="s">
        <v>10</v>
      </c>
      <c r="G81" s="205" t="s">
        <v>11</v>
      </c>
      <c r="H81" s="205" t="s">
        <v>12</v>
      </c>
      <c r="I81" s="205" t="s">
        <v>13</v>
      </c>
      <c r="J81" s="205" t="s">
        <v>14</v>
      </c>
      <c r="K81" s="205" t="s">
        <v>15</v>
      </c>
      <c r="L81" s="205" t="s">
        <v>16</v>
      </c>
      <c r="M81" s="205" t="s">
        <v>17</v>
      </c>
      <c r="N81" s="205" t="s">
        <v>18</v>
      </c>
      <c r="O81" s="205" t="s">
        <v>19</v>
      </c>
      <c r="P81" s="205" t="s">
        <v>20</v>
      </c>
      <c r="Q81" s="205" t="s">
        <v>21</v>
      </c>
      <c r="R81" s="205" t="s">
        <v>22</v>
      </c>
      <c r="S81" s="205" t="s">
        <v>23</v>
      </c>
      <c r="T81" s="206" t="s">
        <v>24</v>
      </c>
      <c r="U81" s="157"/>
      <c r="V81" s="9"/>
      <c r="W81" s="9"/>
    </row>
    <row r="82" spans="2:23" ht="21.75" customHeight="1" x14ac:dyDescent="0.25">
      <c r="B82" s="7"/>
      <c r="C82" s="199" t="s">
        <v>72</v>
      </c>
      <c r="D82" s="207">
        <f>[1]Kontrollpanel!$F$37*D63</f>
        <v>0</v>
      </c>
      <c r="E82" s="207">
        <f>[1]Kontrollpanel!$F$37*E63</f>
        <v>31544.45</v>
      </c>
      <c r="F82" s="207">
        <f>[1]Kontrollpanel!$F$37*F63</f>
        <v>270381</v>
      </c>
      <c r="G82" s="207">
        <f>[1]Kontrollpanel!$F$37*G63</f>
        <v>0</v>
      </c>
      <c r="H82" s="207">
        <f>[1]Kontrollpanel!$F$37*H63</f>
        <v>108152.4</v>
      </c>
      <c r="I82" s="207">
        <f>[1]Kontrollpanel!$F$37*I63</f>
        <v>162228.59999999998</v>
      </c>
      <c r="J82" s="207">
        <f>[1]Kontrollpanel!$F$37*J63</f>
        <v>85620.650000000009</v>
      </c>
      <c r="K82" s="207">
        <f>[1]Kontrollpanel!$F$37*K63</f>
        <v>0</v>
      </c>
      <c r="L82" s="207">
        <f>[1]Kontrollpanel!$F$37*L63</f>
        <v>0</v>
      </c>
      <c r="M82" s="207">
        <f>[1]Kontrollpanel!$F$37*M63</f>
        <v>54076.2</v>
      </c>
      <c r="N82" s="207">
        <f>[1]Kontrollpanel!$F$37*N63</f>
        <v>0</v>
      </c>
      <c r="O82" s="207">
        <f>[1]Kontrollpanel!$F$37*O63</f>
        <v>31544.45</v>
      </c>
      <c r="P82" s="207">
        <f>[1]Kontrollpanel!$F$37*P63</f>
        <v>0</v>
      </c>
      <c r="Q82" s="207">
        <f>[1]Kontrollpanel!$F$37*Q63</f>
        <v>0</v>
      </c>
      <c r="R82" s="207">
        <f>[1]Kontrollpanel!$F$37*R63</f>
        <v>22531.75</v>
      </c>
      <c r="S82" s="207">
        <f>[1]Kontrollpanel!$F$37*S63</f>
        <v>455141.35000000003</v>
      </c>
      <c r="T82" s="208">
        <f>SUM(D82:S82)</f>
        <v>1221220.8499999999</v>
      </c>
      <c r="U82" s="202"/>
      <c r="V82" s="9"/>
      <c r="W82" s="9"/>
    </row>
    <row r="83" spans="2:23" ht="18" customHeight="1" x14ac:dyDescent="0.25">
      <c r="B83" s="7"/>
      <c r="C83" s="200" t="s">
        <v>73</v>
      </c>
      <c r="D83" s="209">
        <v>0</v>
      </c>
      <c r="E83" s="163"/>
      <c r="F83" s="163"/>
      <c r="G83" s="163"/>
      <c r="H83" s="163"/>
      <c r="I83" s="163"/>
      <c r="J83" s="163"/>
      <c r="K83" s="163"/>
      <c r="L83" s="163"/>
      <c r="M83" s="163"/>
      <c r="N83" s="163"/>
      <c r="O83" s="163"/>
      <c r="P83" s="163"/>
      <c r="Q83" s="163"/>
      <c r="R83" s="163"/>
      <c r="S83" s="163"/>
      <c r="T83" s="210"/>
      <c r="U83" s="203"/>
      <c r="V83" s="9"/>
      <c r="W83" s="9"/>
    </row>
    <row r="84" spans="2:23" ht="16.5" customHeight="1" x14ac:dyDescent="0.25">
      <c r="B84" s="7"/>
      <c r="C84" s="134" t="s">
        <v>82</v>
      </c>
      <c r="D84" s="209">
        <v>276972</v>
      </c>
      <c r="E84" s="209">
        <v>670703</v>
      </c>
      <c r="F84" s="209">
        <v>1540251</v>
      </c>
      <c r="G84" s="209">
        <v>360347</v>
      </c>
      <c r="H84" s="209">
        <v>280470</v>
      </c>
      <c r="I84" s="209">
        <v>940630</v>
      </c>
      <c r="J84" s="209">
        <v>2548325</v>
      </c>
      <c r="K84" s="209">
        <v>226753</v>
      </c>
      <c r="L84" s="209">
        <v>162302</v>
      </c>
      <c r="M84" s="209">
        <v>997421</v>
      </c>
      <c r="N84" s="209">
        <v>222018</v>
      </c>
      <c r="O84" s="209">
        <v>1091427</v>
      </c>
      <c r="P84" s="209">
        <v>75645</v>
      </c>
      <c r="Q84" s="209">
        <v>616576</v>
      </c>
      <c r="R84" s="209">
        <v>271997</v>
      </c>
      <c r="S84" s="209">
        <v>8931114</v>
      </c>
      <c r="T84" s="210">
        <f t="shared" ref="T84" si="8">SUM(D84:S84)</f>
        <v>19212951</v>
      </c>
      <c r="U84" s="203"/>
      <c r="V84" s="9"/>
      <c r="W84" s="9"/>
    </row>
    <row r="85" spans="2:23" ht="15.75" x14ac:dyDescent="0.25">
      <c r="B85" s="7"/>
      <c r="C85" s="134"/>
      <c r="D85" s="209"/>
      <c r="E85" s="163"/>
      <c r="F85" s="163"/>
      <c r="G85" s="163"/>
      <c r="H85" s="163"/>
      <c r="I85" s="163"/>
      <c r="J85" s="163"/>
      <c r="K85" s="163"/>
      <c r="L85" s="163"/>
      <c r="M85" s="163"/>
      <c r="N85" s="163"/>
      <c r="O85" s="163"/>
      <c r="P85" s="163"/>
      <c r="Q85" s="163"/>
      <c r="R85" s="163"/>
      <c r="S85" s="163"/>
      <c r="T85" s="211"/>
      <c r="U85" s="203"/>
      <c r="V85" s="9"/>
      <c r="W85" s="9"/>
    </row>
    <row r="86" spans="2:23" ht="17.25" customHeight="1" thickBot="1" x14ac:dyDescent="0.25">
      <c r="B86" s="64"/>
      <c r="C86" s="134">
        <f>Kontrollpanel!D40</f>
        <v>0.86</v>
      </c>
      <c r="D86" s="212">
        <f>D87*Kontrollpanel!$D$40</f>
        <v>238195.91999999998</v>
      </c>
      <c r="E86" s="212">
        <f>E87*Kontrollpanel!$D$40</f>
        <v>603932.80699999991</v>
      </c>
      <c r="F86" s="212">
        <f>F87*Kontrollpanel!$D$40</f>
        <v>1557143.52</v>
      </c>
      <c r="G86" s="212">
        <f>G87*Kontrollpanel!$D$40</f>
        <v>309898.42</v>
      </c>
      <c r="H86" s="212">
        <f>H87*Kontrollpanel!$D$40</f>
        <v>334215.26400000002</v>
      </c>
      <c r="I86" s="212">
        <f>I87*Kontrollpanel!$D$40</f>
        <v>948458.39600000007</v>
      </c>
      <c r="J86" s="212">
        <f>J87*Kontrollpanel!$D$40</f>
        <v>2265193.2590000001</v>
      </c>
      <c r="K86" s="212">
        <f>K87*Kontrollpanel!$D$40</f>
        <v>195007.58</v>
      </c>
      <c r="L86" s="212">
        <f>L87*Kontrollpanel!$D$40</f>
        <v>139579.72</v>
      </c>
      <c r="M86" s="212">
        <f>M87*Kontrollpanel!$D$40</f>
        <v>904287.59199999995</v>
      </c>
      <c r="N86" s="212">
        <f>N87*Kontrollpanel!$D$40</f>
        <v>190935.48</v>
      </c>
      <c r="O86" s="212">
        <f>O87*Kontrollpanel!$D$40</f>
        <v>965755.44699999993</v>
      </c>
      <c r="P86" s="212">
        <f>P87*Kontrollpanel!$D$40</f>
        <v>65054.7</v>
      </c>
      <c r="Q86" s="212">
        <f>Q87*Kontrollpanel!$D$40</f>
        <v>530255.35999999999</v>
      </c>
      <c r="R86" s="212">
        <f>R87*Kontrollpanel!$D$40</f>
        <v>253294.72500000001</v>
      </c>
      <c r="S86" s="212">
        <f>S87*Kontrollpanel!$D$40</f>
        <v>8072179.6009999998</v>
      </c>
      <c r="T86" s="212">
        <f>T87*Kontrollpanel!$D$40</f>
        <v>17573387.791000001</v>
      </c>
      <c r="U86" s="203"/>
      <c r="V86" s="9"/>
      <c r="W86" s="9"/>
    </row>
    <row r="87" spans="2:23" ht="15.75" thickBot="1" x14ac:dyDescent="0.25">
      <c r="B87" s="64"/>
      <c r="C87" s="201" t="s">
        <v>74</v>
      </c>
      <c r="D87" s="212">
        <f>SUM(D82:D84)</f>
        <v>276972</v>
      </c>
      <c r="E87" s="212">
        <f t="shared" ref="E87:S87" si="9">SUM(E82:E84)</f>
        <v>702247.45</v>
      </c>
      <c r="F87" s="212">
        <f t="shared" si="9"/>
        <v>1810632</v>
      </c>
      <c r="G87" s="212">
        <f t="shared" si="9"/>
        <v>360347</v>
      </c>
      <c r="H87" s="212">
        <f t="shared" si="9"/>
        <v>388622.4</v>
      </c>
      <c r="I87" s="212">
        <f t="shared" si="9"/>
        <v>1102858.6000000001</v>
      </c>
      <c r="J87" s="212">
        <f t="shared" si="9"/>
        <v>2633945.65</v>
      </c>
      <c r="K87" s="212">
        <f t="shared" si="9"/>
        <v>226753</v>
      </c>
      <c r="L87" s="212">
        <f t="shared" si="9"/>
        <v>162302</v>
      </c>
      <c r="M87" s="212">
        <f t="shared" si="9"/>
        <v>1051497.2</v>
      </c>
      <c r="N87" s="212">
        <f t="shared" si="9"/>
        <v>222018</v>
      </c>
      <c r="O87" s="212">
        <f t="shared" si="9"/>
        <v>1122971.45</v>
      </c>
      <c r="P87" s="212">
        <f t="shared" si="9"/>
        <v>75645</v>
      </c>
      <c r="Q87" s="212">
        <f t="shared" si="9"/>
        <v>616576</v>
      </c>
      <c r="R87" s="212">
        <f t="shared" si="9"/>
        <v>294528.75</v>
      </c>
      <c r="S87" s="212">
        <f t="shared" si="9"/>
        <v>9386255.3499999996</v>
      </c>
      <c r="T87" s="212">
        <f>SUM(T82:T84)</f>
        <v>20434171.850000001</v>
      </c>
      <c r="U87" s="204" t="s">
        <v>410</v>
      </c>
      <c r="V87" s="9"/>
      <c r="W87" s="9"/>
    </row>
    <row r="88" spans="2:23" ht="16.5" thickBot="1" x14ac:dyDescent="0.3">
      <c r="B88" s="64"/>
      <c r="C88" s="124"/>
      <c r="D88" s="171"/>
      <c r="E88" s="171"/>
      <c r="F88" s="171"/>
      <c r="G88" s="171"/>
      <c r="H88" s="171"/>
      <c r="I88" s="171"/>
      <c r="J88" s="171"/>
      <c r="K88" s="171"/>
      <c r="L88" s="171"/>
      <c r="M88" s="171"/>
      <c r="N88" s="171"/>
      <c r="O88" s="171"/>
      <c r="P88" s="171"/>
      <c r="Q88" s="171"/>
      <c r="R88" s="171"/>
      <c r="S88" s="171"/>
      <c r="T88" s="172"/>
      <c r="U88" s="173"/>
      <c r="V88" s="9"/>
      <c r="W88" s="9"/>
    </row>
    <row r="89" spans="2:23" ht="16.5" thickBot="1" x14ac:dyDescent="0.3">
      <c r="B89" s="64"/>
      <c r="C89" s="174" t="s">
        <v>99</v>
      </c>
      <c r="D89" s="175"/>
      <c r="E89" s="175"/>
      <c r="F89" s="175"/>
      <c r="G89" s="176"/>
      <c r="H89" s="175"/>
      <c r="I89" s="175"/>
      <c r="J89" s="175"/>
      <c r="K89" s="175"/>
      <c r="L89" s="175"/>
      <c r="M89" s="175"/>
      <c r="N89" s="176"/>
      <c r="O89" s="177"/>
      <c r="P89" s="177"/>
      <c r="Q89" s="177"/>
      <c r="R89" s="177"/>
      <c r="S89" s="177"/>
      <c r="T89" s="172"/>
      <c r="U89" s="173"/>
      <c r="V89" s="9"/>
      <c r="W89" s="9"/>
    </row>
    <row r="90" spans="2:23" ht="16.5" thickBot="1" x14ac:dyDescent="0.3">
      <c r="B90" s="64"/>
      <c r="C90" s="124"/>
      <c r="D90" s="177"/>
      <c r="E90" s="177"/>
      <c r="F90" s="177"/>
      <c r="G90" s="177"/>
      <c r="H90" s="177"/>
      <c r="I90" s="177"/>
      <c r="J90" s="177"/>
      <c r="K90" s="177"/>
      <c r="L90" s="177"/>
      <c r="M90" s="177"/>
      <c r="N90" s="177"/>
      <c r="O90" s="177"/>
      <c r="P90" s="177"/>
      <c r="Q90" s="177"/>
      <c r="R90" s="177"/>
      <c r="S90" s="177"/>
      <c r="T90" s="172"/>
      <c r="U90" s="173"/>
      <c r="V90" s="9"/>
      <c r="W90" s="9"/>
    </row>
    <row r="91" spans="2:23" ht="15.75" x14ac:dyDescent="0.25">
      <c r="B91" s="64"/>
      <c r="C91" s="178" t="s">
        <v>696</v>
      </c>
      <c r="D91" s="1303">
        <f>T86</f>
        <v>17573387.791000001</v>
      </c>
      <c r="E91" s="179"/>
      <c r="F91" s="179"/>
      <c r="G91" s="179"/>
      <c r="H91" s="180"/>
      <c r="I91" s="177"/>
      <c r="J91" s="177"/>
      <c r="K91" s="177"/>
      <c r="L91" s="177"/>
      <c r="M91" s="177"/>
      <c r="N91" s="177"/>
      <c r="O91" s="177"/>
      <c r="P91" s="177"/>
      <c r="Q91" s="177"/>
      <c r="R91" s="177"/>
      <c r="S91" s="177"/>
      <c r="T91" s="172"/>
      <c r="U91" s="173"/>
      <c r="V91" s="9"/>
      <c r="W91" s="9"/>
    </row>
    <row r="92" spans="2:23" ht="15.75" x14ac:dyDescent="0.25">
      <c r="B92" s="64"/>
      <c r="C92" s="181" t="s">
        <v>74</v>
      </c>
      <c r="D92" s="182">
        <f>SUM(T82:T84)</f>
        <v>20434171.850000001</v>
      </c>
      <c r="E92" s="182"/>
      <c r="F92" s="182"/>
      <c r="G92" s="182"/>
      <c r="H92" s="183"/>
      <c r="I92" s="96"/>
      <c r="J92" s="1301" t="s">
        <v>694</v>
      </c>
      <c r="K92" s="1304">
        <f>T87-T86</f>
        <v>2860784.0590000004</v>
      </c>
      <c r="L92" s="96"/>
      <c r="M92" s="96"/>
      <c r="N92" s="96"/>
      <c r="O92" s="96"/>
      <c r="P92" s="96"/>
      <c r="Q92" s="96"/>
      <c r="R92" s="96"/>
      <c r="S92" s="96"/>
      <c r="T92" s="96"/>
      <c r="U92" s="184"/>
      <c r="V92" s="9"/>
      <c r="W92" s="9"/>
    </row>
    <row r="93" spans="2:23" ht="15.75" x14ac:dyDescent="0.25">
      <c r="B93" s="64"/>
      <c r="C93" s="181" t="s">
        <v>75</v>
      </c>
      <c r="D93" s="182"/>
      <c r="E93" s="182"/>
      <c r="F93" s="182" t="s">
        <v>76</v>
      </c>
      <c r="G93" s="182"/>
      <c r="H93" s="183"/>
      <c r="I93" s="96"/>
      <c r="J93" s="96"/>
      <c r="K93" s="96"/>
      <c r="L93" s="96"/>
      <c r="M93" s="96"/>
      <c r="N93" s="96"/>
      <c r="O93" s="96"/>
      <c r="P93" s="96"/>
      <c r="Q93" s="96"/>
      <c r="R93" s="96"/>
      <c r="S93" s="96"/>
      <c r="T93" s="96"/>
      <c r="U93" s="184"/>
      <c r="V93" s="9"/>
      <c r="W93" s="9"/>
    </row>
    <row r="94" spans="2:23" ht="15.75" x14ac:dyDescent="0.25">
      <c r="B94" s="7"/>
      <c r="C94" s="181" t="s">
        <v>77</v>
      </c>
      <c r="D94" s="182">
        <f>D92-D93</f>
        <v>20434171.850000001</v>
      </c>
      <c r="E94" s="182"/>
      <c r="F94" s="182" t="s">
        <v>78</v>
      </c>
      <c r="G94" s="182"/>
      <c r="H94" s="183"/>
      <c r="I94" s="185"/>
      <c r="J94" s="96"/>
      <c r="K94" s="1302">
        <f>D92-D91</f>
        <v>2860784.0590000004</v>
      </c>
      <c r="L94" s="185"/>
      <c r="M94" s="185"/>
      <c r="N94" s="185"/>
      <c r="O94" s="185"/>
      <c r="P94" s="185"/>
      <c r="Q94" s="185"/>
      <c r="R94" s="185"/>
      <c r="S94" s="185"/>
      <c r="T94" s="185"/>
      <c r="U94" s="186"/>
      <c r="V94" s="9"/>
      <c r="W94" s="9"/>
    </row>
    <row r="95" spans="2:23" ht="15.75" x14ac:dyDescent="0.25">
      <c r="B95" s="7"/>
      <c r="C95" s="181"/>
      <c r="D95" s="182"/>
      <c r="E95" s="182"/>
      <c r="F95" s="182"/>
      <c r="G95" s="182"/>
      <c r="H95" s="183"/>
      <c r="I95" s="185"/>
      <c r="J95" s="185"/>
      <c r="K95" s="185"/>
      <c r="L95" s="185"/>
      <c r="M95" s="185"/>
      <c r="N95" s="185"/>
      <c r="O95" s="185"/>
      <c r="P95" s="185"/>
      <c r="Q95" s="185"/>
      <c r="R95" s="185"/>
      <c r="S95" s="185"/>
      <c r="T95" s="185"/>
      <c r="U95" s="186"/>
      <c r="V95" s="9"/>
      <c r="W95" s="9"/>
    </row>
    <row r="96" spans="2:23" ht="16.5" thickBot="1" x14ac:dyDescent="0.3">
      <c r="B96" s="7"/>
      <c r="C96" s="187" t="s">
        <v>79</v>
      </c>
      <c r="D96" s="188">
        <f>D94/T43</f>
        <v>861.07504319244879</v>
      </c>
      <c r="E96" s="189"/>
      <c r="F96" s="189"/>
      <c r="G96" s="189"/>
      <c r="H96" s="190"/>
      <c r="I96" s="191"/>
      <c r="J96" s="191"/>
      <c r="K96" s="191"/>
      <c r="L96" s="191"/>
      <c r="M96" s="191"/>
      <c r="N96" s="191"/>
      <c r="O96" s="191"/>
      <c r="P96" s="191"/>
      <c r="Q96" s="191"/>
      <c r="R96" s="191"/>
      <c r="S96" s="191"/>
      <c r="T96" s="191"/>
      <c r="U96" s="152"/>
      <c r="V96" s="9"/>
      <c r="W96" s="9"/>
    </row>
    <row r="97" spans="2:22" hidden="1" x14ac:dyDescent="0.2">
      <c r="B97" s="7">
        <v>2012</v>
      </c>
      <c r="C97" s="152"/>
      <c r="D97" s="191"/>
      <c r="E97" s="191"/>
      <c r="F97" s="191"/>
      <c r="G97" s="191"/>
      <c r="H97" s="191"/>
      <c r="I97" s="191"/>
      <c r="J97" s="191"/>
      <c r="K97" s="191"/>
      <c r="L97" s="191"/>
      <c r="M97" s="191"/>
      <c r="N97" s="191"/>
      <c r="O97" s="191"/>
      <c r="P97" s="191"/>
      <c r="Q97" s="191"/>
      <c r="R97" s="191"/>
      <c r="S97" s="191"/>
      <c r="T97" s="191"/>
      <c r="U97" s="152"/>
      <c r="V97" s="18"/>
    </row>
    <row r="98" spans="2:22" hidden="1" x14ac:dyDescent="0.2">
      <c r="B98" s="7"/>
      <c r="C98" s="152"/>
      <c r="D98" s="191"/>
      <c r="E98" s="191"/>
      <c r="F98" s="191"/>
      <c r="G98" s="191"/>
      <c r="H98" s="191"/>
      <c r="I98" s="191"/>
      <c r="J98" s="191"/>
      <c r="K98" s="191"/>
      <c r="L98" s="191"/>
      <c r="M98" s="191"/>
      <c r="N98" s="191"/>
      <c r="O98" s="191"/>
      <c r="P98" s="191"/>
      <c r="Q98" s="191"/>
      <c r="R98" s="191"/>
      <c r="S98" s="191"/>
      <c r="T98" s="191"/>
      <c r="U98" s="152"/>
      <c r="V98" s="18"/>
    </row>
    <row r="99" spans="2:22" hidden="1" x14ac:dyDescent="0.2">
      <c r="B99" s="7"/>
      <c r="C99" s="152"/>
      <c r="D99" s="191"/>
      <c r="E99" s="191"/>
      <c r="F99" s="191"/>
      <c r="G99" s="191"/>
      <c r="H99" s="191"/>
      <c r="I99" s="191"/>
      <c r="J99" s="191"/>
      <c r="K99" s="191"/>
      <c r="L99" s="191"/>
      <c r="M99" s="191"/>
      <c r="N99" s="191"/>
      <c r="O99" s="191"/>
      <c r="P99" s="191"/>
      <c r="Q99" s="191"/>
      <c r="R99" s="191"/>
      <c r="S99" s="191"/>
      <c r="T99" s="191"/>
      <c r="U99" s="152"/>
      <c r="V99" s="18"/>
    </row>
    <row r="100" spans="2:22" hidden="1" x14ac:dyDescent="0.2">
      <c r="B100" s="7"/>
      <c r="C100" s="152"/>
      <c r="D100" s="191"/>
      <c r="E100" s="191"/>
      <c r="F100" s="191"/>
      <c r="G100" s="191"/>
      <c r="H100" s="191"/>
      <c r="I100" s="191"/>
      <c r="J100" s="191"/>
      <c r="K100" s="191"/>
      <c r="L100" s="191"/>
      <c r="M100" s="191"/>
      <c r="N100" s="191"/>
      <c r="O100" s="191"/>
      <c r="P100" s="191"/>
      <c r="Q100" s="191"/>
      <c r="R100" s="191"/>
      <c r="S100" s="191"/>
      <c r="T100" s="191"/>
      <c r="U100" s="152"/>
      <c r="V100" s="18"/>
    </row>
    <row r="101" spans="2:22" hidden="1" x14ac:dyDescent="0.2">
      <c r="B101" s="7"/>
      <c r="C101" s="152"/>
      <c r="D101" s="191"/>
      <c r="E101" s="191"/>
      <c r="F101" s="191"/>
      <c r="G101" s="191"/>
      <c r="H101" s="191"/>
      <c r="I101" s="191"/>
      <c r="J101" s="191"/>
      <c r="K101" s="191"/>
      <c r="L101" s="191"/>
      <c r="M101" s="191"/>
      <c r="N101" s="191"/>
      <c r="O101" s="191"/>
      <c r="P101" s="191"/>
      <c r="Q101" s="191"/>
      <c r="R101" s="191"/>
      <c r="S101" s="191"/>
      <c r="T101" s="191"/>
      <c r="U101" s="152"/>
      <c r="V101" s="18"/>
    </row>
    <row r="102" spans="2:22" hidden="1" x14ac:dyDescent="0.2">
      <c r="B102" s="7"/>
      <c r="C102" s="152"/>
      <c r="D102" s="191"/>
      <c r="E102" s="191"/>
      <c r="F102" s="191"/>
      <c r="G102" s="191"/>
      <c r="H102" s="191"/>
      <c r="I102" s="191"/>
      <c r="J102" s="191"/>
      <c r="K102" s="191"/>
      <c r="L102" s="191"/>
      <c r="M102" s="191"/>
      <c r="N102" s="191"/>
      <c r="O102" s="191"/>
      <c r="P102" s="191"/>
      <c r="Q102" s="191"/>
      <c r="R102" s="191"/>
      <c r="S102" s="191"/>
      <c r="T102" s="191"/>
      <c r="U102" s="152"/>
      <c r="V102" s="18"/>
    </row>
    <row r="103" spans="2:22" hidden="1" x14ac:dyDescent="0.2">
      <c r="B103" s="7"/>
      <c r="C103" s="152"/>
      <c r="D103" s="191"/>
      <c r="E103" s="191"/>
      <c r="F103" s="191"/>
      <c r="G103" s="191"/>
      <c r="H103" s="191"/>
      <c r="I103" s="191"/>
      <c r="J103" s="191"/>
      <c r="K103" s="191"/>
      <c r="L103" s="191"/>
      <c r="M103" s="191"/>
      <c r="N103" s="191"/>
      <c r="O103" s="191"/>
      <c r="P103" s="191"/>
      <c r="Q103" s="191"/>
      <c r="R103" s="191"/>
      <c r="S103" s="191"/>
      <c r="T103" s="191"/>
      <c r="U103" s="152"/>
      <c r="V103" s="18"/>
    </row>
    <row r="104" spans="2:22" hidden="1" x14ac:dyDescent="0.2">
      <c r="B104" s="7"/>
      <c r="C104" s="152"/>
      <c r="D104" s="191"/>
      <c r="E104" s="191"/>
      <c r="F104" s="191"/>
      <c r="G104" s="191"/>
      <c r="H104" s="191"/>
      <c r="I104" s="191"/>
      <c r="J104" s="191"/>
      <c r="K104" s="191"/>
      <c r="L104" s="191"/>
      <c r="M104" s="191"/>
      <c r="N104" s="191"/>
      <c r="O104" s="191"/>
      <c r="P104" s="191"/>
      <c r="Q104" s="191"/>
      <c r="R104" s="191"/>
      <c r="S104" s="191"/>
      <c r="T104" s="191"/>
      <c r="U104" s="152"/>
      <c r="V104" s="18"/>
    </row>
    <row r="105" spans="2:22" hidden="1" x14ac:dyDescent="0.2">
      <c r="B105" s="7"/>
      <c r="C105" s="152"/>
      <c r="D105" s="191"/>
      <c r="E105" s="191"/>
      <c r="F105" s="191"/>
      <c r="G105" s="191"/>
      <c r="H105" s="191"/>
      <c r="I105" s="191"/>
      <c r="J105" s="191"/>
      <c r="K105" s="191"/>
      <c r="L105" s="191"/>
      <c r="M105" s="191"/>
      <c r="N105" s="191"/>
      <c r="O105" s="191"/>
      <c r="P105" s="191"/>
      <c r="Q105" s="191"/>
      <c r="R105" s="191"/>
      <c r="S105" s="191"/>
      <c r="T105" s="191"/>
      <c r="U105" s="152"/>
      <c r="V105" s="18"/>
    </row>
    <row r="106" spans="2:22" hidden="1" x14ac:dyDescent="0.2">
      <c r="B106" s="7"/>
      <c r="C106" s="152"/>
      <c r="D106" s="191"/>
      <c r="E106" s="191"/>
      <c r="F106" s="191"/>
      <c r="G106" s="191"/>
      <c r="H106" s="191"/>
      <c r="I106" s="191"/>
      <c r="J106" s="191"/>
      <c r="K106" s="191"/>
      <c r="L106" s="191"/>
      <c r="M106" s="191"/>
      <c r="N106" s="191"/>
      <c r="O106" s="191"/>
      <c r="P106" s="191"/>
      <c r="Q106" s="191"/>
      <c r="R106" s="191"/>
      <c r="S106" s="191"/>
      <c r="T106" s="191"/>
      <c r="U106" s="152"/>
      <c r="V106" s="18"/>
    </row>
    <row r="107" spans="2:22" hidden="1" x14ac:dyDescent="0.2">
      <c r="B107" s="7"/>
      <c r="C107" s="152"/>
      <c r="D107" s="191"/>
      <c r="E107" s="191"/>
      <c r="F107" s="191"/>
      <c r="G107" s="191"/>
      <c r="H107" s="191"/>
      <c r="I107" s="191"/>
      <c r="J107" s="191"/>
      <c r="K107" s="191"/>
      <c r="L107" s="191"/>
      <c r="M107" s="191"/>
      <c r="N107" s="191"/>
      <c r="O107" s="191"/>
      <c r="P107" s="191"/>
      <c r="Q107" s="191"/>
      <c r="R107" s="191"/>
      <c r="S107" s="191"/>
      <c r="T107" s="191"/>
      <c r="U107" s="152"/>
      <c r="V107" s="19"/>
    </row>
    <row r="108" spans="2:22" hidden="1" x14ac:dyDescent="0.2">
      <c r="B108" s="7"/>
      <c r="C108" s="152"/>
      <c r="D108" s="191"/>
      <c r="E108" s="191"/>
      <c r="F108" s="191"/>
      <c r="G108" s="191"/>
      <c r="H108" s="191"/>
      <c r="I108" s="191"/>
      <c r="J108" s="191"/>
      <c r="K108" s="191"/>
      <c r="L108" s="191"/>
      <c r="M108" s="191"/>
      <c r="N108" s="191"/>
      <c r="O108" s="191"/>
      <c r="P108" s="191"/>
      <c r="Q108" s="191"/>
      <c r="R108" s="191"/>
      <c r="S108" s="191"/>
      <c r="T108" s="191"/>
      <c r="U108" s="152"/>
      <c r="V108" s="11"/>
    </row>
    <row r="109" spans="2:22" hidden="1" x14ac:dyDescent="0.2">
      <c r="B109" s="7"/>
      <c r="C109" s="152"/>
      <c r="D109" s="191"/>
      <c r="E109" s="191"/>
      <c r="F109" s="191"/>
      <c r="G109" s="191"/>
      <c r="H109" s="191"/>
      <c r="I109" s="191"/>
      <c r="J109" s="191"/>
      <c r="K109" s="191"/>
      <c r="L109" s="191"/>
      <c r="M109" s="191"/>
      <c r="N109" s="191"/>
      <c r="O109" s="191"/>
      <c r="P109" s="191"/>
      <c r="Q109" s="191"/>
      <c r="R109" s="191"/>
      <c r="S109" s="191"/>
      <c r="T109" s="191"/>
      <c r="U109" s="152"/>
      <c r="V109" s="14"/>
    </row>
    <row r="110" spans="2:22" hidden="1" x14ac:dyDescent="0.2">
      <c r="B110" s="7"/>
      <c r="C110" s="152"/>
      <c r="D110" s="191"/>
      <c r="E110" s="191"/>
      <c r="F110" s="191"/>
      <c r="G110" s="191"/>
      <c r="H110" s="191"/>
      <c r="I110" s="191"/>
      <c r="J110" s="191"/>
      <c r="K110" s="191"/>
      <c r="L110" s="191"/>
      <c r="M110" s="191"/>
      <c r="N110" s="191"/>
      <c r="O110" s="191"/>
      <c r="P110" s="191"/>
      <c r="Q110" s="191"/>
      <c r="R110" s="191"/>
      <c r="S110" s="191"/>
      <c r="T110" s="191"/>
      <c r="U110" s="152"/>
      <c r="V110" s="14"/>
    </row>
    <row r="111" spans="2:22" hidden="1" x14ac:dyDescent="0.2">
      <c r="B111" s="7"/>
      <c r="C111" s="152"/>
      <c r="D111" s="191"/>
      <c r="E111" s="191"/>
      <c r="F111" s="191"/>
      <c r="G111" s="191"/>
      <c r="H111" s="191"/>
      <c r="I111" s="191"/>
      <c r="J111" s="191"/>
      <c r="K111" s="191"/>
      <c r="L111" s="191"/>
      <c r="M111" s="191"/>
      <c r="N111" s="191"/>
      <c r="O111" s="191"/>
      <c r="P111" s="191"/>
      <c r="Q111" s="191"/>
      <c r="R111" s="191"/>
      <c r="S111" s="191"/>
      <c r="T111" s="191"/>
      <c r="U111" s="152"/>
      <c r="V111" s="14"/>
    </row>
    <row r="112" spans="2:22" hidden="1" x14ac:dyDescent="0.2">
      <c r="B112" s="7"/>
      <c r="C112" s="152"/>
      <c r="D112" s="191"/>
      <c r="E112" s="191"/>
      <c r="F112" s="191"/>
      <c r="G112" s="191"/>
      <c r="H112" s="191"/>
      <c r="I112" s="191"/>
      <c r="J112" s="191"/>
      <c r="K112" s="191"/>
      <c r="L112" s="191"/>
      <c r="M112" s="191"/>
      <c r="N112" s="191"/>
      <c r="O112" s="191"/>
      <c r="P112" s="191"/>
      <c r="Q112" s="191"/>
      <c r="R112" s="191"/>
      <c r="S112" s="191"/>
      <c r="T112" s="191"/>
      <c r="U112" s="152"/>
      <c r="V112" s="14"/>
    </row>
    <row r="113" spans="2:22" hidden="1" x14ac:dyDescent="0.2">
      <c r="B113" s="7"/>
      <c r="C113" s="152"/>
      <c r="D113" s="191"/>
      <c r="E113" s="191"/>
      <c r="F113" s="191"/>
      <c r="G113" s="191"/>
      <c r="H113" s="191"/>
      <c r="I113" s="191"/>
      <c r="J113" s="191"/>
      <c r="K113" s="191"/>
      <c r="L113" s="191"/>
      <c r="M113" s="191"/>
      <c r="N113" s="191"/>
      <c r="O113" s="191"/>
      <c r="P113" s="191"/>
      <c r="Q113" s="191"/>
      <c r="R113" s="191"/>
      <c r="S113" s="191"/>
      <c r="T113" s="191"/>
      <c r="U113" s="152"/>
      <c r="V113" s="14"/>
    </row>
    <row r="114" spans="2:22" hidden="1" x14ac:dyDescent="0.2">
      <c r="B114" s="7"/>
      <c r="C114" s="152"/>
      <c r="D114" s="191"/>
      <c r="E114" s="191"/>
      <c r="F114" s="191"/>
      <c r="G114" s="191"/>
      <c r="H114" s="191"/>
      <c r="I114" s="191"/>
      <c r="J114" s="191"/>
      <c r="K114" s="191"/>
      <c r="L114" s="191"/>
      <c r="M114" s="191"/>
      <c r="N114" s="191"/>
      <c r="O114" s="191"/>
      <c r="P114" s="191"/>
      <c r="Q114" s="191"/>
      <c r="R114" s="191"/>
      <c r="S114" s="191"/>
      <c r="T114" s="191"/>
      <c r="U114" s="152"/>
      <c r="V114" s="14"/>
    </row>
    <row r="115" spans="2:22" hidden="1" x14ac:dyDescent="0.2">
      <c r="B115" s="7"/>
      <c r="C115" s="152"/>
      <c r="D115" s="191"/>
      <c r="E115" s="191"/>
      <c r="F115" s="191"/>
      <c r="G115" s="191"/>
      <c r="H115" s="191"/>
      <c r="I115" s="191"/>
      <c r="J115" s="191"/>
      <c r="K115" s="191"/>
      <c r="L115" s="191"/>
      <c r="M115" s="191"/>
      <c r="N115" s="191"/>
      <c r="O115" s="191"/>
      <c r="P115" s="191"/>
      <c r="Q115" s="191"/>
      <c r="R115" s="191"/>
      <c r="S115" s="191"/>
      <c r="T115" s="191"/>
      <c r="U115" s="152"/>
      <c r="V115" s="14"/>
    </row>
    <row r="116" spans="2:22" hidden="1" x14ac:dyDescent="0.2">
      <c r="B116" s="7"/>
      <c r="C116" s="152"/>
      <c r="D116" s="191"/>
      <c r="E116" s="191"/>
      <c r="F116" s="191"/>
      <c r="G116" s="191"/>
      <c r="H116" s="191"/>
      <c r="I116" s="191"/>
      <c r="J116" s="191"/>
      <c r="K116" s="191"/>
      <c r="L116" s="191"/>
      <c r="M116" s="191"/>
      <c r="N116" s="191"/>
      <c r="O116" s="191"/>
      <c r="P116" s="191"/>
      <c r="Q116" s="191"/>
      <c r="R116" s="191"/>
      <c r="S116" s="191"/>
      <c r="T116" s="191"/>
      <c r="U116" s="152"/>
      <c r="V116" s="14"/>
    </row>
    <row r="117" spans="2:22" hidden="1" x14ac:dyDescent="0.2">
      <c r="B117" s="7"/>
      <c r="C117" s="152"/>
      <c r="D117" s="191"/>
      <c r="E117" s="191"/>
      <c r="F117" s="191"/>
      <c r="G117" s="191"/>
      <c r="H117" s="191"/>
      <c r="I117" s="191"/>
      <c r="J117" s="191"/>
      <c r="K117" s="191"/>
      <c r="L117" s="191"/>
      <c r="M117" s="191"/>
      <c r="N117" s="191"/>
      <c r="O117" s="191"/>
      <c r="P117" s="191"/>
      <c r="Q117" s="191"/>
      <c r="R117" s="191"/>
      <c r="S117" s="191"/>
      <c r="T117" s="191"/>
      <c r="U117" s="152"/>
      <c r="V117" s="14"/>
    </row>
    <row r="118" spans="2:22" hidden="1" x14ac:dyDescent="0.2">
      <c r="B118" s="7"/>
      <c r="C118" s="152"/>
      <c r="D118" s="191"/>
      <c r="E118" s="191"/>
      <c r="F118" s="191"/>
      <c r="G118" s="191"/>
      <c r="H118" s="191"/>
      <c r="I118" s="191"/>
      <c r="J118" s="191"/>
      <c r="K118" s="191"/>
      <c r="L118" s="191"/>
      <c r="M118" s="191"/>
      <c r="N118" s="191"/>
      <c r="O118" s="191"/>
      <c r="P118" s="191"/>
      <c r="Q118" s="191"/>
      <c r="R118" s="191"/>
      <c r="S118" s="191"/>
      <c r="T118" s="191"/>
      <c r="U118" s="152"/>
      <c r="V118" s="14"/>
    </row>
    <row r="119" spans="2:22" hidden="1" x14ac:dyDescent="0.2">
      <c r="B119" s="7"/>
      <c r="C119" s="152"/>
      <c r="D119" s="191"/>
      <c r="E119" s="191"/>
      <c r="F119" s="191"/>
      <c r="G119" s="191"/>
      <c r="H119" s="191"/>
      <c r="I119" s="191"/>
      <c r="J119" s="191"/>
      <c r="K119" s="191"/>
      <c r="L119" s="191"/>
      <c r="M119" s="191"/>
      <c r="N119" s="191"/>
      <c r="O119" s="191"/>
      <c r="P119" s="191"/>
      <c r="Q119" s="191"/>
      <c r="R119" s="191"/>
      <c r="S119" s="191"/>
      <c r="T119" s="191"/>
      <c r="U119" s="152"/>
      <c r="V119" s="14"/>
    </row>
    <row r="120" spans="2:22" hidden="1" x14ac:dyDescent="0.2">
      <c r="B120" s="7"/>
      <c r="C120" s="152"/>
      <c r="D120" s="191"/>
      <c r="E120" s="191"/>
      <c r="F120" s="191"/>
      <c r="G120" s="191"/>
      <c r="H120" s="191"/>
      <c r="I120" s="191"/>
      <c r="J120" s="191"/>
      <c r="K120" s="191"/>
      <c r="L120" s="191"/>
      <c r="M120" s="191"/>
      <c r="N120" s="191"/>
      <c r="O120" s="191"/>
      <c r="P120" s="191"/>
      <c r="Q120" s="191"/>
      <c r="R120" s="191"/>
      <c r="S120" s="191"/>
      <c r="T120" s="191"/>
      <c r="U120" s="152"/>
      <c r="V120" s="14"/>
    </row>
    <row r="121" spans="2:22" hidden="1" x14ac:dyDescent="0.2">
      <c r="B121" s="7"/>
      <c r="C121" s="152"/>
      <c r="D121" s="191"/>
      <c r="E121" s="191"/>
      <c r="F121" s="191"/>
      <c r="G121" s="191"/>
      <c r="H121" s="191"/>
      <c r="I121" s="191"/>
      <c r="J121" s="191"/>
      <c r="K121" s="191"/>
      <c r="L121" s="191"/>
      <c r="M121" s="191"/>
      <c r="N121" s="191"/>
      <c r="O121" s="191"/>
      <c r="P121" s="191"/>
      <c r="Q121" s="191"/>
      <c r="R121" s="191"/>
      <c r="S121" s="191"/>
      <c r="T121" s="191"/>
      <c r="U121" s="152"/>
      <c r="V121" s="14"/>
    </row>
    <row r="122" spans="2:22" hidden="1" x14ac:dyDescent="0.2">
      <c r="B122" s="7"/>
      <c r="C122" s="152"/>
      <c r="D122" s="191"/>
      <c r="E122" s="191"/>
      <c r="F122" s="191"/>
      <c r="G122" s="191"/>
      <c r="H122" s="191"/>
      <c r="I122" s="191"/>
      <c r="J122" s="191"/>
      <c r="K122" s="191"/>
      <c r="L122" s="191"/>
      <c r="M122" s="191"/>
      <c r="N122" s="191"/>
      <c r="O122" s="191"/>
      <c r="P122" s="191"/>
      <c r="Q122" s="191"/>
      <c r="R122" s="191"/>
      <c r="S122" s="191"/>
      <c r="T122" s="191"/>
      <c r="U122" s="152"/>
      <c r="V122" s="11"/>
    </row>
    <row r="123" spans="2:22" hidden="1" x14ac:dyDescent="0.2">
      <c r="B123" s="7"/>
      <c r="C123" s="152"/>
      <c r="D123" s="191"/>
      <c r="E123" s="191"/>
      <c r="F123" s="191"/>
      <c r="G123" s="191"/>
      <c r="H123" s="191"/>
      <c r="I123" s="191"/>
      <c r="J123" s="191"/>
      <c r="K123" s="191"/>
      <c r="L123" s="191"/>
      <c r="M123" s="191"/>
      <c r="N123" s="191"/>
      <c r="O123" s="191"/>
      <c r="P123" s="191"/>
      <c r="Q123" s="191"/>
      <c r="R123" s="191"/>
      <c r="S123" s="191"/>
      <c r="T123" s="191"/>
      <c r="U123" s="152"/>
      <c r="V123" s="11"/>
    </row>
    <row r="124" spans="2:22" hidden="1" x14ac:dyDescent="0.2">
      <c r="B124" s="7"/>
      <c r="C124" s="152"/>
      <c r="D124" s="191"/>
      <c r="E124" s="191"/>
      <c r="F124" s="191"/>
      <c r="G124" s="191"/>
      <c r="H124" s="191"/>
      <c r="I124" s="191"/>
      <c r="J124" s="191"/>
      <c r="K124" s="191"/>
      <c r="L124" s="191"/>
      <c r="M124" s="191"/>
      <c r="N124" s="191"/>
      <c r="O124" s="191"/>
      <c r="P124" s="191"/>
      <c r="Q124" s="191"/>
      <c r="R124" s="191"/>
      <c r="S124" s="191"/>
      <c r="T124" s="191"/>
      <c r="U124" s="152"/>
      <c r="V124" s="11"/>
    </row>
    <row r="125" spans="2:22" hidden="1" x14ac:dyDescent="0.2">
      <c r="B125" s="7">
        <v>2011</v>
      </c>
      <c r="C125" s="152"/>
      <c r="D125" s="191"/>
      <c r="E125" s="191"/>
      <c r="F125" s="191"/>
      <c r="G125" s="191"/>
      <c r="H125" s="191"/>
      <c r="I125" s="191"/>
      <c r="J125" s="191"/>
      <c r="K125" s="191"/>
      <c r="L125" s="191"/>
      <c r="M125" s="191"/>
      <c r="N125" s="191"/>
      <c r="O125" s="191"/>
      <c r="P125" s="191"/>
      <c r="Q125" s="191"/>
      <c r="R125" s="191"/>
      <c r="S125" s="191"/>
      <c r="T125" s="191"/>
      <c r="U125" s="152"/>
      <c r="V125" s="8"/>
    </row>
    <row r="126" spans="2:22" hidden="1" x14ac:dyDescent="0.2">
      <c r="B126" s="7"/>
      <c r="C126" s="152"/>
      <c r="D126" s="191"/>
      <c r="E126" s="191"/>
      <c r="F126" s="191"/>
      <c r="G126" s="191"/>
      <c r="H126" s="191"/>
      <c r="I126" s="191"/>
      <c r="J126" s="191"/>
      <c r="K126" s="191"/>
      <c r="L126" s="191"/>
      <c r="M126" s="191"/>
      <c r="N126" s="191"/>
      <c r="O126" s="191"/>
      <c r="P126" s="191"/>
      <c r="Q126" s="191"/>
      <c r="R126" s="191"/>
      <c r="S126" s="191"/>
      <c r="T126" s="191"/>
      <c r="U126" s="152"/>
      <c r="V126" s="18"/>
    </row>
    <row r="127" spans="2:22" hidden="1" x14ac:dyDescent="0.2">
      <c r="B127" s="7"/>
      <c r="C127" s="152"/>
      <c r="D127" s="191"/>
      <c r="E127" s="191"/>
      <c r="F127" s="191"/>
      <c r="G127" s="191"/>
      <c r="H127" s="191"/>
      <c r="I127" s="191"/>
      <c r="J127" s="191"/>
      <c r="K127" s="191"/>
      <c r="L127" s="191"/>
      <c r="M127" s="191"/>
      <c r="N127" s="191"/>
      <c r="O127" s="191"/>
      <c r="P127" s="191"/>
      <c r="Q127" s="191"/>
      <c r="R127" s="191"/>
      <c r="S127" s="191"/>
      <c r="T127" s="191"/>
      <c r="U127" s="152"/>
      <c r="V127" s="18"/>
    </row>
    <row r="128" spans="2:22" hidden="1" x14ac:dyDescent="0.2">
      <c r="B128" s="7"/>
      <c r="C128" s="152"/>
      <c r="D128" s="191"/>
      <c r="E128" s="191"/>
      <c r="F128" s="191"/>
      <c r="G128" s="191"/>
      <c r="H128" s="191"/>
      <c r="I128" s="191"/>
      <c r="J128" s="191"/>
      <c r="K128" s="191"/>
      <c r="L128" s="191"/>
      <c r="M128" s="191"/>
      <c r="N128" s="191"/>
      <c r="O128" s="191"/>
      <c r="P128" s="191"/>
      <c r="Q128" s="191"/>
      <c r="R128" s="191"/>
      <c r="S128" s="191"/>
      <c r="T128" s="191"/>
      <c r="U128" s="152"/>
      <c r="V128" s="18"/>
    </row>
    <row r="129" spans="2:22" hidden="1" x14ac:dyDescent="0.2">
      <c r="B129" s="7"/>
      <c r="C129" s="152"/>
      <c r="D129" s="191"/>
      <c r="E129" s="191"/>
      <c r="F129" s="191"/>
      <c r="G129" s="191"/>
      <c r="H129" s="191"/>
      <c r="I129" s="191"/>
      <c r="J129" s="191"/>
      <c r="K129" s="191"/>
      <c r="L129" s="191"/>
      <c r="M129" s="191"/>
      <c r="N129" s="191"/>
      <c r="O129" s="191"/>
      <c r="P129" s="191"/>
      <c r="Q129" s="191"/>
      <c r="R129" s="191"/>
      <c r="S129" s="191"/>
      <c r="T129" s="191"/>
      <c r="U129" s="152"/>
      <c r="V129" s="18"/>
    </row>
    <row r="130" spans="2:22" hidden="1" x14ac:dyDescent="0.2">
      <c r="B130" s="7"/>
      <c r="C130" s="152"/>
      <c r="D130" s="191"/>
      <c r="E130" s="191"/>
      <c r="F130" s="191"/>
      <c r="G130" s="191"/>
      <c r="H130" s="191"/>
      <c r="I130" s="191"/>
      <c r="J130" s="191"/>
      <c r="K130" s="191"/>
      <c r="L130" s="191"/>
      <c r="M130" s="191"/>
      <c r="N130" s="191"/>
      <c r="O130" s="191"/>
      <c r="P130" s="191"/>
      <c r="Q130" s="191"/>
      <c r="R130" s="191"/>
      <c r="S130" s="191"/>
      <c r="T130" s="191"/>
      <c r="U130" s="152"/>
      <c r="V130" s="18"/>
    </row>
    <row r="131" spans="2:22" hidden="1" x14ac:dyDescent="0.2">
      <c r="B131" s="7"/>
      <c r="C131" s="152"/>
      <c r="D131" s="191"/>
      <c r="E131" s="191"/>
      <c r="F131" s="191"/>
      <c r="G131" s="191"/>
      <c r="H131" s="191"/>
      <c r="I131" s="191"/>
      <c r="J131" s="191"/>
      <c r="K131" s="191"/>
      <c r="L131" s="191"/>
      <c r="M131" s="191"/>
      <c r="N131" s="191"/>
      <c r="O131" s="191"/>
      <c r="P131" s="191"/>
      <c r="Q131" s="191"/>
      <c r="R131" s="191"/>
      <c r="S131" s="191"/>
      <c r="T131" s="191"/>
      <c r="U131" s="152"/>
      <c r="V131" s="18"/>
    </row>
    <row r="132" spans="2:22" hidden="1" x14ac:dyDescent="0.2">
      <c r="B132" s="7"/>
      <c r="C132" s="152"/>
      <c r="D132" s="191"/>
      <c r="E132" s="191"/>
      <c r="F132" s="191"/>
      <c r="G132" s="191"/>
      <c r="H132" s="191"/>
      <c r="I132" s="191"/>
      <c r="J132" s="191"/>
      <c r="K132" s="191"/>
      <c r="L132" s="191"/>
      <c r="M132" s="191"/>
      <c r="N132" s="191"/>
      <c r="O132" s="191"/>
      <c r="P132" s="191"/>
      <c r="Q132" s="191"/>
      <c r="R132" s="191"/>
      <c r="S132" s="191"/>
      <c r="T132" s="191"/>
      <c r="U132" s="152"/>
      <c r="V132" s="18"/>
    </row>
    <row r="133" spans="2:22" hidden="1" x14ac:dyDescent="0.2">
      <c r="B133" s="7"/>
      <c r="C133" s="152"/>
      <c r="D133" s="191"/>
      <c r="E133" s="191"/>
      <c r="F133" s="191"/>
      <c r="G133" s="191"/>
      <c r="H133" s="191"/>
      <c r="I133" s="191"/>
      <c r="J133" s="191"/>
      <c r="K133" s="191"/>
      <c r="L133" s="191"/>
      <c r="M133" s="191"/>
      <c r="N133" s="191"/>
      <c r="O133" s="191"/>
      <c r="P133" s="191"/>
      <c r="Q133" s="191"/>
      <c r="R133" s="191"/>
      <c r="S133" s="191"/>
      <c r="T133" s="191"/>
      <c r="U133" s="152"/>
      <c r="V133" s="18"/>
    </row>
    <row r="134" spans="2:22" hidden="1" x14ac:dyDescent="0.2">
      <c r="B134" s="7"/>
      <c r="C134" s="152"/>
      <c r="D134" s="191"/>
      <c r="E134" s="191"/>
      <c r="F134" s="191"/>
      <c r="G134" s="191"/>
      <c r="H134" s="191"/>
      <c r="I134" s="191"/>
      <c r="J134" s="191"/>
      <c r="K134" s="191"/>
      <c r="L134" s="191"/>
      <c r="M134" s="191"/>
      <c r="N134" s="191"/>
      <c r="O134" s="191"/>
      <c r="P134" s="191"/>
      <c r="Q134" s="191"/>
      <c r="R134" s="191"/>
      <c r="S134" s="191"/>
      <c r="T134" s="191"/>
      <c r="U134" s="152"/>
      <c r="V134" s="18"/>
    </row>
    <row r="135" spans="2:22" ht="25.5" hidden="1" customHeight="1" x14ac:dyDescent="0.2">
      <c r="B135" s="7"/>
      <c r="C135" s="152"/>
      <c r="D135" s="191"/>
      <c r="E135" s="191"/>
      <c r="F135" s="191"/>
      <c r="G135" s="191"/>
      <c r="H135" s="191"/>
      <c r="I135" s="191"/>
      <c r="J135" s="191"/>
      <c r="K135" s="191"/>
      <c r="L135" s="191"/>
      <c r="M135" s="191"/>
      <c r="N135" s="191"/>
      <c r="O135" s="191"/>
      <c r="P135" s="191"/>
      <c r="Q135" s="191"/>
      <c r="R135" s="191"/>
      <c r="S135" s="191"/>
      <c r="T135" s="191"/>
      <c r="U135" s="152"/>
      <c r="V135" s="19"/>
    </row>
    <row r="136" spans="2:22" ht="22.5" hidden="1" customHeight="1" x14ac:dyDescent="0.2">
      <c r="B136" s="7"/>
      <c r="C136" s="152"/>
      <c r="D136" s="191"/>
      <c r="E136" s="191"/>
      <c r="F136" s="191"/>
      <c r="G136" s="191"/>
      <c r="H136" s="191"/>
      <c r="I136" s="191"/>
      <c r="J136" s="191"/>
      <c r="K136" s="191"/>
      <c r="L136" s="191"/>
      <c r="M136" s="191"/>
      <c r="N136" s="191"/>
      <c r="O136" s="191"/>
      <c r="P136" s="191"/>
      <c r="Q136" s="191"/>
      <c r="R136" s="191"/>
      <c r="S136" s="191"/>
      <c r="T136" s="191"/>
      <c r="U136" s="152"/>
      <c r="V136" s="11"/>
    </row>
    <row r="137" spans="2:22" ht="21.75" hidden="1" customHeight="1" x14ac:dyDescent="0.2">
      <c r="B137" s="7"/>
      <c r="C137" s="152"/>
      <c r="D137" s="191"/>
      <c r="E137" s="191"/>
      <c r="F137" s="191"/>
      <c r="G137" s="191"/>
      <c r="H137" s="191"/>
      <c r="I137" s="191"/>
      <c r="J137" s="191"/>
      <c r="K137" s="191"/>
      <c r="L137" s="191"/>
      <c r="M137" s="191"/>
      <c r="N137" s="191"/>
      <c r="O137" s="191"/>
      <c r="P137" s="191"/>
      <c r="Q137" s="191"/>
      <c r="R137" s="191"/>
      <c r="S137" s="191"/>
      <c r="T137" s="191"/>
      <c r="U137" s="152"/>
      <c r="V137" s="14"/>
    </row>
    <row r="138" spans="2:22" ht="21.75" hidden="1" customHeight="1" x14ac:dyDescent="0.2">
      <c r="B138" s="7"/>
      <c r="C138" s="152"/>
      <c r="D138" s="191"/>
      <c r="E138" s="191"/>
      <c r="F138" s="191"/>
      <c r="G138" s="191"/>
      <c r="H138" s="191"/>
      <c r="I138" s="191"/>
      <c r="J138" s="191"/>
      <c r="K138" s="191"/>
      <c r="L138" s="191"/>
      <c r="M138" s="191"/>
      <c r="N138" s="191"/>
      <c r="O138" s="191"/>
      <c r="P138" s="191"/>
      <c r="Q138" s="191"/>
      <c r="R138" s="191"/>
      <c r="S138" s="191"/>
      <c r="T138" s="191"/>
      <c r="U138" s="152"/>
      <c r="V138" s="14"/>
    </row>
    <row r="139" spans="2:22" ht="21.75" hidden="1" customHeight="1" x14ac:dyDescent="0.2">
      <c r="B139" s="7"/>
      <c r="C139" s="152"/>
      <c r="D139" s="191"/>
      <c r="E139" s="191"/>
      <c r="F139" s="191"/>
      <c r="G139" s="191"/>
      <c r="H139" s="191"/>
      <c r="I139" s="191"/>
      <c r="J139" s="191"/>
      <c r="K139" s="191"/>
      <c r="L139" s="191"/>
      <c r="M139" s="191"/>
      <c r="N139" s="191"/>
      <c r="O139" s="191"/>
      <c r="P139" s="191"/>
      <c r="Q139" s="191"/>
      <c r="R139" s="191"/>
      <c r="S139" s="191"/>
      <c r="T139" s="191"/>
      <c r="U139" s="152"/>
      <c r="V139" s="14"/>
    </row>
    <row r="140" spans="2:22" ht="20.25" hidden="1" customHeight="1" x14ac:dyDescent="0.2">
      <c r="B140" s="7"/>
      <c r="C140" s="152"/>
      <c r="D140" s="191"/>
      <c r="E140" s="191"/>
      <c r="F140" s="191"/>
      <c r="G140" s="191"/>
      <c r="H140" s="191"/>
      <c r="I140" s="191"/>
      <c r="J140" s="191"/>
      <c r="K140" s="191"/>
      <c r="L140" s="191"/>
      <c r="M140" s="191"/>
      <c r="N140" s="191"/>
      <c r="O140" s="191"/>
      <c r="P140" s="191"/>
      <c r="Q140" s="191"/>
      <c r="R140" s="191"/>
      <c r="S140" s="191"/>
      <c r="T140" s="191"/>
      <c r="U140" s="152"/>
      <c r="V140" s="14"/>
    </row>
    <row r="141" spans="2:22" ht="18.75" hidden="1" customHeight="1" x14ac:dyDescent="0.2">
      <c r="B141" s="7"/>
      <c r="C141" s="152"/>
      <c r="D141" s="191"/>
      <c r="E141" s="191"/>
      <c r="F141" s="191"/>
      <c r="G141" s="191"/>
      <c r="H141" s="191"/>
      <c r="I141" s="191"/>
      <c r="J141" s="191"/>
      <c r="K141" s="191"/>
      <c r="L141" s="191"/>
      <c r="M141" s="191"/>
      <c r="N141" s="191"/>
      <c r="O141" s="191"/>
      <c r="P141" s="191"/>
      <c r="Q141" s="191"/>
      <c r="R141" s="191"/>
      <c r="S141" s="191"/>
      <c r="T141" s="191"/>
      <c r="U141" s="152"/>
      <c r="V141" s="14"/>
    </row>
    <row r="142" spans="2:22" ht="18.75" hidden="1" customHeight="1" x14ac:dyDescent="0.2">
      <c r="B142" s="7"/>
      <c r="C142" s="152"/>
      <c r="D142" s="191"/>
      <c r="E142" s="191"/>
      <c r="F142" s="191"/>
      <c r="G142" s="191"/>
      <c r="H142" s="191"/>
      <c r="I142" s="191"/>
      <c r="J142" s="191"/>
      <c r="K142" s="191"/>
      <c r="L142" s="191"/>
      <c r="M142" s="191"/>
      <c r="N142" s="191"/>
      <c r="O142" s="191"/>
      <c r="P142" s="191"/>
      <c r="Q142" s="191"/>
      <c r="R142" s="191"/>
      <c r="S142" s="191"/>
      <c r="T142" s="191"/>
      <c r="U142" s="152"/>
      <c r="V142" s="14"/>
    </row>
    <row r="143" spans="2:22" ht="19.5" hidden="1" customHeight="1" x14ac:dyDescent="0.2">
      <c r="B143" s="7"/>
      <c r="C143" s="152"/>
      <c r="D143" s="191"/>
      <c r="E143" s="191"/>
      <c r="F143" s="191"/>
      <c r="G143" s="191"/>
      <c r="H143" s="191"/>
      <c r="I143" s="191"/>
      <c r="J143" s="191"/>
      <c r="K143" s="191"/>
      <c r="L143" s="191"/>
      <c r="M143" s="191"/>
      <c r="N143" s="191"/>
      <c r="O143" s="191"/>
      <c r="P143" s="191"/>
      <c r="Q143" s="191"/>
      <c r="R143" s="191"/>
      <c r="S143" s="191"/>
      <c r="T143" s="191"/>
      <c r="U143" s="152"/>
      <c r="V143" s="14"/>
    </row>
    <row r="144" spans="2:22" ht="21" hidden="1" customHeight="1" x14ac:dyDescent="0.2">
      <c r="B144" s="7"/>
      <c r="C144" s="152"/>
      <c r="D144" s="191"/>
      <c r="E144" s="191"/>
      <c r="F144" s="191"/>
      <c r="G144" s="191"/>
      <c r="H144" s="191"/>
      <c r="I144" s="191"/>
      <c r="J144" s="191"/>
      <c r="K144" s="191"/>
      <c r="L144" s="191"/>
      <c r="M144" s="191"/>
      <c r="N144" s="191"/>
      <c r="O144" s="191"/>
      <c r="P144" s="191"/>
      <c r="Q144" s="191"/>
      <c r="R144" s="191"/>
      <c r="S144" s="191"/>
      <c r="T144" s="191"/>
      <c r="U144" s="152"/>
      <c r="V144" s="14"/>
    </row>
    <row r="145" spans="2:22" ht="19.5" hidden="1" customHeight="1" x14ac:dyDescent="0.2">
      <c r="B145" s="7"/>
      <c r="C145" s="152"/>
      <c r="D145" s="191"/>
      <c r="E145" s="191"/>
      <c r="F145" s="191"/>
      <c r="G145" s="191"/>
      <c r="H145" s="191"/>
      <c r="I145" s="191"/>
      <c r="J145" s="191"/>
      <c r="K145" s="191"/>
      <c r="L145" s="191"/>
      <c r="M145" s="191"/>
      <c r="N145" s="191"/>
      <c r="O145" s="191"/>
      <c r="P145" s="191"/>
      <c r="Q145" s="191"/>
      <c r="R145" s="191"/>
      <c r="S145" s="191"/>
      <c r="T145" s="191"/>
      <c r="U145" s="152"/>
      <c r="V145" s="14"/>
    </row>
    <row r="146" spans="2:22" ht="21" hidden="1" customHeight="1" x14ac:dyDescent="0.2">
      <c r="B146" s="7"/>
      <c r="C146" s="152"/>
      <c r="D146" s="191"/>
      <c r="E146" s="191"/>
      <c r="F146" s="191"/>
      <c r="G146" s="191"/>
      <c r="H146" s="191"/>
      <c r="I146" s="191"/>
      <c r="J146" s="191"/>
      <c r="K146" s="191"/>
      <c r="L146" s="191"/>
      <c r="M146" s="191"/>
      <c r="N146" s="191"/>
      <c r="O146" s="191"/>
      <c r="P146" s="191"/>
      <c r="Q146" s="191"/>
      <c r="R146" s="191"/>
      <c r="S146" s="191"/>
      <c r="T146" s="191"/>
      <c r="U146" s="152"/>
      <c r="V146" s="14"/>
    </row>
    <row r="147" spans="2:22" hidden="1" x14ac:dyDescent="0.2">
      <c r="B147" s="7"/>
      <c r="C147" s="152"/>
      <c r="D147" s="191"/>
      <c r="E147" s="191"/>
      <c r="F147" s="191"/>
      <c r="G147" s="191"/>
      <c r="H147" s="191"/>
      <c r="I147" s="191"/>
      <c r="J147" s="191"/>
      <c r="K147" s="191"/>
      <c r="L147" s="191"/>
      <c r="M147" s="191"/>
      <c r="N147" s="191"/>
      <c r="O147" s="191"/>
      <c r="P147" s="191"/>
      <c r="Q147" s="191"/>
      <c r="R147" s="191"/>
      <c r="S147" s="191"/>
      <c r="T147" s="191"/>
      <c r="U147" s="152"/>
      <c r="V147" s="14"/>
    </row>
    <row r="148" spans="2:22" hidden="1" x14ac:dyDescent="0.2">
      <c r="B148" s="7"/>
      <c r="C148" s="152"/>
      <c r="D148" s="191"/>
      <c r="E148" s="191"/>
      <c r="F148" s="191"/>
      <c r="G148" s="191"/>
      <c r="H148" s="191"/>
      <c r="I148" s="191"/>
      <c r="J148" s="191"/>
      <c r="K148" s="191"/>
      <c r="L148" s="191"/>
      <c r="M148" s="191"/>
      <c r="N148" s="191"/>
      <c r="O148" s="191"/>
      <c r="P148" s="191"/>
      <c r="Q148" s="191"/>
      <c r="R148" s="191"/>
      <c r="S148" s="191"/>
      <c r="T148" s="191"/>
      <c r="U148" s="152"/>
      <c r="V148" s="11"/>
    </row>
    <row r="149" spans="2:22" hidden="1" x14ac:dyDescent="0.2">
      <c r="B149" s="7"/>
      <c r="C149" s="152"/>
      <c r="D149" s="191"/>
      <c r="E149" s="191"/>
      <c r="F149" s="191"/>
      <c r="G149" s="191"/>
      <c r="H149" s="191"/>
      <c r="I149" s="191"/>
      <c r="J149" s="191"/>
      <c r="K149" s="191"/>
      <c r="L149" s="191"/>
      <c r="M149" s="191"/>
      <c r="N149" s="191"/>
      <c r="O149" s="191"/>
      <c r="P149" s="191"/>
      <c r="Q149" s="191"/>
      <c r="R149" s="191"/>
      <c r="S149" s="191"/>
      <c r="T149" s="191"/>
      <c r="U149" s="152"/>
      <c r="V149" s="11"/>
    </row>
    <row r="150" spans="2:22" hidden="1" x14ac:dyDescent="0.2">
      <c r="B150" s="7"/>
      <c r="C150" s="152"/>
      <c r="D150" s="191"/>
      <c r="E150" s="191"/>
      <c r="F150" s="191"/>
      <c r="G150" s="191"/>
      <c r="H150" s="191"/>
      <c r="I150" s="191"/>
      <c r="J150" s="191"/>
      <c r="K150" s="191"/>
      <c r="L150" s="191"/>
      <c r="M150" s="191"/>
      <c r="N150" s="191"/>
      <c r="O150" s="191"/>
      <c r="P150" s="191"/>
      <c r="Q150" s="191"/>
      <c r="R150" s="191"/>
      <c r="S150" s="191"/>
      <c r="T150" s="191"/>
      <c r="U150" s="152"/>
      <c r="V150" s="11"/>
    </row>
    <row r="151" spans="2:22" hidden="1" x14ac:dyDescent="0.2">
      <c r="B151" s="7"/>
      <c r="C151" s="152"/>
      <c r="D151" s="191"/>
      <c r="E151" s="191"/>
      <c r="F151" s="191"/>
      <c r="G151" s="191"/>
      <c r="H151" s="191"/>
      <c r="I151" s="191"/>
      <c r="J151" s="191"/>
      <c r="K151" s="191"/>
      <c r="L151" s="191"/>
      <c r="M151" s="191"/>
      <c r="N151" s="191"/>
      <c r="O151" s="191"/>
      <c r="P151" s="191"/>
      <c r="Q151" s="191"/>
      <c r="R151" s="191"/>
      <c r="S151" s="191"/>
      <c r="T151" s="191"/>
      <c r="U151" s="152"/>
      <c r="V151" s="11"/>
    </row>
    <row r="152" spans="2:22" hidden="1" x14ac:dyDescent="0.2">
      <c r="B152" s="7">
        <v>2010</v>
      </c>
      <c r="C152" s="152"/>
      <c r="D152" s="191"/>
      <c r="E152" s="191"/>
      <c r="F152" s="191"/>
      <c r="G152" s="191"/>
      <c r="H152" s="191"/>
      <c r="I152" s="191"/>
      <c r="J152" s="191"/>
      <c r="K152" s="191"/>
      <c r="L152" s="191"/>
      <c r="M152" s="191"/>
      <c r="N152" s="191"/>
      <c r="O152" s="191"/>
      <c r="P152" s="191"/>
      <c r="Q152" s="191"/>
      <c r="R152" s="191"/>
      <c r="S152" s="191"/>
      <c r="T152" s="191"/>
      <c r="U152" s="152"/>
      <c r="V152" s="8"/>
    </row>
    <row r="153" spans="2:22" hidden="1" x14ac:dyDescent="0.2">
      <c r="B153" s="7"/>
      <c r="C153" s="152"/>
      <c r="D153" s="191"/>
      <c r="E153" s="191"/>
      <c r="F153" s="191"/>
      <c r="G153" s="191"/>
      <c r="H153" s="191"/>
      <c r="I153" s="191"/>
      <c r="J153" s="191"/>
      <c r="K153" s="191"/>
      <c r="L153" s="191"/>
      <c r="M153" s="191"/>
      <c r="N153" s="191"/>
      <c r="O153" s="191"/>
      <c r="P153" s="191"/>
      <c r="Q153" s="191"/>
      <c r="R153" s="191"/>
      <c r="S153" s="191"/>
      <c r="T153" s="191"/>
      <c r="U153" s="152"/>
      <c r="V153" s="18"/>
    </row>
    <row r="154" spans="2:22" hidden="1" x14ac:dyDescent="0.2">
      <c r="B154" s="7"/>
      <c r="C154" s="152"/>
      <c r="D154" s="191"/>
      <c r="E154" s="191"/>
      <c r="F154" s="191"/>
      <c r="G154" s="191"/>
      <c r="H154" s="191"/>
      <c r="I154" s="191"/>
      <c r="J154" s="191"/>
      <c r="K154" s="191"/>
      <c r="L154" s="191"/>
      <c r="M154" s="191"/>
      <c r="N154" s="191"/>
      <c r="O154" s="191"/>
      <c r="P154" s="191"/>
      <c r="Q154" s="191"/>
      <c r="R154" s="191"/>
      <c r="S154" s="191"/>
      <c r="T154" s="191"/>
      <c r="U154" s="152"/>
      <c r="V154" s="18"/>
    </row>
    <row r="155" spans="2:22" hidden="1" x14ac:dyDescent="0.2">
      <c r="B155" s="7"/>
      <c r="C155" s="152"/>
      <c r="D155" s="191"/>
      <c r="E155" s="191"/>
      <c r="F155" s="191"/>
      <c r="G155" s="191"/>
      <c r="H155" s="191"/>
      <c r="I155" s="191"/>
      <c r="J155" s="191"/>
      <c r="K155" s="191"/>
      <c r="L155" s="191"/>
      <c r="M155" s="191"/>
      <c r="N155" s="191"/>
      <c r="O155" s="191"/>
      <c r="P155" s="191"/>
      <c r="Q155" s="191"/>
      <c r="R155" s="191"/>
      <c r="S155" s="191"/>
      <c r="T155" s="191"/>
      <c r="U155" s="152"/>
      <c r="V155" s="18"/>
    </row>
    <row r="156" spans="2:22" hidden="1" x14ac:dyDescent="0.2">
      <c r="B156" s="7"/>
      <c r="C156" s="152"/>
      <c r="D156" s="191"/>
      <c r="E156" s="191"/>
      <c r="F156" s="191"/>
      <c r="G156" s="191"/>
      <c r="H156" s="191"/>
      <c r="I156" s="191"/>
      <c r="J156" s="191"/>
      <c r="K156" s="191"/>
      <c r="L156" s="191"/>
      <c r="M156" s="191"/>
      <c r="N156" s="191"/>
      <c r="O156" s="191"/>
      <c r="P156" s="191"/>
      <c r="Q156" s="191"/>
      <c r="R156" s="191"/>
      <c r="S156" s="191"/>
      <c r="T156" s="191"/>
      <c r="U156" s="152"/>
      <c r="V156" s="18"/>
    </row>
    <row r="157" spans="2:22" hidden="1" x14ac:dyDescent="0.2">
      <c r="C157" s="152"/>
      <c r="D157" s="191"/>
      <c r="E157" s="191"/>
      <c r="F157" s="191"/>
      <c r="G157" s="191"/>
      <c r="H157" s="191"/>
      <c r="I157" s="191"/>
      <c r="J157" s="191"/>
      <c r="K157" s="191"/>
      <c r="L157" s="191"/>
      <c r="M157" s="191"/>
      <c r="N157" s="191"/>
      <c r="O157" s="191"/>
      <c r="P157" s="191"/>
      <c r="Q157" s="191"/>
      <c r="R157" s="191"/>
      <c r="S157" s="191"/>
      <c r="T157" s="191"/>
      <c r="U157" s="152"/>
      <c r="V157" s="18"/>
    </row>
    <row r="158" spans="2:22" hidden="1" x14ac:dyDescent="0.2">
      <c r="C158" s="152"/>
      <c r="D158" s="191"/>
      <c r="E158" s="191"/>
      <c r="F158" s="191"/>
      <c r="G158" s="191"/>
      <c r="H158" s="191"/>
      <c r="I158" s="191"/>
      <c r="J158" s="191"/>
      <c r="K158" s="191"/>
      <c r="L158" s="191"/>
      <c r="M158" s="191"/>
      <c r="N158" s="191"/>
      <c r="O158" s="191"/>
      <c r="P158" s="191"/>
      <c r="Q158" s="191"/>
      <c r="R158" s="191"/>
      <c r="S158" s="191"/>
      <c r="T158" s="191"/>
      <c r="U158" s="152"/>
      <c r="V158" s="18"/>
    </row>
    <row r="159" spans="2:22" hidden="1" x14ac:dyDescent="0.2">
      <c r="C159" s="152"/>
      <c r="D159" s="191"/>
      <c r="E159" s="191"/>
      <c r="F159" s="191"/>
      <c r="G159" s="191"/>
      <c r="H159" s="191"/>
      <c r="I159" s="191"/>
      <c r="J159" s="191"/>
      <c r="K159" s="191"/>
      <c r="L159" s="191"/>
      <c r="M159" s="191"/>
      <c r="N159" s="191"/>
      <c r="O159" s="191"/>
      <c r="P159" s="191"/>
      <c r="Q159" s="191"/>
      <c r="R159" s="191"/>
      <c r="S159" s="191"/>
      <c r="T159" s="191"/>
      <c r="U159" s="152"/>
      <c r="V159" s="18"/>
    </row>
    <row r="160" spans="2:22" hidden="1" x14ac:dyDescent="0.2">
      <c r="C160" s="152"/>
      <c r="D160" s="191"/>
      <c r="E160" s="191"/>
      <c r="F160" s="191"/>
      <c r="G160" s="191"/>
      <c r="H160" s="191"/>
      <c r="I160" s="191"/>
      <c r="J160" s="191"/>
      <c r="K160" s="191"/>
      <c r="L160" s="191"/>
      <c r="M160" s="191"/>
      <c r="N160" s="191"/>
      <c r="O160" s="191"/>
      <c r="P160" s="191"/>
      <c r="Q160" s="191"/>
      <c r="R160" s="191"/>
      <c r="S160" s="191"/>
      <c r="T160" s="191"/>
      <c r="U160" s="152"/>
      <c r="V160" s="18"/>
    </row>
    <row r="161" spans="3:22" hidden="1" x14ac:dyDescent="0.2">
      <c r="C161" s="152"/>
      <c r="D161" s="191"/>
      <c r="E161" s="191"/>
      <c r="F161" s="191"/>
      <c r="G161" s="191"/>
      <c r="H161" s="191"/>
      <c r="I161" s="191"/>
      <c r="J161" s="191"/>
      <c r="K161" s="191"/>
      <c r="L161" s="191"/>
      <c r="M161" s="191"/>
      <c r="N161" s="191"/>
      <c r="O161" s="191"/>
      <c r="P161" s="191"/>
      <c r="Q161" s="191"/>
      <c r="R161" s="191"/>
      <c r="S161" s="191"/>
      <c r="T161" s="191"/>
      <c r="U161" s="152"/>
      <c r="V161" s="18"/>
    </row>
    <row r="162" spans="3:22" hidden="1" x14ac:dyDescent="0.2">
      <c r="C162" s="152"/>
      <c r="D162" s="191"/>
      <c r="E162" s="191"/>
      <c r="F162" s="191"/>
      <c r="G162" s="191"/>
      <c r="H162" s="191"/>
      <c r="I162" s="191"/>
      <c r="J162" s="191"/>
      <c r="K162" s="191"/>
      <c r="L162" s="191"/>
      <c r="M162" s="191"/>
      <c r="N162" s="191"/>
      <c r="O162" s="191"/>
      <c r="P162" s="191"/>
      <c r="Q162" s="191"/>
      <c r="R162" s="191"/>
      <c r="S162" s="191"/>
      <c r="T162" s="191"/>
      <c r="U162" s="152"/>
      <c r="V162" s="19"/>
    </row>
    <row r="163" spans="3:22" hidden="1" x14ac:dyDescent="0.2">
      <c r="C163" s="152"/>
      <c r="D163" s="191"/>
      <c r="E163" s="191"/>
      <c r="F163" s="191"/>
      <c r="G163" s="191"/>
      <c r="H163" s="191"/>
      <c r="I163" s="191"/>
      <c r="J163" s="191"/>
      <c r="K163" s="191"/>
      <c r="L163" s="191"/>
      <c r="M163" s="191"/>
      <c r="N163" s="191"/>
      <c r="O163" s="191"/>
      <c r="P163" s="191"/>
      <c r="Q163" s="191"/>
      <c r="R163" s="191"/>
      <c r="S163" s="191"/>
      <c r="T163" s="191"/>
      <c r="U163" s="152"/>
      <c r="V163" s="11"/>
    </row>
    <row r="164" spans="3:22" hidden="1" x14ac:dyDescent="0.2">
      <c r="C164" s="152"/>
      <c r="D164" s="191"/>
      <c r="E164" s="191"/>
      <c r="F164" s="191"/>
      <c r="G164" s="191"/>
      <c r="H164" s="191"/>
      <c r="I164" s="191"/>
      <c r="J164" s="191"/>
      <c r="K164" s="191"/>
      <c r="L164" s="191"/>
      <c r="M164" s="191"/>
      <c r="N164" s="191"/>
      <c r="O164" s="191"/>
      <c r="P164" s="191"/>
      <c r="Q164" s="191"/>
      <c r="R164" s="191"/>
      <c r="S164" s="191"/>
      <c r="T164" s="191"/>
      <c r="U164" s="152"/>
      <c r="V164" s="11"/>
    </row>
    <row r="165" spans="3:22" hidden="1" x14ac:dyDescent="0.2">
      <c r="C165" s="152"/>
      <c r="D165" s="191"/>
      <c r="E165" s="191"/>
      <c r="F165" s="191"/>
      <c r="G165" s="191"/>
      <c r="H165" s="191"/>
      <c r="I165" s="191"/>
      <c r="J165" s="191"/>
      <c r="K165" s="191"/>
      <c r="L165" s="191"/>
      <c r="M165" s="191"/>
      <c r="N165" s="191"/>
      <c r="O165" s="191"/>
      <c r="P165" s="191"/>
      <c r="Q165" s="191"/>
      <c r="R165" s="191"/>
      <c r="S165" s="191"/>
      <c r="T165" s="191"/>
      <c r="U165" s="152"/>
      <c r="V165" s="11"/>
    </row>
    <row r="166" spans="3:22" hidden="1" x14ac:dyDescent="0.2">
      <c r="C166" s="152"/>
      <c r="D166" s="191"/>
      <c r="E166" s="191"/>
      <c r="F166" s="191"/>
      <c r="G166" s="191"/>
      <c r="H166" s="191"/>
      <c r="I166" s="191"/>
      <c r="J166" s="191"/>
      <c r="K166" s="191"/>
      <c r="L166" s="191"/>
      <c r="M166" s="191"/>
      <c r="N166" s="191"/>
      <c r="O166" s="191"/>
      <c r="P166" s="191"/>
      <c r="Q166" s="191"/>
      <c r="R166" s="191"/>
      <c r="S166" s="191"/>
      <c r="T166" s="191"/>
      <c r="U166" s="152"/>
      <c r="V166" s="11"/>
    </row>
    <row r="167" spans="3:22" hidden="1" x14ac:dyDescent="0.2">
      <c r="C167" s="152"/>
      <c r="D167" s="191"/>
      <c r="E167" s="191"/>
      <c r="F167" s="191"/>
      <c r="G167" s="191"/>
      <c r="H167" s="191"/>
      <c r="I167" s="191"/>
      <c r="J167" s="191"/>
      <c r="K167" s="191"/>
      <c r="L167" s="191"/>
      <c r="M167" s="191"/>
      <c r="N167" s="191"/>
      <c r="O167" s="191"/>
      <c r="P167" s="191"/>
      <c r="Q167" s="191"/>
      <c r="R167" s="191"/>
      <c r="S167" s="191"/>
      <c r="T167" s="191"/>
      <c r="U167" s="152"/>
      <c r="V167" s="14"/>
    </row>
    <row r="168" spans="3:22" hidden="1" x14ac:dyDescent="0.2">
      <c r="C168" s="152"/>
      <c r="D168" s="191"/>
      <c r="E168" s="191"/>
      <c r="F168" s="191"/>
      <c r="G168" s="191"/>
      <c r="H168" s="191"/>
      <c r="I168" s="191"/>
      <c r="J168" s="191"/>
      <c r="K168" s="191"/>
      <c r="L168" s="191"/>
      <c r="M168" s="191"/>
      <c r="N168" s="191"/>
      <c r="O168" s="191"/>
      <c r="P168" s="191"/>
      <c r="Q168" s="191"/>
      <c r="R168" s="191"/>
      <c r="S168" s="191"/>
      <c r="T168" s="191"/>
      <c r="U168" s="152"/>
      <c r="V168" s="14"/>
    </row>
    <row r="169" spans="3:22" hidden="1" x14ac:dyDescent="0.2">
      <c r="C169" s="152"/>
      <c r="D169" s="191"/>
      <c r="E169" s="191"/>
      <c r="F169" s="191"/>
      <c r="G169" s="191"/>
      <c r="H169" s="191"/>
      <c r="I169" s="191"/>
      <c r="J169" s="191"/>
      <c r="K169" s="191"/>
      <c r="L169" s="191"/>
      <c r="M169" s="191"/>
      <c r="N169" s="191"/>
      <c r="O169" s="191"/>
      <c r="P169" s="191"/>
      <c r="Q169" s="191"/>
      <c r="R169" s="191"/>
      <c r="S169" s="191"/>
      <c r="T169" s="191"/>
      <c r="U169" s="152"/>
      <c r="V169" s="14"/>
    </row>
    <row r="170" spans="3:22" hidden="1" x14ac:dyDescent="0.2">
      <c r="C170" s="152"/>
      <c r="D170" s="191"/>
      <c r="E170" s="191"/>
      <c r="F170" s="191"/>
      <c r="G170" s="191"/>
      <c r="H170" s="191"/>
      <c r="I170" s="191"/>
      <c r="J170" s="191"/>
      <c r="K170" s="191"/>
      <c r="L170" s="191"/>
      <c r="M170" s="191"/>
      <c r="N170" s="191"/>
      <c r="O170" s="191"/>
      <c r="P170" s="191"/>
      <c r="Q170" s="191"/>
      <c r="R170" s="191"/>
      <c r="S170" s="191"/>
      <c r="T170" s="191"/>
      <c r="U170" s="152"/>
      <c r="V170" s="14"/>
    </row>
    <row r="171" spans="3:22" hidden="1" x14ac:dyDescent="0.2">
      <c r="C171" s="152"/>
      <c r="D171" s="191"/>
      <c r="E171" s="191"/>
      <c r="F171" s="191"/>
      <c r="G171" s="191"/>
      <c r="H171" s="191"/>
      <c r="I171" s="191"/>
      <c r="J171" s="191"/>
      <c r="K171" s="191"/>
      <c r="L171" s="191"/>
      <c r="M171" s="191"/>
      <c r="N171" s="191"/>
      <c r="O171" s="191"/>
      <c r="P171" s="191"/>
      <c r="Q171" s="191"/>
      <c r="R171" s="191"/>
      <c r="S171" s="191"/>
      <c r="T171" s="191"/>
      <c r="U171" s="152"/>
      <c r="V171" s="14"/>
    </row>
    <row r="172" spans="3:22" hidden="1" x14ac:dyDescent="0.2">
      <c r="C172" s="152"/>
      <c r="D172" s="191"/>
      <c r="E172" s="191"/>
      <c r="F172" s="191"/>
      <c r="G172" s="191"/>
      <c r="H172" s="191"/>
      <c r="I172" s="191"/>
      <c r="J172" s="191"/>
      <c r="K172" s="191"/>
      <c r="L172" s="191"/>
      <c r="M172" s="191"/>
      <c r="N172" s="191"/>
      <c r="O172" s="191"/>
      <c r="P172" s="191"/>
      <c r="Q172" s="191"/>
      <c r="R172" s="191"/>
      <c r="S172" s="191"/>
      <c r="T172" s="191"/>
      <c r="U172" s="152"/>
      <c r="V172" s="14"/>
    </row>
    <row r="173" spans="3:22" hidden="1" x14ac:dyDescent="0.2">
      <c r="C173" s="152"/>
      <c r="D173" s="191"/>
      <c r="E173" s="191"/>
      <c r="F173" s="191"/>
      <c r="G173" s="191"/>
      <c r="H173" s="191"/>
      <c r="I173" s="191"/>
      <c r="J173" s="191"/>
      <c r="K173" s="191"/>
      <c r="L173" s="191"/>
      <c r="M173" s="191"/>
      <c r="N173" s="191"/>
      <c r="O173" s="191"/>
      <c r="P173" s="191"/>
      <c r="Q173" s="191"/>
      <c r="R173" s="191"/>
      <c r="S173" s="191"/>
      <c r="T173" s="191"/>
      <c r="U173" s="152"/>
      <c r="V173" s="14"/>
    </row>
    <row r="174" spans="3:22" hidden="1" x14ac:dyDescent="0.2">
      <c r="C174" s="152"/>
      <c r="D174" s="191"/>
      <c r="E174" s="191"/>
      <c r="F174" s="191"/>
      <c r="G174" s="191"/>
      <c r="H174" s="191"/>
      <c r="I174" s="191"/>
      <c r="J174" s="191"/>
      <c r="K174" s="191"/>
      <c r="L174" s="191"/>
      <c r="M174" s="191"/>
      <c r="N174" s="191"/>
      <c r="O174" s="191"/>
      <c r="P174" s="191"/>
      <c r="Q174" s="191"/>
      <c r="R174" s="191"/>
      <c r="S174" s="191"/>
      <c r="T174" s="191"/>
      <c r="U174" s="152"/>
      <c r="V174" s="14"/>
    </row>
    <row r="175" spans="3:22" hidden="1" x14ac:dyDescent="0.2">
      <c r="C175" s="152"/>
      <c r="D175" s="191"/>
      <c r="E175" s="191"/>
      <c r="F175" s="191"/>
      <c r="G175" s="191"/>
      <c r="H175" s="191"/>
      <c r="I175" s="191"/>
      <c r="J175" s="191"/>
      <c r="K175" s="191"/>
      <c r="L175" s="191"/>
      <c r="M175" s="191"/>
      <c r="N175" s="191"/>
      <c r="O175" s="191"/>
      <c r="P175" s="191"/>
      <c r="Q175" s="191"/>
      <c r="R175" s="191"/>
      <c r="S175" s="191"/>
      <c r="T175" s="191"/>
      <c r="U175" s="152"/>
      <c r="V175" s="14"/>
    </row>
    <row r="176" spans="3:22" hidden="1" x14ac:dyDescent="0.2">
      <c r="C176" s="152"/>
      <c r="D176" s="191"/>
      <c r="E176" s="191"/>
      <c r="F176" s="191"/>
      <c r="G176" s="191"/>
      <c r="H176" s="191"/>
      <c r="I176" s="191"/>
      <c r="J176" s="191"/>
      <c r="K176" s="191"/>
      <c r="L176" s="191"/>
      <c r="M176" s="191"/>
      <c r="N176" s="191"/>
      <c r="O176" s="191"/>
      <c r="P176" s="191"/>
      <c r="Q176" s="191"/>
      <c r="R176" s="191"/>
      <c r="S176" s="191"/>
      <c r="T176" s="191"/>
      <c r="U176" s="152"/>
      <c r="V176" s="14"/>
    </row>
    <row r="177" spans="2:22" hidden="1" x14ac:dyDescent="0.2">
      <c r="C177" s="152"/>
      <c r="D177" s="191"/>
      <c r="E177" s="191"/>
      <c r="F177" s="191"/>
      <c r="G177" s="191"/>
      <c r="H177" s="191"/>
      <c r="I177" s="191"/>
      <c r="J177" s="191"/>
      <c r="K177" s="191"/>
      <c r="L177" s="191"/>
      <c r="M177" s="191"/>
      <c r="N177" s="191"/>
      <c r="O177" s="191"/>
      <c r="P177" s="191"/>
      <c r="Q177" s="191"/>
      <c r="R177" s="191"/>
      <c r="S177" s="191"/>
      <c r="T177" s="191"/>
      <c r="U177" s="152"/>
      <c r="V177" s="14"/>
    </row>
    <row r="178" spans="2:22" hidden="1" x14ac:dyDescent="0.2">
      <c r="C178" s="152"/>
      <c r="D178" s="191"/>
      <c r="E178" s="191"/>
      <c r="F178" s="191"/>
      <c r="G178" s="191"/>
      <c r="H178" s="191"/>
      <c r="I178" s="191"/>
      <c r="J178" s="191"/>
      <c r="K178" s="191"/>
      <c r="L178" s="191"/>
      <c r="M178" s="191"/>
      <c r="N178" s="191"/>
      <c r="O178" s="191"/>
      <c r="P178" s="191"/>
      <c r="Q178" s="191"/>
      <c r="R178" s="191"/>
      <c r="S178" s="191"/>
      <c r="T178" s="191"/>
      <c r="U178" s="152"/>
      <c r="V178" s="20"/>
    </row>
    <row r="179" spans="2:22" ht="15.75" thickBot="1" x14ac:dyDescent="0.25">
      <c r="C179" s="152"/>
      <c r="D179" s="191"/>
      <c r="E179" s="191"/>
      <c r="F179" s="191"/>
      <c r="G179" s="191"/>
      <c r="H179" s="191"/>
      <c r="I179" s="191"/>
      <c r="J179" s="191"/>
      <c r="K179" s="191"/>
      <c r="L179" s="191"/>
      <c r="M179" s="191"/>
      <c r="N179" s="191"/>
      <c r="O179" s="191"/>
      <c r="P179" s="191"/>
      <c r="Q179" s="191"/>
      <c r="R179" s="191"/>
      <c r="S179" s="191"/>
      <c r="T179" s="191"/>
      <c r="U179" s="152"/>
      <c r="V179" s="9"/>
    </row>
    <row r="180" spans="2:22" ht="16.5" thickBot="1" x14ac:dyDescent="0.3">
      <c r="C180" s="154" t="s">
        <v>80</v>
      </c>
      <c r="D180" s="155" t="s">
        <v>8</v>
      </c>
      <c r="E180" s="155" t="s">
        <v>9</v>
      </c>
      <c r="F180" s="155" t="s">
        <v>10</v>
      </c>
      <c r="G180" s="155" t="s">
        <v>11</v>
      </c>
      <c r="H180" s="155" t="s">
        <v>12</v>
      </c>
      <c r="I180" s="155" t="s">
        <v>13</v>
      </c>
      <c r="J180" s="155" t="s">
        <v>14</v>
      </c>
      <c r="K180" s="155" t="s">
        <v>15</v>
      </c>
      <c r="L180" s="155" t="s">
        <v>16</v>
      </c>
      <c r="M180" s="155" t="s">
        <v>17</v>
      </c>
      <c r="N180" s="155" t="s">
        <v>18</v>
      </c>
      <c r="O180" s="155" t="s">
        <v>19</v>
      </c>
      <c r="P180" s="155" t="s">
        <v>20</v>
      </c>
      <c r="Q180" s="155" t="s">
        <v>21</v>
      </c>
      <c r="R180" s="155" t="s">
        <v>22</v>
      </c>
      <c r="S180" s="155" t="s">
        <v>23</v>
      </c>
      <c r="T180" s="156" t="s">
        <v>24</v>
      </c>
      <c r="U180" s="157"/>
    </row>
    <row r="181" spans="2:22" ht="15.75" x14ac:dyDescent="0.25">
      <c r="C181" s="158" t="s">
        <v>81</v>
      </c>
      <c r="D181" s="159">
        <f>(D56)*$D$91</f>
        <v>270035.25056998804</v>
      </c>
      <c r="E181" s="159">
        <f t="shared" ref="E181:S181" si="10">(E56)*$D$91</f>
        <v>567917.88635500602</v>
      </c>
      <c r="F181" s="159">
        <f t="shared" si="10"/>
        <v>1548483.389987275</v>
      </c>
      <c r="G181" s="159">
        <f t="shared" si="10"/>
        <v>328261.60147414164</v>
      </c>
      <c r="H181" s="159">
        <f t="shared" si="10"/>
        <v>299570.35610108043</v>
      </c>
      <c r="I181" s="159">
        <f t="shared" si="10"/>
        <v>929933.89415039623</v>
      </c>
      <c r="J181" s="159">
        <f t="shared" si="10"/>
        <v>2822712.2286144062</v>
      </c>
      <c r="K181" s="159">
        <f t="shared" si="10"/>
        <v>186493.09492489797</v>
      </c>
      <c r="L181" s="159">
        <f t="shared" si="10"/>
        <v>133329.90496893157</v>
      </c>
      <c r="M181" s="159">
        <f t="shared" si="10"/>
        <v>1221909.5088291958</v>
      </c>
      <c r="N181" s="159">
        <f t="shared" si="10"/>
        <v>232061.54345858344</v>
      </c>
      <c r="O181" s="159">
        <f t="shared" si="10"/>
        <v>1085204.1632281393</v>
      </c>
      <c r="P181" s="159">
        <f t="shared" si="10"/>
        <v>54850.910272028814</v>
      </c>
      <c r="Q181" s="159">
        <f t="shared" si="10"/>
        <v>616017.91536278522</v>
      </c>
      <c r="R181" s="159">
        <f t="shared" si="10"/>
        <v>237968.56456480193</v>
      </c>
      <c r="S181" s="159">
        <f t="shared" si="10"/>
        <v>7038637.578138344</v>
      </c>
      <c r="T181" s="160">
        <f>SUM(D181:S181)</f>
        <v>17573387.791000001</v>
      </c>
      <c r="U181" s="161"/>
      <c r="V181" s="22">
        <f>T86-T181</f>
        <v>0</v>
      </c>
    </row>
    <row r="182" spans="2:22" ht="15.75" x14ac:dyDescent="0.25">
      <c r="C182" s="162"/>
      <c r="D182" s="163"/>
      <c r="E182" s="163"/>
      <c r="F182" s="163"/>
      <c r="G182" s="163"/>
      <c r="H182" s="163"/>
      <c r="I182" s="163"/>
      <c r="J182" s="163"/>
      <c r="K182" s="163"/>
      <c r="L182" s="163"/>
      <c r="M182" s="163"/>
      <c r="N182" s="163"/>
      <c r="O182" s="163"/>
      <c r="P182" s="163"/>
      <c r="Q182" s="163"/>
      <c r="R182" s="163"/>
      <c r="S182" s="163"/>
      <c r="T182" s="164"/>
      <c r="U182" s="165"/>
    </row>
    <row r="183" spans="2:22" ht="15.75" x14ac:dyDescent="0.25">
      <c r="C183" s="166" t="s">
        <v>83</v>
      </c>
      <c r="D183" s="163">
        <f>(-D181+D86)*Kontrollpanel!$D$39</f>
        <v>-20695.564870492239</v>
      </c>
      <c r="E183" s="163">
        <f>(-E181+E86)*Kontrollpanel!$D$39</f>
        <v>23409.698419246033</v>
      </c>
      <c r="F183" s="163">
        <f>(-F181+F86)*Kontrollpanel!$D$39</f>
        <v>5629.0845082712594</v>
      </c>
      <c r="G183" s="163">
        <f>(-G181+G86)*Kontrollpanel!$D$39</f>
        <v>-11936.067958192079</v>
      </c>
      <c r="H183" s="163">
        <f>(-H181+H86)*Kontrollpanel!$D$39</f>
        <v>22519.19013429774</v>
      </c>
      <c r="I183" s="163">
        <f>(-I181+I86)*Kontrollpanel!$D$39</f>
        <v>12040.926202242495</v>
      </c>
      <c r="J183" s="163">
        <f>(-J181+J86)*Kontrollpanel!$D$39</f>
        <v>-362387.33024936396</v>
      </c>
      <c r="K183" s="163">
        <f>(-K181+K86)*Kontrollpanel!$D$39</f>
        <v>5534.4152988163087</v>
      </c>
      <c r="L183" s="163">
        <f>(-L181+L86)*Kontrollpanel!$D$39</f>
        <v>4062.3797701944786</v>
      </c>
      <c r="M183" s="163">
        <f>(-M181+M86)*Kontrollpanel!$D$39</f>
        <v>-206454.24593897728</v>
      </c>
      <c r="N183" s="163">
        <f>(-N181+N86)*Kontrollpanel!$D$39</f>
        <v>-26731.941248079234</v>
      </c>
      <c r="O183" s="163">
        <f>(-O181+O86)*Kontrollpanel!$D$39</f>
        <v>-77641.665548290577</v>
      </c>
      <c r="P183" s="163">
        <f>(-P181+P86)*Kontrollpanel!$D$39</f>
        <v>6632.4633231812695</v>
      </c>
      <c r="Q183" s="163">
        <f>(-Q181+Q86)*Kontrollpanel!$D$39</f>
        <v>-55745.660985810406</v>
      </c>
      <c r="R183" s="163">
        <f>(-R181+R86)*Kontrollpanel!$D$39</f>
        <v>9962.0042828787518</v>
      </c>
      <c r="S183" s="163">
        <f>(-S181+S86)*Kontrollpanel!$D$39</f>
        <v>671802.31486007629</v>
      </c>
      <c r="T183" s="198">
        <f>SUM(D183:S183)</f>
        <v>-1.1641532182693481E-9</v>
      </c>
      <c r="U183" s="165"/>
    </row>
    <row r="184" spans="2:22" ht="15.75" x14ac:dyDescent="0.25">
      <c r="C184" s="166"/>
      <c r="D184" s="163"/>
      <c r="E184" s="163"/>
      <c r="F184" s="163"/>
      <c r="G184" s="163"/>
      <c r="H184" s="163"/>
      <c r="I184" s="163"/>
      <c r="J184" s="163"/>
      <c r="K184" s="163"/>
      <c r="L184" s="163"/>
      <c r="M184" s="163"/>
      <c r="N184" s="163"/>
      <c r="O184" s="163"/>
      <c r="P184" s="163"/>
      <c r="Q184" s="163"/>
      <c r="R184" s="163"/>
      <c r="S184" s="163"/>
      <c r="T184" s="164"/>
      <c r="U184" s="165"/>
    </row>
    <row r="185" spans="2:22" ht="15.75" x14ac:dyDescent="0.25">
      <c r="C185" s="166"/>
      <c r="D185" s="163">
        <f>D183/0.6</f>
        <v>-34492.608117487063</v>
      </c>
      <c r="E185" s="163">
        <f t="shared" ref="E185:S185" si="11">E183/0.6</f>
        <v>39016.164032076726</v>
      </c>
      <c r="F185" s="163">
        <f t="shared" si="11"/>
        <v>9381.8075137854321</v>
      </c>
      <c r="G185" s="163">
        <f t="shared" si="11"/>
        <v>-19893.4465969868</v>
      </c>
      <c r="H185" s="163">
        <f t="shared" si="11"/>
        <v>37531.983557162901</v>
      </c>
      <c r="I185" s="163">
        <f t="shared" si="11"/>
        <v>20068.210337070828</v>
      </c>
      <c r="J185" s="163">
        <f t="shared" si="11"/>
        <v>-603978.88374893996</v>
      </c>
      <c r="K185" s="163">
        <f t="shared" si="11"/>
        <v>9224.025498027182</v>
      </c>
      <c r="L185" s="163">
        <f t="shared" si="11"/>
        <v>6770.6329503241313</v>
      </c>
      <c r="M185" s="163">
        <f t="shared" si="11"/>
        <v>-344090.40989829547</v>
      </c>
      <c r="N185" s="163">
        <f t="shared" si="11"/>
        <v>-44553.235413465394</v>
      </c>
      <c r="O185" s="163">
        <f t="shared" si="11"/>
        <v>-129402.77591381763</v>
      </c>
      <c r="P185" s="163">
        <f t="shared" si="11"/>
        <v>11054.105538635449</v>
      </c>
      <c r="Q185" s="163">
        <f t="shared" si="11"/>
        <v>-92909.434976350676</v>
      </c>
      <c r="R185" s="163">
        <f t="shared" si="11"/>
        <v>16603.340471464588</v>
      </c>
      <c r="S185" s="163">
        <f t="shared" si="11"/>
        <v>1119670.5247667939</v>
      </c>
      <c r="T185" s="167"/>
      <c r="U185" s="165"/>
    </row>
    <row r="186" spans="2:22" ht="16.5" thickBot="1" x14ac:dyDescent="0.3">
      <c r="B186" s="9"/>
      <c r="C186" s="168"/>
      <c r="D186" s="169">
        <f>-D181+D86</f>
        <v>-31839.330569988058</v>
      </c>
      <c r="E186" s="169">
        <f t="shared" ref="E186:S186" si="12">-E181+E86</f>
        <v>36014.920644993894</v>
      </c>
      <c r="F186" s="169">
        <f t="shared" si="12"/>
        <v>8660.1300127250142</v>
      </c>
      <c r="G186" s="169">
        <f t="shared" si="12"/>
        <v>-18363.18147414166</v>
      </c>
      <c r="H186" s="169">
        <f t="shared" si="12"/>
        <v>34644.907898919599</v>
      </c>
      <c r="I186" s="169">
        <f t="shared" si="12"/>
        <v>18524.501849603839</v>
      </c>
      <c r="J186" s="169">
        <f t="shared" si="12"/>
        <v>-557518.96961440612</v>
      </c>
      <c r="K186" s="169">
        <f t="shared" si="12"/>
        <v>8514.4850751020131</v>
      </c>
      <c r="L186" s="169">
        <f t="shared" si="12"/>
        <v>6249.8150310684287</v>
      </c>
      <c r="M186" s="169">
        <f t="shared" si="12"/>
        <v>-317621.9168291958</v>
      </c>
      <c r="N186" s="169">
        <f t="shared" si="12"/>
        <v>-41126.063458583434</v>
      </c>
      <c r="O186" s="169">
        <f t="shared" si="12"/>
        <v>-119448.71622813935</v>
      </c>
      <c r="P186" s="169">
        <f t="shared" si="12"/>
        <v>10203.789727971183</v>
      </c>
      <c r="Q186" s="169">
        <f t="shared" si="12"/>
        <v>-85762.555362785235</v>
      </c>
      <c r="R186" s="169">
        <f t="shared" si="12"/>
        <v>15326.160435198079</v>
      </c>
      <c r="S186" s="169">
        <f t="shared" si="12"/>
        <v>1033542.0228616558</v>
      </c>
      <c r="T186" s="192"/>
      <c r="U186" s="170"/>
    </row>
    <row r="187" spans="2:22" ht="15.75" x14ac:dyDescent="0.25">
      <c r="B187" s="9"/>
      <c r="C187" s="6"/>
      <c r="D187" s="151"/>
      <c r="E187" s="193"/>
      <c r="F187" s="150"/>
      <c r="G187" s="193"/>
      <c r="H187" s="194"/>
      <c r="I187" s="114"/>
      <c r="J187" s="9"/>
      <c r="K187" s="9"/>
      <c r="L187" s="9"/>
      <c r="M187" s="9"/>
      <c r="N187" s="9"/>
      <c r="O187" s="9"/>
      <c r="P187" s="9"/>
      <c r="Q187" s="9"/>
      <c r="R187" s="9"/>
    </row>
    <row r="188" spans="2:22" ht="15.75" x14ac:dyDescent="0.25">
      <c r="B188" s="9"/>
      <c r="C188" s="9"/>
      <c r="D188" s="151"/>
      <c r="E188" s="193"/>
      <c r="F188" s="194"/>
      <c r="G188" s="193"/>
      <c r="H188" s="194"/>
      <c r="I188" s="114"/>
      <c r="J188" s="9"/>
      <c r="K188" s="9"/>
      <c r="L188" s="9"/>
      <c r="M188" s="9"/>
      <c r="N188" s="9"/>
      <c r="O188" s="9"/>
      <c r="P188" s="9"/>
      <c r="Q188" s="9"/>
      <c r="R188" s="9"/>
    </row>
    <row r="189" spans="2:22" x14ac:dyDescent="0.2">
      <c r="B189" s="9"/>
      <c r="C189" s="9"/>
      <c r="D189" s="9"/>
      <c r="E189" s="9"/>
      <c r="F189" s="9"/>
      <c r="G189" s="9"/>
      <c r="H189" s="9"/>
      <c r="I189" s="9"/>
      <c r="J189" s="9"/>
      <c r="K189" s="9"/>
      <c r="L189" s="36"/>
      <c r="N189" s="9"/>
      <c r="O189" s="36"/>
      <c r="P189" s="9"/>
      <c r="Q189" s="9"/>
      <c r="R189" s="9"/>
    </row>
    <row r="190" spans="2:22" x14ac:dyDescent="0.2">
      <c r="B190" s="9"/>
      <c r="C190" s="9"/>
      <c r="D190" s="9"/>
      <c r="E190" s="9"/>
      <c r="F190" s="9"/>
      <c r="G190" s="9"/>
      <c r="H190" s="9"/>
      <c r="I190" s="9"/>
      <c r="J190" s="9"/>
      <c r="K190" s="9"/>
      <c r="L190" s="36"/>
      <c r="N190" s="9"/>
      <c r="O190" s="36"/>
      <c r="P190" s="9"/>
      <c r="Q190" s="9"/>
      <c r="R190" s="9"/>
    </row>
    <row r="191" spans="2:22" x14ac:dyDescent="0.2">
      <c r="B191" s="9"/>
      <c r="C191" s="9"/>
      <c r="D191" s="9"/>
      <c r="E191" s="9"/>
      <c r="F191" s="9"/>
      <c r="G191" s="9"/>
      <c r="H191" s="9"/>
      <c r="I191" s="9"/>
      <c r="J191" s="9"/>
      <c r="K191" s="9"/>
      <c r="L191" s="36"/>
      <c r="O191" s="36"/>
    </row>
    <row r="192" spans="2:22" ht="16.5" thickBot="1" x14ac:dyDescent="0.3">
      <c r="B192" s="9"/>
      <c r="C192" s="9"/>
      <c r="D192" s="9"/>
      <c r="E192" s="5" t="s">
        <v>85</v>
      </c>
      <c r="F192" s="9"/>
      <c r="G192" s="9"/>
      <c r="H192" s="6"/>
      <c r="I192" s="9"/>
      <c r="J192" s="9"/>
      <c r="K192" s="9"/>
      <c r="L192" s="36"/>
      <c r="O192" s="36"/>
      <c r="S192" s="9"/>
    </row>
    <row r="193" spans="2:19" ht="16.5" thickBot="1" x14ac:dyDescent="0.3">
      <c r="B193" s="9"/>
      <c r="C193" s="9"/>
      <c r="D193" s="9"/>
      <c r="E193" s="89" t="s">
        <v>84</v>
      </c>
      <c r="F193" s="150"/>
      <c r="G193" s="150"/>
      <c r="H193" s="150"/>
      <c r="I193" s="150"/>
      <c r="J193" s="492"/>
      <c r="K193" s="9"/>
      <c r="L193" s="36"/>
      <c r="O193" s="36"/>
      <c r="S193" s="9"/>
    </row>
    <row r="194" spans="2:19" ht="15.75" x14ac:dyDescent="0.25">
      <c r="B194" s="9"/>
      <c r="C194" s="214" t="s">
        <v>8</v>
      </c>
      <c r="E194" s="220">
        <f>D183</f>
        <v>-20695.564870492239</v>
      </c>
      <c r="F194" s="193"/>
      <c r="G194" s="220">
        <f>D86</f>
        <v>238195.91999999998</v>
      </c>
      <c r="H194" s="193">
        <f>(G194/$C$86)-G194</f>
        <v>38776.080000000016</v>
      </c>
      <c r="I194" s="193"/>
      <c r="J194" s="114"/>
      <c r="K194" s="9"/>
      <c r="L194" s="36"/>
      <c r="O194" s="36"/>
      <c r="P194" s="96"/>
      <c r="Q194" s="96"/>
      <c r="R194" s="96"/>
      <c r="S194" s="9"/>
    </row>
    <row r="195" spans="2:19" ht="15.75" x14ac:dyDescent="0.25">
      <c r="B195" s="9"/>
      <c r="C195" s="215" t="s">
        <v>9</v>
      </c>
      <c r="D195" s="36"/>
      <c r="E195" s="220">
        <f>E183</f>
        <v>23409.698419246033</v>
      </c>
      <c r="F195" s="193"/>
      <c r="G195" s="220">
        <f>E86</f>
        <v>603932.80699999991</v>
      </c>
      <c r="H195" s="193">
        <f t="shared" ref="H195:H210" si="13">(G195/$C$86)-G195</f>
        <v>98314.64300000004</v>
      </c>
      <c r="I195" s="193"/>
      <c r="J195" s="114"/>
      <c r="K195" s="9"/>
      <c r="L195" s="36"/>
      <c r="O195" s="36"/>
      <c r="S195" s="9"/>
    </row>
    <row r="196" spans="2:19" ht="15.75" x14ac:dyDescent="0.25">
      <c r="B196" s="9"/>
      <c r="C196" s="215" t="s">
        <v>10</v>
      </c>
      <c r="E196" s="220">
        <f>F183</f>
        <v>5629.0845082712594</v>
      </c>
      <c r="F196" s="193"/>
      <c r="G196" s="220">
        <f>F86</f>
        <v>1557143.52</v>
      </c>
      <c r="H196" s="193">
        <f t="shared" si="13"/>
        <v>253488.47999999998</v>
      </c>
      <c r="I196" s="193"/>
      <c r="J196" s="114"/>
      <c r="K196" s="9"/>
      <c r="L196" s="36"/>
      <c r="O196" s="36"/>
      <c r="S196" s="9"/>
    </row>
    <row r="197" spans="2:19" ht="15.75" x14ac:dyDescent="0.25">
      <c r="B197" s="9"/>
      <c r="C197" s="215" t="s">
        <v>11</v>
      </c>
      <c r="E197" s="220">
        <f>G183</f>
        <v>-11936.067958192079</v>
      </c>
      <c r="F197" s="193"/>
      <c r="G197" s="220">
        <f>G86</f>
        <v>309898.42</v>
      </c>
      <c r="H197" s="193">
        <f t="shared" si="13"/>
        <v>50448.580000000016</v>
      </c>
      <c r="I197" s="193"/>
      <c r="J197" s="114"/>
      <c r="K197" s="9"/>
      <c r="L197" s="36"/>
      <c r="O197" s="36"/>
      <c r="S197" s="9"/>
    </row>
    <row r="198" spans="2:19" ht="15.75" x14ac:dyDescent="0.25">
      <c r="B198" s="9"/>
      <c r="C198" s="215" t="s">
        <v>12</v>
      </c>
      <c r="D198" s="36"/>
      <c r="E198" s="220">
        <f>H183</f>
        <v>22519.19013429774</v>
      </c>
      <c r="F198" s="193"/>
      <c r="G198" s="220">
        <f>H86</f>
        <v>334215.26400000002</v>
      </c>
      <c r="H198" s="193">
        <f t="shared" si="13"/>
        <v>54407.135999999999</v>
      </c>
      <c r="I198" s="193"/>
      <c r="J198" s="114"/>
      <c r="K198" s="9"/>
      <c r="L198" s="36"/>
      <c r="O198" s="36"/>
      <c r="S198" s="9"/>
    </row>
    <row r="199" spans="2:19" ht="15.75" x14ac:dyDescent="0.25">
      <c r="B199" s="9"/>
      <c r="C199" s="215" t="s">
        <v>13</v>
      </c>
      <c r="E199" s="220">
        <f>I183</f>
        <v>12040.926202242495</v>
      </c>
      <c r="F199" s="193"/>
      <c r="G199" s="220">
        <f>I86</f>
        <v>948458.39600000007</v>
      </c>
      <c r="H199" s="193">
        <f t="shared" si="13"/>
        <v>154400.20400000003</v>
      </c>
      <c r="I199" s="193"/>
      <c r="J199" s="114"/>
      <c r="K199" s="9"/>
      <c r="S199" s="9"/>
    </row>
    <row r="200" spans="2:19" ht="15.75" x14ac:dyDescent="0.25">
      <c r="B200" s="9"/>
      <c r="C200" s="215" t="s">
        <v>14</v>
      </c>
      <c r="E200" s="220">
        <f>J183</f>
        <v>-362387.33024936396</v>
      </c>
      <c r="F200" s="193"/>
      <c r="G200" s="220">
        <f>J86</f>
        <v>2265193.2590000001</v>
      </c>
      <c r="H200" s="193">
        <f t="shared" si="13"/>
        <v>368752.39099999983</v>
      </c>
      <c r="I200" s="193"/>
      <c r="J200" s="114"/>
      <c r="K200" s="9"/>
      <c r="S200" s="9"/>
    </row>
    <row r="201" spans="2:19" ht="15.75" x14ac:dyDescent="0.25">
      <c r="C201" s="215" t="s">
        <v>15</v>
      </c>
      <c r="E201" s="220">
        <f>K183</f>
        <v>5534.4152988163087</v>
      </c>
      <c r="F201" s="193"/>
      <c r="G201" s="220">
        <f>K86</f>
        <v>195007.58</v>
      </c>
      <c r="H201" s="193">
        <f t="shared" si="13"/>
        <v>31745.420000000013</v>
      </c>
      <c r="I201" s="193"/>
      <c r="J201" s="114"/>
      <c r="K201" s="9"/>
      <c r="S201" s="9"/>
    </row>
    <row r="202" spans="2:19" ht="15.75" x14ac:dyDescent="0.25">
      <c r="C202" s="215" t="s">
        <v>16</v>
      </c>
      <c r="D202" s="9"/>
      <c r="E202" s="220">
        <f>L183</f>
        <v>4062.3797701944786</v>
      </c>
      <c r="F202" s="193"/>
      <c r="G202" s="220">
        <f>L86</f>
        <v>139579.72</v>
      </c>
      <c r="H202" s="193">
        <f t="shared" si="13"/>
        <v>22722.28</v>
      </c>
      <c r="I202" s="193"/>
      <c r="J202" s="114"/>
      <c r="K202" s="9"/>
      <c r="S202" s="9"/>
    </row>
    <row r="203" spans="2:19" ht="15.75" x14ac:dyDescent="0.25">
      <c r="C203" s="215" t="s">
        <v>17</v>
      </c>
      <c r="E203" s="220">
        <f>M183</f>
        <v>-206454.24593897728</v>
      </c>
      <c r="F203" s="193"/>
      <c r="G203" s="220">
        <f>M86</f>
        <v>904287.59199999995</v>
      </c>
      <c r="H203" s="193">
        <f t="shared" si="13"/>
        <v>147209.60800000001</v>
      </c>
      <c r="I203" s="193"/>
      <c r="J203" s="114"/>
      <c r="K203" s="9"/>
      <c r="S203" s="9"/>
    </row>
    <row r="204" spans="2:19" ht="15.75" x14ac:dyDescent="0.25">
      <c r="C204" s="215" t="s">
        <v>18</v>
      </c>
      <c r="E204" s="220">
        <f>N183</f>
        <v>-26731.941248079234</v>
      </c>
      <c r="F204" s="193"/>
      <c r="G204" s="220">
        <f>N86</f>
        <v>190935.48</v>
      </c>
      <c r="H204" s="193">
        <f t="shared" si="13"/>
        <v>31082.520000000019</v>
      </c>
      <c r="I204" s="193"/>
      <c r="J204" s="114"/>
      <c r="K204" s="9"/>
      <c r="S204" s="9"/>
    </row>
    <row r="205" spans="2:19" ht="15.75" x14ac:dyDescent="0.25">
      <c r="C205" s="215" t="s">
        <v>19</v>
      </c>
      <c r="E205" s="220">
        <f>O183</f>
        <v>-77641.665548290577</v>
      </c>
      <c r="F205" s="193"/>
      <c r="G205" s="220">
        <f>O86</f>
        <v>965755.44699999993</v>
      </c>
      <c r="H205" s="193">
        <f t="shared" si="13"/>
        <v>157216.00300000003</v>
      </c>
      <c r="I205" s="193"/>
      <c r="J205" s="114"/>
      <c r="K205" s="9"/>
      <c r="S205" s="9"/>
    </row>
    <row r="206" spans="2:19" ht="15.75" x14ac:dyDescent="0.25">
      <c r="C206" s="215" t="s">
        <v>20</v>
      </c>
      <c r="E206" s="220">
        <f>P183</f>
        <v>6632.4633231812695</v>
      </c>
      <c r="F206" s="193"/>
      <c r="G206" s="220">
        <f>P86</f>
        <v>65054.7</v>
      </c>
      <c r="H206" s="193">
        <f t="shared" si="13"/>
        <v>10590.300000000003</v>
      </c>
      <c r="I206" s="193"/>
      <c r="J206" s="114"/>
      <c r="K206" s="9"/>
      <c r="S206" s="9"/>
    </row>
    <row r="207" spans="2:19" ht="15.75" x14ac:dyDescent="0.25">
      <c r="C207" s="215" t="s">
        <v>21</v>
      </c>
      <c r="E207" s="220">
        <f>Q183</f>
        <v>-55745.660985810406</v>
      </c>
      <c r="F207" s="193"/>
      <c r="G207" s="220">
        <f>Q86</f>
        <v>530255.35999999999</v>
      </c>
      <c r="H207" s="193">
        <f t="shared" si="13"/>
        <v>86320.640000000014</v>
      </c>
      <c r="I207" s="193"/>
      <c r="J207" s="114"/>
      <c r="K207" s="9"/>
      <c r="S207" s="9"/>
    </row>
    <row r="208" spans="2:19" ht="15.75" x14ac:dyDescent="0.25">
      <c r="C208" s="215" t="s">
        <v>22</v>
      </c>
      <c r="E208" s="220">
        <f>R183</f>
        <v>9962.0042828787518</v>
      </c>
      <c r="F208" s="193"/>
      <c r="G208" s="220">
        <f>R86</f>
        <v>253294.72500000001</v>
      </c>
      <c r="H208" s="193">
        <f t="shared" si="13"/>
        <v>41234.024999999994</v>
      </c>
      <c r="I208" s="193"/>
      <c r="J208" s="114"/>
      <c r="K208" s="9"/>
      <c r="S208" s="9"/>
    </row>
    <row r="209" spans="3:19" ht="16.5" thickBot="1" x14ac:dyDescent="0.3">
      <c r="C209" s="216" t="s">
        <v>23</v>
      </c>
      <c r="E209" s="221">
        <f>S183</f>
        <v>671802.31486007629</v>
      </c>
      <c r="F209" s="193"/>
      <c r="G209" s="221">
        <f>S86</f>
        <v>8072179.6009999998</v>
      </c>
      <c r="H209" s="193">
        <f t="shared" si="13"/>
        <v>1314075.7489999998</v>
      </c>
      <c r="I209" s="193"/>
      <c r="J209" s="114"/>
      <c r="K209" s="9"/>
      <c r="S209" s="9"/>
    </row>
    <row r="210" spans="3:19" ht="15.75" x14ac:dyDescent="0.25">
      <c r="D210" s="9"/>
      <c r="E210" s="222">
        <f>SUM(E194:E209)</f>
        <v>-1.1641532182693481E-9</v>
      </c>
      <c r="F210" s="222"/>
      <c r="G210" s="222">
        <f>SUM(G194:G209)</f>
        <v>17573387.791000001</v>
      </c>
      <c r="H210" s="222">
        <f t="shared" si="13"/>
        <v>2860784.0590000004</v>
      </c>
      <c r="I210" s="222"/>
      <c r="J210" s="6"/>
      <c r="K210" s="9"/>
      <c r="S210" s="9"/>
    </row>
    <row r="211" spans="3:19" x14ac:dyDescent="0.2">
      <c r="D211" s="9"/>
      <c r="E211" s="21"/>
      <c r="F211" s="9"/>
      <c r="G211" s="9"/>
      <c r="H211" s="9"/>
      <c r="I211" s="9"/>
      <c r="J211" s="9"/>
      <c r="K211" s="9"/>
      <c r="S211" s="9"/>
    </row>
    <row r="212" spans="3:19" x14ac:dyDescent="0.2">
      <c r="D212" s="9"/>
      <c r="E212" s="21"/>
      <c r="F212" s="9"/>
      <c r="G212" s="9"/>
      <c r="H212" s="9"/>
      <c r="I212" s="9"/>
      <c r="J212" s="9"/>
      <c r="K212" s="9"/>
      <c r="S212" s="9"/>
    </row>
    <row r="213" spans="3:19" x14ac:dyDescent="0.2">
      <c r="D213" s="9"/>
      <c r="E213" s="21"/>
      <c r="F213" s="9"/>
      <c r="G213" s="9"/>
      <c r="H213" s="9"/>
      <c r="I213" s="9"/>
      <c r="J213" s="9"/>
      <c r="K213" s="9"/>
      <c r="S213" s="9"/>
    </row>
    <row r="214" spans="3:19" x14ac:dyDescent="0.2">
      <c r="D214" s="9"/>
      <c r="E214" s="21"/>
      <c r="F214" s="9"/>
      <c r="G214" s="9"/>
      <c r="H214" s="9"/>
      <c r="I214" s="9"/>
      <c r="J214" s="9"/>
      <c r="K214" s="9"/>
      <c r="S214" s="9"/>
    </row>
    <row r="215" spans="3:19" x14ac:dyDescent="0.2">
      <c r="D215" s="9"/>
      <c r="E215" s="21"/>
      <c r="F215" s="9"/>
      <c r="G215" s="9"/>
      <c r="H215" s="9"/>
      <c r="I215" s="9"/>
      <c r="J215" s="9"/>
      <c r="S215" s="9"/>
    </row>
    <row r="216" spans="3:19" x14ac:dyDescent="0.2">
      <c r="D216" s="9"/>
      <c r="E216" s="21"/>
      <c r="F216" s="9"/>
      <c r="G216" s="9"/>
      <c r="H216" s="9"/>
      <c r="I216" s="9"/>
      <c r="J216" s="9"/>
      <c r="S216" s="9"/>
    </row>
    <row r="217" spans="3:19" x14ac:dyDescent="0.2">
      <c r="D217" s="9"/>
      <c r="E217" s="9"/>
      <c r="F217" s="9"/>
      <c r="G217" s="9"/>
      <c r="H217" s="9"/>
      <c r="I217" s="9"/>
      <c r="J217" s="9"/>
      <c r="S217" s="9"/>
    </row>
    <row r="218" spans="3:19" x14ac:dyDescent="0.2">
      <c r="D218" s="9"/>
      <c r="E218" s="36"/>
      <c r="F218" s="9"/>
      <c r="G218" s="9"/>
      <c r="H218" s="9"/>
      <c r="I218" s="9"/>
      <c r="J218" s="9"/>
      <c r="K218" s="9"/>
      <c r="L218" s="9"/>
      <c r="M218" s="9"/>
      <c r="N218" s="9"/>
      <c r="O218" s="9"/>
      <c r="S218" s="9"/>
    </row>
    <row r="219" spans="3:19" ht="15.75" x14ac:dyDescent="0.25">
      <c r="D219" s="9"/>
      <c r="E219" s="9"/>
      <c r="F219" s="9"/>
      <c r="G219" s="9"/>
      <c r="H219" s="9"/>
      <c r="I219" s="9"/>
      <c r="J219" s="9"/>
      <c r="K219" s="9"/>
      <c r="L219" s="9"/>
      <c r="M219" s="6"/>
      <c r="N219" s="9"/>
      <c r="O219" s="9"/>
      <c r="R219" s="9"/>
    </row>
    <row r="220" spans="3:19" x14ac:dyDescent="0.2">
      <c r="D220" s="9"/>
      <c r="E220" s="9"/>
      <c r="F220" s="9"/>
      <c r="G220" s="9"/>
      <c r="H220" s="194"/>
      <c r="I220" s="194"/>
      <c r="J220" s="194"/>
      <c r="K220" s="195"/>
      <c r="L220" s="194"/>
      <c r="M220" s="194"/>
      <c r="N220" s="194"/>
      <c r="O220" s="9"/>
      <c r="R220" s="9"/>
    </row>
    <row r="221" spans="3:19" ht="15.75" x14ac:dyDescent="0.25">
      <c r="D221" s="9"/>
      <c r="E221" s="9"/>
      <c r="F221" s="9"/>
      <c r="G221" s="114"/>
      <c r="H221" s="193"/>
      <c r="I221" s="96"/>
      <c r="J221" s="193"/>
      <c r="K221" s="193"/>
      <c r="L221" s="194"/>
      <c r="M221" s="196"/>
      <c r="N221" s="194"/>
      <c r="O221" s="9"/>
      <c r="R221" s="9"/>
    </row>
    <row r="222" spans="3:19" ht="15.75" x14ac:dyDescent="0.25">
      <c r="F222" s="9"/>
      <c r="G222" s="37"/>
      <c r="H222" s="193"/>
      <c r="I222" s="194"/>
      <c r="J222" s="193"/>
      <c r="K222" s="193"/>
      <c r="L222" s="194"/>
      <c r="M222" s="196"/>
      <c r="N222" s="194"/>
      <c r="O222" s="9"/>
    </row>
    <row r="223" spans="3:19" ht="15.75" x14ac:dyDescent="0.25">
      <c r="F223" s="9"/>
      <c r="G223" s="37"/>
      <c r="H223" s="193"/>
      <c r="I223" s="194"/>
      <c r="J223" s="193"/>
      <c r="K223" s="193"/>
      <c r="L223" s="194"/>
      <c r="M223" s="196"/>
      <c r="N223" s="194"/>
      <c r="O223" s="9"/>
    </row>
    <row r="224" spans="3:19" ht="15.75" x14ac:dyDescent="0.25">
      <c r="F224" s="9"/>
      <c r="G224" s="197"/>
      <c r="H224" s="193"/>
      <c r="I224" s="194"/>
      <c r="J224" s="193"/>
      <c r="K224" s="193"/>
      <c r="L224" s="194"/>
      <c r="M224" s="196"/>
      <c r="N224" s="194"/>
      <c r="O224" s="9"/>
    </row>
    <row r="225" spans="4:15" ht="15.75" x14ac:dyDescent="0.25">
      <c r="F225" s="9"/>
      <c r="G225" s="197"/>
      <c r="H225" s="193"/>
      <c r="I225" s="194"/>
      <c r="J225" s="193"/>
      <c r="K225" s="193"/>
      <c r="L225" s="194"/>
      <c r="M225" s="196"/>
      <c r="N225" s="194"/>
      <c r="O225" s="9"/>
    </row>
    <row r="226" spans="4:15" ht="15.75" x14ac:dyDescent="0.25">
      <c r="F226" s="9"/>
      <c r="G226" s="37"/>
      <c r="H226" s="193"/>
      <c r="I226" s="194"/>
      <c r="J226" s="193"/>
      <c r="K226" s="193"/>
      <c r="L226" s="194"/>
      <c r="M226" s="196"/>
      <c r="N226" s="194"/>
      <c r="O226" s="9"/>
    </row>
    <row r="227" spans="4:15" ht="15.75" x14ac:dyDescent="0.25">
      <c r="F227" s="9"/>
      <c r="G227" s="37"/>
      <c r="H227" s="193"/>
      <c r="I227" s="194"/>
      <c r="J227" s="193"/>
      <c r="K227" s="193"/>
      <c r="L227" s="194"/>
      <c r="M227" s="196"/>
      <c r="N227" s="194"/>
      <c r="O227" s="9"/>
    </row>
    <row r="228" spans="4:15" ht="15.75" x14ac:dyDescent="0.25">
      <c r="F228" s="9"/>
      <c r="G228" s="197"/>
      <c r="H228" s="193"/>
      <c r="I228" s="194"/>
      <c r="J228" s="193"/>
      <c r="K228" s="193"/>
      <c r="L228" s="194"/>
      <c r="M228" s="196"/>
      <c r="N228" s="194"/>
      <c r="O228" s="9"/>
    </row>
    <row r="229" spans="4:15" ht="15.75" x14ac:dyDescent="0.25">
      <c r="F229" s="9"/>
      <c r="G229" s="197"/>
      <c r="H229" s="193"/>
      <c r="I229" s="194"/>
      <c r="J229" s="193"/>
      <c r="K229" s="193"/>
      <c r="L229" s="194"/>
      <c r="M229" s="196"/>
      <c r="N229" s="194"/>
      <c r="O229" s="9"/>
    </row>
    <row r="230" spans="4:15" ht="15.75" x14ac:dyDescent="0.25">
      <c r="F230" s="9"/>
      <c r="G230" s="37"/>
      <c r="H230" s="193"/>
      <c r="I230" s="194"/>
      <c r="J230" s="193"/>
      <c r="K230" s="193"/>
      <c r="L230" s="194"/>
      <c r="M230" s="196"/>
      <c r="N230" s="194"/>
      <c r="O230" s="9"/>
    </row>
    <row r="231" spans="4:15" ht="15.75" x14ac:dyDescent="0.25">
      <c r="F231" s="9"/>
      <c r="G231" s="37"/>
      <c r="H231" s="193"/>
      <c r="I231" s="194"/>
      <c r="J231" s="193"/>
      <c r="K231" s="193"/>
      <c r="L231" s="194"/>
      <c r="M231" s="196"/>
      <c r="N231" s="194"/>
      <c r="O231" s="9"/>
    </row>
    <row r="232" spans="4:15" ht="15.75" x14ac:dyDescent="0.25">
      <c r="F232" s="9"/>
      <c r="G232" s="37"/>
      <c r="H232" s="193"/>
      <c r="I232" s="194"/>
      <c r="J232" s="193"/>
      <c r="K232" s="193"/>
      <c r="L232" s="194"/>
      <c r="M232" s="196"/>
      <c r="N232" s="194"/>
      <c r="O232" s="9"/>
    </row>
    <row r="233" spans="4:15" ht="15.75" x14ac:dyDescent="0.25">
      <c r="F233" s="9"/>
      <c r="G233" s="197"/>
      <c r="H233" s="193"/>
      <c r="I233" s="194"/>
      <c r="J233" s="193"/>
      <c r="K233" s="193"/>
      <c r="L233" s="194"/>
      <c r="M233" s="196"/>
      <c r="N233" s="194"/>
      <c r="O233" s="9"/>
    </row>
    <row r="234" spans="4:15" ht="15.75" x14ac:dyDescent="0.25">
      <c r="F234" s="9"/>
      <c r="G234" s="37"/>
      <c r="H234" s="193"/>
      <c r="I234" s="194"/>
      <c r="J234" s="193"/>
      <c r="K234" s="193"/>
      <c r="L234" s="194"/>
      <c r="M234" s="196"/>
      <c r="N234" s="194"/>
      <c r="O234" s="9"/>
    </row>
    <row r="235" spans="4:15" ht="15.75" x14ac:dyDescent="0.25">
      <c r="F235" s="9"/>
      <c r="G235" s="197"/>
      <c r="H235" s="193"/>
      <c r="I235" s="194"/>
      <c r="J235" s="193"/>
      <c r="K235" s="193"/>
      <c r="L235" s="194"/>
      <c r="M235" s="196"/>
      <c r="N235" s="194"/>
      <c r="O235" s="9"/>
    </row>
    <row r="236" spans="4:15" ht="15.75" x14ac:dyDescent="0.25">
      <c r="F236" s="9"/>
      <c r="G236" s="37"/>
      <c r="H236" s="193"/>
      <c r="I236" s="194"/>
      <c r="J236" s="193"/>
      <c r="K236" s="193"/>
      <c r="L236" s="194"/>
      <c r="M236" s="196"/>
      <c r="N236" s="194"/>
      <c r="O236" s="9"/>
    </row>
    <row r="237" spans="4:15" ht="15.75" x14ac:dyDescent="0.25">
      <c r="F237" s="9"/>
      <c r="G237" s="9"/>
      <c r="H237" s="222"/>
      <c r="I237" s="6"/>
      <c r="J237" s="222"/>
      <c r="K237" s="222"/>
      <c r="L237" s="6"/>
      <c r="M237" s="6"/>
      <c r="N237" s="6"/>
      <c r="O237" s="9"/>
    </row>
    <row r="238" spans="4:15" x14ac:dyDescent="0.2">
      <c r="F238" s="9"/>
      <c r="G238" s="9"/>
      <c r="H238" s="9"/>
      <c r="I238" s="9"/>
      <c r="J238" s="9"/>
      <c r="K238" s="9"/>
      <c r="L238" s="9"/>
      <c r="M238" s="9"/>
      <c r="N238" s="9"/>
      <c r="O238" s="9"/>
    </row>
    <row r="239" spans="4:15" x14ac:dyDescent="0.2">
      <c r="E239" s="119"/>
      <c r="F239" s="117"/>
      <c r="G239" s="117"/>
      <c r="H239" s="9"/>
      <c r="I239" s="9"/>
      <c r="J239" s="9"/>
      <c r="K239" s="9"/>
      <c r="L239" s="9"/>
      <c r="M239" s="9"/>
      <c r="N239" s="9"/>
      <c r="O239" s="9"/>
    </row>
    <row r="240" spans="4:15" x14ac:dyDescent="0.2">
      <c r="D240" s="116"/>
      <c r="E240" s="116"/>
      <c r="F240" s="116"/>
      <c r="G240" s="116"/>
      <c r="H240" s="116"/>
      <c r="I240" s="116"/>
      <c r="J240" s="116"/>
      <c r="K240" s="116"/>
      <c r="L240" s="9"/>
      <c r="M240" s="9"/>
      <c r="N240" s="9"/>
      <c r="O240" s="9"/>
    </row>
    <row r="241" spans="6:15" ht="15.75" x14ac:dyDescent="0.25">
      <c r="F241" s="9"/>
      <c r="G241" s="9"/>
      <c r="H241" s="9"/>
      <c r="I241" s="150"/>
      <c r="J241" s="184"/>
      <c r="K241" s="9"/>
      <c r="L241" s="9"/>
      <c r="M241" s="9"/>
      <c r="N241" s="9"/>
      <c r="O241" s="9"/>
    </row>
    <row r="242" spans="6:15" ht="15.75" x14ac:dyDescent="0.25">
      <c r="F242" s="9"/>
      <c r="G242" s="9"/>
      <c r="H242" s="9"/>
      <c r="I242" s="150"/>
      <c r="J242" s="184"/>
      <c r="K242" s="9"/>
      <c r="L242" s="9"/>
      <c r="M242" s="9"/>
      <c r="N242" s="9"/>
      <c r="O242" s="9"/>
    </row>
    <row r="243" spans="6:15" x14ac:dyDescent="0.2">
      <c r="F243" s="9"/>
      <c r="G243" s="9"/>
      <c r="H243" s="9"/>
      <c r="I243" s="9"/>
      <c r="J243" s="9"/>
      <c r="K243" s="9"/>
      <c r="L243" s="9"/>
      <c r="M243" s="9"/>
      <c r="N243" s="9"/>
      <c r="O243" s="9"/>
    </row>
    <row r="244" spans="6:15" x14ac:dyDescent="0.2">
      <c r="I244" s="1" t="s">
        <v>86</v>
      </c>
    </row>
  </sheetData>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1"/>
  <sheetViews>
    <sheetView topLeftCell="A130" zoomScale="70" zoomScaleNormal="70" workbookViewId="0">
      <selection activeCell="B9" sqref="B9"/>
    </sheetView>
  </sheetViews>
  <sheetFormatPr defaultColWidth="8.88671875" defaultRowHeight="15" x14ac:dyDescent="0.2"/>
  <cols>
    <col min="1" max="16384" width="8.88671875" style="1"/>
  </cols>
  <sheetData>
    <row r="1" spans="1:1" x14ac:dyDescent="0.2">
      <c r="A1" s="1" t="s">
        <v>160</v>
      </c>
    </row>
    <row r="52" spans="2:3" x14ac:dyDescent="0.2">
      <c r="B52" s="1" t="s">
        <v>155</v>
      </c>
      <c r="C52" s="1" t="s">
        <v>161</v>
      </c>
    </row>
    <row r="53" spans="2:3" x14ac:dyDescent="0.2">
      <c r="B53" s="1">
        <v>43</v>
      </c>
      <c r="C53" s="1">
        <v>17000</v>
      </c>
    </row>
    <row r="54" spans="2:3" x14ac:dyDescent="0.2">
      <c r="B54" s="1">
        <v>93</v>
      </c>
      <c r="C54" s="1">
        <v>12784.946236559139</v>
      </c>
    </row>
    <row r="55" spans="2:3" x14ac:dyDescent="0.2">
      <c r="B55" s="1">
        <v>316</v>
      </c>
      <c r="C55" s="1">
        <v>11370.253164556962</v>
      </c>
    </row>
    <row r="56" spans="2:3" x14ac:dyDescent="0.2">
      <c r="B56" s="1">
        <v>58</v>
      </c>
      <c r="C56" s="1">
        <v>16844.827586206895</v>
      </c>
    </row>
    <row r="57" spans="2:3" x14ac:dyDescent="0.2">
      <c r="B57" s="1">
        <v>53</v>
      </c>
      <c r="C57" s="1">
        <v>14320.754716981131</v>
      </c>
    </row>
    <row r="58" spans="2:3" x14ac:dyDescent="0.2">
      <c r="B58" s="1">
        <v>196</v>
      </c>
      <c r="C58" s="1">
        <v>11204.081632653062</v>
      </c>
    </row>
    <row r="59" spans="2:3" x14ac:dyDescent="0.2">
      <c r="B59" s="1">
        <v>604</v>
      </c>
      <c r="C59" s="1">
        <v>9802.9801324503314</v>
      </c>
    </row>
    <row r="60" spans="2:3" x14ac:dyDescent="0.2">
      <c r="B60" s="1">
        <v>22</v>
      </c>
      <c r="C60" s="1">
        <v>24409.090909090908</v>
      </c>
    </row>
    <row r="61" spans="2:3" x14ac:dyDescent="0.2">
      <c r="B61" s="1">
        <v>26</v>
      </c>
      <c r="C61" s="1">
        <v>19384.615384615383</v>
      </c>
    </row>
    <row r="62" spans="2:3" x14ac:dyDescent="0.2">
      <c r="B62" s="1">
        <v>262</v>
      </c>
      <c r="C62" s="1">
        <v>12851.145038167939</v>
      </c>
    </row>
    <row r="63" spans="2:3" x14ac:dyDescent="0.2">
      <c r="B63" s="1">
        <v>55</v>
      </c>
      <c r="C63" s="1">
        <v>14000</v>
      </c>
    </row>
    <row r="64" spans="2:3" x14ac:dyDescent="0.2">
      <c r="B64" s="1">
        <v>220</v>
      </c>
      <c r="C64" s="1">
        <v>10977.272727272728</v>
      </c>
    </row>
    <row r="65" spans="2:3" x14ac:dyDescent="0.2">
      <c r="B65" s="1">
        <v>3</v>
      </c>
      <c r="C65" s="1">
        <v>52000</v>
      </c>
    </row>
    <row r="66" spans="2:3" x14ac:dyDescent="0.2">
      <c r="B66" s="1">
        <v>119</v>
      </c>
      <c r="C66" s="1">
        <v>11773.10924369748</v>
      </c>
    </row>
    <row r="67" spans="2:3" x14ac:dyDescent="0.2">
      <c r="B67" s="1">
        <v>50</v>
      </c>
      <c r="C67" s="1">
        <v>13600</v>
      </c>
    </row>
    <row r="68" spans="2:3" x14ac:dyDescent="0.2">
      <c r="B68" s="1">
        <v>1086</v>
      </c>
      <c r="C68" s="1">
        <v>9083.7937384898705</v>
      </c>
    </row>
    <row r="69" spans="2:3" x14ac:dyDescent="0.2">
      <c r="B69" s="1">
        <v>42</v>
      </c>
      <c r="C69" s="1">
        <v>18428.571428571428</v>
      </c>
    </row>
    <row r="70" spans="2:3" x14ac:dyDescent="0.2">
      <c r="B70" s="1">
        <v>84</v>
      </c>
      <c r="C70" s="1">
        <v>14202.380952380952</v>
      </c>
    </row>
    <row r="71" spans="2:3" x14ac:dyDescent="0.2">
      <c r="B71" s="1">
        <v>313</v>
      </c>
      <c r="C71" s="1">
        <v>11217.252396166134</v>
      </c>
    </row>
    <row r="72" spans="2:3" x14ac:dyDescent="0.2">
      <c r="B72" s="1">
        <v>63</v>
      </c>
      <c r="C72" s="1">
        <v>16380.952380952382</v>
      </c>
    </row>
    <row r="73" spans="2:3" x14ac:dyDescent="0.2">
      <c r="B73" s="1">
        <v>52</v>
      </c>
      <c r="C73" s="1">
        <v>13000</v>
      </c>
    </row>
    <row r="74" spans="2:3" x14ac:dyDescent="0.2">
      <c r="B74" s="1">
        <v>181</v>
      </c>
      <c r="C74" s="1">
        <v>11486.187845303868</v>
      </c>
    </row>
    <row r="75" spans="2:3" x14ac:dyDescent="0.2">
      <c r="B75" s="1">
        <v>581</v>
      </c>
      <c r="C75" s="1">
        <v>10037.865748709122</v>
      </c>
    </row>
    <row r="76" spans="2:3" x14ac:dyDescent="0.2">
      <c r="B76" s="1">
        <v>24</v>
      </c>
      <c r="C76" s="1">
        <v>26041.666666666668</v>
      </c>
    </row>
    <row r="77" spans="2:3" x14ac:dyDescent="0.2">
      <c r="B77" s="1">
        <v>26</v>
      </c>
      <c r="C77" s="1">
        <v>21230.76923076923</v>
      </c>
    </row>
    <row r="78" spans="2:3" x14ac:dyDescent="0.2">
      <c r="B78" s="1">
        <v>273</v>
      </c>
      <c r="C78" s="1">
        <v>11465.201465201466</v>
      </c>
    </row>
    <row r="79" spans="2:3" x14ac:dyDescent="0.2">
      <c r="B79" s="1">
        <v>48</v>
      </c>
      <c r="C79" s="1">
        <v>14854.166666666666</v>
      </c>
    </row>
    <row r="80" spans="2:3" x14ac:dyDescent="0.2">
      <c r="B80" s="1">
        <v>214</v>
      </c>
      <c r="C80" s="1">
        <v>11630.841121495327</v>
      </c>
    </row>
    <row r="81" spans="2:3" x14ac:dyDescent="0.2">
      <c r="B81" s="1">
        <v>8</v>
      </c>
      <c r="C81" s="1">
        <v>23625</v>
      </c>
    </row>
    <row r="82" spans="2:3" x14ac:dyDescent="0.2">
      <c r="B82" s="1">
        <v>109</v>
      </c>
      <c r="C82" s="1">
        <v>12256.880733944954</v>
      </c>
    </row>
    <row r="83" spans="2:3" x14ac:dyDescent="0.2">
      <c r="B83" s="1">
        <v>45</v>
      </c>
      <c r="C83" s="1">
        <v>15333.333333333334</v>
      </c>
    </row>
    <row r="84" spans="2:3" x14ac:dyDescent="0.2">
      <c r="B84" s="1">
        <v>1102</v>
      </c>
      <c r="C84" s="1">
        <v>8507.2595281306712</v>
      </c>
    </row>
    <row r="85" spans="2:3" x14ac:dyDescent="0.2">
      <c r="B85" s="1">
        <v>46</v>
      </c>
      <c r="C85" s="1">
        <v>16260.869565217392</v>
      </c>
    </row>
    <row r="86" spans="2:3" x14ac:dyDescent="0.2">
      <c r="B86" s="1">
        <v>89</v>
      </c>
      <c r="C86" s="1">
        <v>13786.516853932584</v>
      </c>
    </row>
    <row r="87" spans="2:3" x14ac:dyDescent="0.2">
      <c r="B87" s="1">
        <v>318</v>
      </c>
      <c r="C87" s="1">
        <v>11044.025157232705</v>
      </c>
    </row>
    <row r="88" spans="2:3" x14ac:dyDescent="0.2">
      <c r="B88" s="1">
        <v>65</v>
      </c>
      <c r="C88" s="1">
        <v>14646.153846153846</v>
      </c>
    </row>
    <row r="89" spans="2:3" x14ac:dyDescent="0.2">
      <c r="B89" s="1">
        <v>50</v>
      </c>
      <c r="C89" s="1">
        <v>14420</v>
      </c>
    </row>
    <row r="90" spans="2:3" x14ac:dyDescent="0.2">
      <c r="B90" s="1">
        <v>173</v>
      </c>
      <c r="C90" s="1">
        <v>11560.693641618496</v>
      </c>
    </row>
    <row r="91" spans="2:3" x14ac:dyDescent="0.2">
      <c r="B91" s="1">
        <v>565</v>
      </c>
      <c r="C91" s="1">
        <v>9378.7610619469033</v>
      </c>
    </row>
    <row r="92" spans="2:3" x14ac:dyDescent="0.2">
      <c r="B92" s="1">
        <v>33</v>
      </c>
      <c r="C92" s="1">
        <v>17606.060606060608</v>
      </c>
    </row>
    <row r="93" spans="2:3" x14ac:dyDescent="0.2">
      <c r="B93" s="1">
        <v>30</v>
      </c>
      <c r="C93" s="1">
        <v>15666.666666666666</v>
      </c>
    </row>
    <row r="94" spans="2:3" x14ac:dyDescent="0.2">
      <c r="B94" s="1">
        <v>275</v>
      </c>
      <c r="C94" s="1">
        <v>10960</v>
      </c>
    </row>
    <row r="95" spans="2:3" x14ac:dyDescent="0.2">
      <c r="B95" s="1">
        <v>51</v>
      </c>
      <c r="C95" s="1">
        <v>12078.431372549019</v>
      </c>
    </row>
    <row r="96" spans="2:3" x14ac:dyDescent="0.2">
      <c r="B96" s="1">
        <v>208</v>
      </c>
      <c r="C96" s="1">
        <v>11298.076923076924</v>
      </c>
    </row>
    <row r="98" spans="2:3" x14ac:dyDescent="0.2">
      <c r="B98" s="1">
        <v>8</v>
      </c>
      <c r="C98" s="1">
        <v>27125</v>
      </c>
    </row>
    <row r="99" spans="2:3" x14ac:dyDescent="0.2">
      <c r="B99" s="1">
        <v>103</v>
      </c>
      <c r="C99" s="1">
        <v>13349.514563106795</v>
      </c>
    </row>
    <row r="100" spans="2:3" x14ac:dyDescent="0.2">
      <c r="B100" s="1">
        <v>44</v>
      </c>
      <c r="C100" s="1">
        <v>15568.181818181818</v>
      </c>
    </row>
    <row r="101" spans="2:3" x14ac:dyDescent="0.2">
      <c r="B101" s="1">
        <v>1080</v>
      </c>
      <c r="C101" s="1">
        <v>8507.4074074074069</v>
      </c>
    </row>
    <row r="102" spans="2:3" x14ac:dyDescent="0.2">
      <c r="B102" s="1">
        <v>48</v>
      </c>
      <c r="C102" s="1">
        <v>15812.5</v>
      </c>
    </row>
    <row r="103" spans="2:3" x14ac:dyDescent="0.2">
      <c r="B103" s="1">
        <v>93</v>
      </c>
      <c r="C103" s="1">
        <v>13236.559139784946</v>
      </c>
    </row>
    <row r="105" spans="2:3" x14ac:dyDescent="0.2">
      <c r="B105" s="1">
        <v>309</v>
      </c>
      <c r="C105" s="1">
        <v>11116.504854368932</v>
      </c>
    </row>
    <row r="107" spans="2:3" x14ac:dyDescent="0.2">
      <c r="B107" s="1">
        <v>65</v>
      </c>
      <c r="C107" s="1">
        <v>14384.615384615385</v>
      </c>
    </row>
    <row r="108" spans="2:3" x14ac:dyDescent="0.2">
      <c r="B108" s="1">
        <v>42</v>
      </c>
      <c r="C108" s="1">
        <v>16285.714285714286</v>
      </c>
    </row>
    <row r="109" spans="2:3" x14ac:dyDescent="0.2">
      <c r="B109" s="1">
        <v>172</v>
      </c>
      <c r="C109" s="1">
        <v>11145.348837209302</v>
      </c>
    </row>
    <row r="110" spans="2:3" x14ac:dyDescent="0.2">
      <c r="B110" s="1">
        <v>541</v>
      </c>
      <c r="C110" s="1">
        <v>9101.6635859519411</v>
      </c>
    </row>
    <row r="111" spans="2:3" x14ac:dyDescent="0.2">
      <c r="B111" s="1">
        <v>29</v>
      </c>
      <c r="C111" s="1">
        <v>19000</v>
      </c>
    </row>
    <row r="112" spans="2:3" x14ac:dyDescent="0.2">
      <c r="B112" s="1">
        <v>28</v>
      </c>
      <c r="C112" s="1">
        <v>17678.571428571428</v>
      </c>
    </row>
    <row r="113" spans="2:3" x14ac:dyDescent="0.2">
      <c r="B113" s="1">
        <v>284</v>
      </c>
      <c r="C113" s="1">
        <v>10052.816901408451</v>
      </c>
    </row>
    <row r="116" spans="2:3" x14ac:dyDescent="0.2">
      <c r="B116" s="1">
        <v>50</v>
      </c>
      <c r="C116" s="1">
        <v>13320</v>
      </c>
    </row>
    <row r="117" spans="2:3" x14ac:dyDescent="0.2">
      <c r="B117" s="1">
        <v>217</v>
      </c>
      <c r="C117" s="1">
        <v>10479.262672811059</v>
      </c>
    </row>
    <row r="118" spans="2:3" x14ac:dyDescent="0.2">
      <c r="B118" s="1">
        <v>14</v>
      </c>
      <c r="C118" s="1">
        <v>21000</v>
      </c>
    </row>
    <row r="119" spans="2:3" x14ac:dyDescent="0.2">
      <c r="B119" s="1">
        <v>113</v>
      </c>
      <c r="C119" s="1">
        <v>12601.769911504425</v>
      </c>
    </row>
    <row r="120" spans="2:3" x14ac:dyDescent="0.2">
      <c r="B120" s="1">
        <v>49</v>
      </c>
      <c r="C120" s="1">
        <v>13408.163265306122</v>
      </c>
    </row>
    <row r="121" spans="2:3" x14ac:dyDescent="0.2">
      <c r="B121" s="1">
        <v>1117</v>
      </c>
      <c r="C121" s="1">
        <v>8142.3455684870187</v>
      </c>
    </row>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2:V58"/>
  <sheetViews>
    <sheetView topLeftCell="D1" zoomScale="85" zoomScaleNormal="85" workbookViewId="0">
      <selection activeCell="L28" sqref="L28"/>
    </sheetView>
  </sheetViews>
  <sheetFormatPr defaultColWidth="8.88671875" defaultRowHeight="15" x14ac:dyDescent="0.2"/>
  <cols>
    <col min="1" max="1" width="6.44140625" style="1" customWidth="1"/>
    <col min="2" max="2" width="5.88671875" style="1" customWidth="1"/>
    <col min="3" max="3" width="12.88671875" style="1" customWidth="1"/>
    <col min="4" max="4" width="13.21875" style="1" customWidth="1"/>
    <col min="5" max="5" width="14.33203125" style="1" customWidth="1"/>
    <col min="6" max="6" width="12.5546875" style="1" customWidth="1"/>
    <col min="7" max="17" width="8.88671875" style="1"/>
    <col min="18" max="18" width="7.109375" style="1" customWidth="1"/>
    <col min="19" max="19" width="6.6640625" style="1" customWidth="1"/>
    <col min="20" max="20" width="8.88671875" style="1"/>
    <col min="21" max="21" width="9.21875" style="1" customWidth="1"/>
    <col min="22" max="16384" width="8.88671875" style="1"/>
  </cols>
  <sheetData>
    <row r="22" spans="3:22" ht="20.25" thickBot="1" x14ac:dyDescent="0.35">
      <c r="C22" s="120" t="s">
        <v>162</v>
      </c>
      <c r="D22" s="120"/>
      <c r="E22" s="120"/>
      <c r="F22" s="120"/>
      <c r="G22" s="120"/>
    </row>
    <row r="23" spans="3:22" ht="15.75" thickTop="1" x14ac:dyDescent="0.2"/>
    <row r="25" spans="3:22" ht="15.75" x14ac:dyDescent="0.25">
      <c r="C25" s="5"/>
      <c r="D25" s="5"/>
      <c r="E25" s="5"/>
      <c r="F25" s="23" t="s">
        <v>149</v>
      </c>
      <c r="G25" s="23"/>
      <c r="H25" s="23"/>
      <c r="I25" s="23"/>
      <c r="J25" s="23"/>
      <c r="K25" s="23"/>
      <c r="L25" s="23"/>
      <c r="M25" s="23"/>
      <c r="N25" s="23"/>
      <c r="O25" s="23"/>
      <c r="P25" s="23"/>
      <c r="Q25" s="23"/>
      <c r="R25" s="23"/>
      <c r="S25" s="23"/>
      <c r="T25" s="23"/>
      <c r="U25" s="23"/>
      <c r="V25" s="23"/>
    </row>
    <row r="26" spans="3:22" ht="16.5" thickBot="1" x14ac:dyDescent="0.3">
      <c r="C26" s="282"/>
      <c r="D26" s="282"/>
      <c r="E26" s="282"/>
      <c r="F26" s="282" t="s">
        <v>8</v>
      </c>
      <c r="G26" s="282" t="s">
        <v>9</v>
      </c>
      <c r="H26" s="282" t="s">
        <v>10</v>
      </c>
      <c r="I26" s="282" t="s">
        <v>11</v>
      </c>
      <c r="J26" s="282" t="s">
        <v>12</v>
      </c>
      <c r="K26" s="282" t="s">
        <v>13</v>
      </c>
      <c r="L26" s="282" t="s">
        <v>14</v>
      </c>
      <c r="M26" s="282" t="s">
        <v>15</v>
      </c>
      <c r="N26" s="282" t="s">
        <v>16</v>
      </c>
      <c r="O26" s="282" t="s">
        <v>17</v>
      </c>
      <c r="P26" s="283" t="s">
        <v>18</v>
      </c>
      <c r="Q26" s="282" t="s">
        <v>19</v>
      </c>
      <c r="R26" s="282" t="s">
        <v>20</v>
      </c>
      <c r="S26" s="282" t="s">
        <v>21</v>
      </c>
      <c r="T26" s="282" t="s">
        <v>22</v>
      </c>
      <c r="U26" s="282" t="s">
        <v>23</v>
      </c>
      <c r="V26" s="282" t="s">
        <v>24</v>
      </c>
    </row>
    <row r="27" spans="3:22" ht="15.75" x14ac:dyDescent="0.25">
      <c r="C27" s="5">
        <v>2013</v>
      </c>
      <c r="D27" s="5" t="s">
        <v>163</v>
      </c>
      <c r="E27" s="5">
        <v>42180</v>
      </c>
      <c r="F27" s="284"/>
      <c r="G27" s="285">
        <f>7/12</f>
        <v>0.58333333333333337</v>
      </c>
      <c r="H27" s="285">
        <v>5</v>
      </c>
      <c r="I27" s="285"/>
      <c r="J27" s="285">
        <v>2</v>
      </c>
      <c r="K27" s="285">
        <v>3</v>
      </c>
      <c r="L27" s="285">
        <f>2*7/12+5*1/12</f>
        <v>1.5833333333333335</v>
      </c>
      <c r="M27" s="285"/>
      <c r="N27" s="285"/>
      <c r="O27" s="285">
        <v>1</v>
      </c>
      <c r="P27" s="285"/>
      <c r="Q27" s="285">
        <f>7/12</f>
        <v>0.58333333333333337</v>
      </c>
      <c r="R27" s="285"/>
      <c r="S27" s="285"/>
      <c r="T27" s="285">
        <f>5/12</f>
        <v>0.41666666666666669</v>
      </c>
      <c r="U27" s="285">
        <f>8*7/12+9*5/12</f>
        <v>8.4166666666666679</v>
      </c>
      <c r="V27" s="289">
        <f>SUM(F27:U27)</f>
        <v>22.583333333333336</v>
      </c>
    </row>
    <row r="28" spans="3:22" ht="15.75" x14ac:dyDescent="0.25">
      <c r="C28" s="5">
        <v>2012</v>
      </c>
      <c r="D28" s="5" t="s">
        <v>151</v>
      </c>
      <c r="E28" s="5">
        <v>38684</v>
      </c>
      <c r="F28" s="284"/>
      <c r="G28" s="285">
        <v>1</v>
      </c>
      <c r="H28" s="285">
        <f>(7*7+5*5)/12</f>
        <v>6.166666666666667</v>
      </c>
      <c r="I28" s="285"/>
      <c r="J28" s="285">
        <v>2</v>
      </c>
      <c r="K28" s="285">
        <v>3</v>
      </c>
      <c r="L28" s="285">
        <f>(3*7+2*5)/12</f>
        <v>2.5833333333333335</v>
      </c>
      <c r="M28" s="285"/>
      <c r="N28" s="285"/>
      <c r="O28" s="285">
        <v>1</v>
      </c>
      <c r="P28" s="285"/>
      <c r="Q28" s="285">
        <f>(2*7+1*5)/12</f>
        <v>1.5833333333333333</v>
      </c>
      <c r="R28" s="285"/>
      <c r="S28" s="285"/>
      <c r="T28" s="285">
        <f>7/12</f>
        <v>0.58333333333333337</v>
      </c>
      <c r="U28" s="285">
        <f>(9*7+8*5)/12</f>
        <v>8.5833333333333339</v>
      </c>
      <c r="V28" s="289">
        <f>SUM(F28:U28)</f>
        <v>26.5</v>
      </c>
    </row>
    <row r="29" spans="3:22" ht="15.75" x14ac:dyDescent="0.25">
      <c r="C29" s="5">
        <v>2011</v>
      </c>
      <c r="D29" s="5" t="s">
        <v>151</v>
      </c>
      <c r="E29" s="5">
        <v>32124</v>
      </c>
      <c r="F29" s="284"/>
      <c r="G29" s="285">
        <v>1.5833333333333333</v>
      </c>
      <c r="H29" s="285">
        <v>7.583333333333333</v>
      </c>
      <c r="I29" s="285"/>
      <c r="J29" s="285">
        <v>2.5833333333333335</v>
      </c>
      <c r="K29" s="285">
        <v>2.4166666666666665</v>
      </c>
      <c r="L29" s="285">
        <v>3</v>
      </c>
      <c r="M29" s="285"/>
      <c r="N29" s="285"/>
      <c r="O29" s="285">
        <v>1</v>
      </c>
      <c r="P29" s="285"/>
      <c r="Q29" s="285">
        <v>2</v>
      </c>
      <c r="R29" s="285"/>
      <c r="S29" s="285"/>
      <c r="T29" s="285">
        <v>0.41666666666666669</v>
      </c>
      <c r="U29" s="285">
        <v>9</v>
      </c>
      <c r="V29" s="289">
        <f>SUM(F29:U29)</f>
        <v>29.583333333333332</v>
      </c>
    </row>
    <row r="30" spans="3:22" ht="15.75" x14ac:dyDescent="0.25">
      <c r="C30" s="5">
        <v>2010</v>
      </c>
      <c r="D30" s="5" t="s">
        <v>151</v>
      </c>
      <c r="E30" s="5">
        <v>29298</v>
      </c>
      <c r="G30" s="285">
        <v>2</v>
      </c>
      <c r="H30" s="285">
        <v>7.4166666666666661</v>
      </c>
      <c r="I30" s="285"/>
      <c r="J30" s="285">
        <v>3</v>
      </c>
      <c r="K30" s="285">
        <v>2</v>
      </c>
      <c r="L30" s="285">
        <v>3</v>
      </c>
      <c r="M30" s="285"/>
      <c r="N30" s="285"/>
      <c r="O30" s="285">
        <v>1</v>
      </c>
      <c r="P30" s="285"/>
      <c r="Q30" s="285">
        <v>2</v>
      </c>
      <c r="R30" s="285"/>
      <c r="S30" s="285"/>
      <c r="T30" s="285"/>
      <c r="U30" s="285">
        <v>10.75</v>
      </c>
      <c r="V30" s="289">
        <f>SUM(F30:U30)</f>
        <v>31.166666666666664</v>
      </c>
    </row>
    <row r="35" spans="5:11" ht="15.75" x14ac:dyDescent="0.25">
      <c r="E35" s="290" t="s">
        <v>164</v>
      </c>
      <c r="F35" s="224"/>
      <c r="G35" s="224"/>
      <c r="H35" s="224"/>
      <c r="I35" s="290" t="s">
        <v>165</v>
      </c>
      <c r="J35" s="224"/>
    </row>
    <row r="36" spans="5:11" ht="15.75" x14ac:dyDescent="0.25">
      <c r="E36" s="5">
        <v>2013</v>
      </c>
      <c r="F36" s="239">
        <f>V27*E27</f>
        <v>952565.00000000012</v>
      </c>
      <c r="I36" s="5">
        <v>3138</v>
      </c>
      <c r="J36" s="291">
        <v>-2011</v>
      </c>
    </row>
    <row r="37" spans="5:11" ht="15.75" x14ac:dyDescent="0.25">
      <c r="E37" s="5">
        <v>2012</v>
      </c>
      <c r="F37" s="239">
        <f>V28*E28</f>
        <v>1025126</v>
      </c>
      <c r="I37" s="5">
        <v>3171</v>
      </c>
      <c r="J37" s="291">
        <v>-2010</v>
      </c>
    </row>
    <row r="38" spans="5:11" ht="15.75" x14ac:dyDescent="0.25">
      <c r="E38" s="5">
        <v>2011</v>
      </c>
      <c r="F38" s="239">
        <f>V29*E29</f>
        <v>950335</v>
      </c>
      <c r="I38" s="5">
        <v>3168</v>
      </c>
      <c r="J38" s="291">
        <v>-2009</v>
      </c>
    </row>
    <row r="39" spans="5:11" ht="15.75" x14ac:dyDescent="0.25">
      <c r="E39" s="5">
        <v>2010</v>
      </c>
      <c r="F39" s="239">
        <f>V30*E30</f>
        <v>913120.99999999988</v>
      </c>
      <c r="I39" s="5">
        <v>3211</v>
      </c>
      <c r="J39" s="291">
        <v>-2008</v>
      </c>
    </row>
    <row r="42" spans="5:11" ht="15.75" x14ac:dyDescent="0.25">
      <c r="E42" s="292" t="s">
        <v>166</v>
      </c>
      <c r="F42" s="290"/>
      <c r="G42" s="290"/>
      <c r="H42" s="290"/>
      <c r="I42" s="290"/>
      <c r="J42" s="290"/>
      <c r="K42" s="290"/>
    </row>
    <row r="44" spans="5:11" ht="15.75" x14ac:dyDescent="0.25">
      <c r="E44" s="5" t="s">
        <v>167</v>
      </c>
    </row>
    <row r="45" spans="5:11" ht="15.75" x14ac:dyDescent="0.25">
      <c r="E45" s="5">
        <v>2013</v>
      </c>
      <c r="F45" s="239">
        <f>F36/I36</f>
        <v>303.55799872530275</v>
      </c>
    </row>
    <row r="46" spans="5:11" ht="15.75" x14ac:dyDescent="0.25">
      <c r="E46" s="5">
        <v>2012</v>
      </c>
      <c r="F46" s="239">
        <f>F37/I37</f>
        <v>323.28161463260801</v>
      </c>
    </row>
    <row r="47" spans="5:11" ht="15.75" x14ac:dyDescent="0.25">
      <c r="E47" s="5">
        <v>2011</v>
      </c>
      <c r="F47" s="239">
        <f>F38/I38</f>
        <v>299.97948232323233</v>
      </c>
    </row>
    <row r="48" spans="5:11" ht="15.75" x14ac:dyDescent="0.25">
      <c r="E48" s="5">
        <v>2010</v>
      </c>
      <c r="F48" s="239">
        <f>F39/I39</f>
        <v>284.3727810650887</v>
      </c>
    </row>
    <row r="51" spans="4:10" x14ac:dyDescent="0.2">
      <c r="J51" s="1">
        <f>10782+304</f>
        <v>11086</v>
      </c>
    </row>
    <row r="54" spans="4:10" x14ac:dyDescent="0.2">
      <c r="D54" s="1" t="s">
        <v>644</v>
      </c>
      <c r="G54" s="1" t="s">
        <v>645</v>
      </c>
    </row>
    <row r="55" spans="4:10" x14ac:dyDescent="0.2">
      <c r="D55" s="1">
        <v>35061</v>
      </c>
      <c r="E55" s="1">
        <f>D55*1000</f>
        <v>35061000</v>
      </c>
      <c r="G55" s="1">
        <v>3206</v>
      </c>
      <c r="I55" s="1">
        <f>E55/10478</f>
        <v>3346.1538461538462</v>
      </c>
    </row>
    <row r="57" spans="4:10" x14ac:dyDescent="0.2">
      <c r="D57" s="1" t="s">
        <v>646</v>
      </c>
    </row>
    <row r="58" spans="4:10" x14ac:dyDescent="0.2">
      <c r="D58" s="1">
        <v>32955</v>
      </c>
      <c r="E58" s="1">
        <f t="shared" ref="E58" si="0">D58*1000</f>
        <v>32955000</v>
      </c>
      <c r="G58" s="1">
        <f>E58/I39</f>
        <v>10263.157894736842</v>
      </c>
    </row>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70"/>
  <sheetViews>
    <sheetView zoomScale="85" zoomScaleNormal="85" workbookViewId="0">
      <selection activeCell="K9" sqref="K9"/>
    </sheetView>
  </sheetViews>
  <sheetFormatPr defaultColWidth="8.88671875" defaultRowHeight="15" x14ac:dyDescent="0.2"/>
  <cols>
    <col min="1" max="1" width="7.33203125" style="1" customWidth="1"/>
    <col min="2" max="2" width="23.44140625" style="1" customWidth="1"/>
    <col min="3" max="3" width="13.33203125" style="1" customWidth="1"/>
    <col min="4" max="4" width="14.109375" style="1" customWidth="1"/>
    <col min="5" max="5" width="10.77734375" style="1" customWidth="1"/>
    <col min="6" max="6" width="12.6640625" style="1" customWidth="1"/>
    <col min="7" max="7" width="13.21875" style="1" customWidth="1"/>
    <col min="8" max="8" width="12.109375" style="1" customWidth="1"/>
    <col min="9" max="9" width="15.33203125" style="1" customWidth="1"/>
    <col min="10" max="10" width="8.88671875" style="1"/>
    <col min="11" max="11" width="12.5546875" style="1" customWidth="1"/>
    <col min="12" max="12" width="8.88671875" style="1"/>
    <col min="13" max="13" width="11.6640625" style="1" customWidth="1"/>
    <col min="14" max="14" width="8.88671875" style="1"/>
    <col min="15" max="15" width="12.33203125" style="1" customWidth="1"/>
    <col min="16" max="17" width="8.88671875" style="1"/>
    <col min="18" max="18" width="11.77734375" style="1" customWidth="1"/>
    <col min="19" max="19" width="10.44140625" style="1" customWidth="1"/>
    <col min="20" max="16384" width="8.88671875" style="1"/>
  </cols>
  <sheetData>
    <row r="1" spans="2:19" ht="9.75" customHeight="1" x14ac:dyDescent="0.2"/>
    <row r="2" spans="2:19" ht="9.75" customHeight="1" x14ac:dyDescent="0.2"/>
    <row r="3" spans="2:19" ht="9.75" customHeight="1" x14ac:dyDescent="0.2"/>
    <row r="4" spans="2:19" ht="9.75" customHeight="1" x14ac:dyDescent="0.2"/>
    <row r="5" spans="2:19" ht="24.75" customHeight="1" x14ac:dyDescent="0.2">
      <c r="I5" s="1" t="str">
        <f>IF(Kontrollpanel!K37=2,"Nettodriftskostnader","Nyckelmodell")</f>
        <v>Nettodriftskostnader</v>
      </c>
      <c r="M5" s="9"/>
      <c r="N5" s="9"/>
      <c r="O5" s="9"/>
      <c r="P5" s="9"/>
      <c r="Q5" s="9"/>
    </row>
    <row r="6" spans="2:19" ht="15.75" thickBot="1" x14ac:dyDescent="0.25">
      <c r="C6" s="288"/>
      <c r="D6" s="288"/>
      <c r="E6" s="288"/>
      <c r="F6" s="288"/>
      <c r="G6" s="288"/>
      <c r="H6" s="288"/>
      <c r="M6" s="9"/>
      <c r="N6" s="9"/>
      <c r="O6" s="9"/>
      <c r="P6" s="9"/>
      <c r="Q6" s="9"/>
    </row>
    <row r="7" spans="2:19" ht="16.5" thickBot="1" x14ac:dyDescent="0.3">
      <c r="B7" s="315" t="s">
        <v>173</v>
      </c>
      <c r="C7" s="317" t="s">
        <v>174</v>
      </c>
      <c r="D7" s="318"/>
      <c r="E7" s="322" t="s">
        <v>177</v>
      </c>
      <c r="F7" s="317"/>
      <c r="G7" s="317"/>
      <c r="H7" s="317"/>
      <c r="I7" s="314"/>
      <c r="J7" s="314"/>
      <c r="K7" s="427" t="s">
        <v>178</v>
      </c>
      <c r="L7" s="320"/>
      <c r="M7" s="425"/>
      <c r="N7" s="320"/>
      <c r="O7" s="427" t="s">
        <v>81</v>
      </c>
      <c r="P7" s="320"/>
      <c r="Q7" s="9"/>
    </row>
    <row r="8" spans="2:19" ht="16.5" thickBot="1" x14ac:dyDescent="0.3">
      <c r="B8" s="316"/>
      <c r="C8" s="319" t="s">
        <v>270</v>
      </c>
      <c r="D8" s="320"/>
      <c r="E8" s="319" t="s">
        <v>175</v>
      </c>
      <c r="F8" s="320"/>
      <c r="G8" s="319" t="s">
        <v>2</v>
      </c>
      <c r="H8" s="321"/>
      <c r="I8" s="319" t="s">
        <v>176</v>
      </c>
      <c r="J8" s="425"/>
      <c r="K8" s="319" t="s">
        <v>179</v>
      </c>
      <c r="L8" s="320"/>
      <c r="M8" s="426" t="s">
        <v>223</v>
      </c>
      <c r="N8" s="321" t="s">
        <v>396</v>
      </c>
      <c r="O8" s="319" t="s">
        <v>224</v>
      </c>
      <c r="P8" s="320"/>
      <c r="Q8" s="9"/>
    </row>
    <row r="9" spans="2:19" ht="16.5" thickBot="1" x14ac:dyDescent="0.3">
      <c r="B9" s="215" t="s">
        <v>8</v>
      </c>
      <c r="C9" s="408"/>
      <c r="D9" s="408">
        <f>'1. Skattekomplettering (2013)'!O67</f>
        <v>454094.24681211781</v>
      </c>
      <c r="E9" s="408">
        <f>'2. Kostnadsutj. skola (2013)'!G69</f>
        <v>212189.76</v>
      </c>
      <c r="F9" s="324"/>
      <c r="G9" s="429">
        <f>'3. Förslag, socialvård (2013)'!D67</f>
        <v>132763.68000000002</v>
      </c>
      <c r="H9" s="323"/>
      <c r="I9" s="408">
        <f>IF(Kontrollpanel!$K$37=2,'4. Förslag, utjämning (2013)'!E195,'A. NYCKELMOD. UTJ (2013)'!E194)</f>
        <v>-14464.042896190134</v>
      </c>
      <c r="J9" s="323"/>
      <c r="K9" s="414">
        <f>'5. Skärgårdstillägg'!F106</f>
        <v>391246.7</v>
      </c>
      <c r="L9" s="428"/>
      <c r="M9" s="408"/>
      <c r="N9" s="748">
        <f>'6. Övriga delar'!F121</f>
        <v>7200</v>
      </c>
      <c r="O9" s="408">
        <f>SUM(C9:N9)</f>
        <v>1183030.3439159277</v>
      </c>
      <c r="P9" s="324"/>
      <c r="Q9" s="9"/>
      <c r="R9" s="36"/>
      <c r="S9" s="36"/>
    </row>
    <row r="10" spans="2:19" ht="16.5" thickBot="1" x14ac:dyDescent="0.3">
      <c r="B10" s="215" t="s">
        <v>9</v>
      </c>
      <c r="C10" s="409"/>
      <c r="D10" s="409">
        <f>'1. Skattekomplettering (2013)'!O68</f>
        <v>1137179.7741920229</v>
      </c>
      <c r="E10" s="409">
        <f>'2. Kostnadsutj. skola (2013)'!H69</f>
        <v>305346.24</v>
      </c>
      <c r="F10" s="326"/>
      <c r="G10" s="413">
        <f>'3. Förslag, socialvård (2013)'!E67</f>
        <v>278628.7</v>
      </c>
      <c r="H10" s="325"/>
      <c r="I10" s="408">
        <f>IF(Kontrollpanel!$K$37=2,'4. Förslag, utjämning (2013)'!E196,'A. NYCKELMOD. UTJ (2013)'!E195)</f>
        <v>131056.5401367422</v>
      </c>
      <c r="J10" s="325"/>
      <c r="K10" s="418"/>
      <c r="L10" s="419"/>
      <c r="M10" s="408"/>
      <c r="N10" s="748">
        <f>'6. Övriga delar'!F122</f>
        <v>14670</v>
      </c>
      <c r="O10" s="409">
        <f t="shared" ref="O10:O24" si="0">SUM(C10:N10)</f>
        <v>1866881.254328765</v>
      </c>
      <c r="P10" s="326"/>
      <c r="Q10" s="9"/>
      <c r="R10" s="36"/>
      <c r="S10" s="36"/>
    </row>
    <row r="11" spans="2:19" ht="16.5" thickBot="1" x14ac:dyDescent="0.3">
      <c r="B11" s="215" t="s">
        <v>10</v>
      </c>
      <c r="C11" s="409"/>
      <c r="D11" s="409">
        <f>'1. Skattekomplettering (2013)'!O69</f>
        <v>2476017.0223672581</v>
      </c>
      <c r="E11" s="409">
        <f>'2. Kostnadsutj. skola (2013)'!I69</f>
        <v>381682.80000000005</v>
      </c>
      <c r="F11" s="326"/>
      <c r="G11" s="413">
        <f>'3. Förslag, socialvård (2013)'!F67</f>
        <v>700374.3600000001</v>
      </c>
      <c r="H11" s="325"/>
      <c r="I11" s="408">
        <f>IF(Kontrollpanel!$K$37=2,'4. Förslag, utjämning (2013)'!E197,'A. NYCKELMOD. UTJ (2013)'!E196)</f>
        <v>177473.7839315859</v>
      </c>
      <c r="J11" s="325"/>
      <c r="K11" s="418"/>
      <c r="L11" s="419"/>
      <c r="M11" s="408"/>
      <c r="N11" s="748">
        <f>'6. Övriga delar'!F123</f>
        <v>37905</v>
      </c>
      <c r="O11" s="409">
        <f t="shared" si="0"/>
        <v>3773452.9662988447</v>
      </c>
      <c r="P11" s="326"/>
      <c r="Q11" s="9"/>
      <c r="R11" s="36"/>
      <c r="S11" s="36"/>
    </row>
    <row r="12" spans="2:19" ht="16.5" thickBot="1" x14ac:dyDescent="0.3">
      <c r="B12" s="215" t="s">
        <v>11</v>
      </c>
      <c r="C12" s="409"/>
      <c r="D12" s="409">
        <f>'1. Skattekomplettering (2013)'!O70</f>
        <v>510364.35188640951</v>
      </c>
      <c r="E12" s="409">
        <f>'2. Kostnadsutj. skola (2013)'!J69</f>
        <v>265237.2</v>
      </c>
      <c r="F12" s="326"/>
      <c r="G12" s="413">
        <f>'3. Förslag, socialvård (2013)'!G67</f>
        <v>176687.56000000003</v>
      </c>
      <c r="H12" s="325"/>
      <c r="I12" s="408">
        <f>IF(Kontrollpanel!$K$37=2,'4. Förslag, utjämning (2013)'!E198,'A. NYCKELMOD. UTJ (2013)'!E197)</f>
        <v>-4657.4276426702418</v>
      </c>
      <c r="J12" s="325"/>
      <c r="K12" s="414">
        <f>'5. Skärgårdstillägg'!I106</f>
        <v>367430.1</v>
      </c>
      <c r="L12" s="428"/>
      <c r="M12" s="408"/>
      <c r="N12" s="748">
        <f>'6. Övriga delar'!F124</f>
        <v>8655</v>
      </c>
      <c r="O12" s="409">
        <f t="shared" si="0"/>
        <v>1323716.7842437392</v>
      </c>
      <c r="P12" s="326"/>
      <c r="Q12" s="9"/>
      <c r="R12" s="36"/>
      <c r="S12" s="36"/>
    </row>
    <row r="13" spans="2:19" ht="16.5" thickBot="1" x14ac:dyDescent="0.3">
      <c r="B13" s="215" t="s">
        <v>12</v>
      </c>
      <c r="C13" s="409"/>
      <c r="D13" s="409">
        <f>'1. Skattekomplettering (2013)'!O71</f>
        <v>794727.72011763416</v>
      </c>
      <c r="E13" s="409">
        <f>'2. Kostnadsutj. skola (2013)'!K69</f>
        <v>224265.60000000001</v>
      </c>
      <c r="F13" s="326"/>
      <c r="G13" s="413">
        <f>'3. Förslag, socialvård (2013)'!H67</f>
        <v>146958.56000000003</v>
      </c>
      <c r="H13" s="325"/>
      <c r="I13" s="408">
        <f>IF(Kontrollpanel!$K$37=2,'4. Förslag, utjämning (2013)'!E199,'A. NYCKELMOD. UTJ (2013)'!E198)</f>
        <v>405536.98389435961</v>
      </c>
      <c r="J13" s="325"/>
      <c r="K13" s="418"/>
      <c r="L13" s="419"/>
      <c r="M13" s="408"/>
      <c r="N13" s="748">
        <f>'6. Övriga delar'!F125</f>
        <v>7380</v>
      </c>
      <c r="O13" s="409">
        <f t="shared" si="0"/>
        <v>1578868.8640119936</v>
      </c>
      <c r="P13" s="326"/>
      <c r="Q13" s="9"/>
      <c r="R13" s="36"/>
      <c r="S13" s="36"/>
    </row>
    <row r="14" spans="2:19" ht="16.5" thickBot="1" x14ac:dyDescent="0.3">
      <c r="B14" s="215" t="s">
        <v>13</v>
      </c>
      <c r="C14" s="409"/>
      <c r="D14" s="409">
        <f>'1. Skattekomplettering (2013)'!O72</f>
        <v>1669839.2801236366</v>
      </c>
      <c r="E14" s="409">
        <f>'2. Kostnadsutj. skola (2013)'!L69</f>
        <v>342598.05000000005</v>
      </c>
      <c r="F14" s="326"/>
      <c r="G14" s="413">
        <f>'3. Förslag, socialvård (2013)'!I67</f>
        <v>401600.36</v>
      </c>
      <c r="H14" s="325"/>
      <c r="I14" s="408">
        <f>IF(Kontrollpanel!$K$37=2,'4. Förslag, utjämning (2013)'!E200,'A. NYCKELMOD. UTJ (2013)'!E199)</f>
        <v>129193.69419170942</v>
      </c>
      <c r="J14" s="325"/>
      <c r="K14" s="418"/>
      <c r="L14" s="419"/>
      <c r="M14" s="408"/>
      <c r="N14" s="748">
        <f>'6. Övriga delar'!F126</f>
        <v>22890</v>
      </c>
      <c r="O14" s="409">
        <f t="shared" si="0"/>
        <v>2566121.3843153464</v>
      </c>
      <c r="P14" s="326"/>
      <c r="Q14" s="9"/>
      <c r="R14" s="36"/>
      <c r="S14" s="36"/>
    </row>
    <row r="15" spans="2:19" ht="16.5" thickBot="1" x14ac:dyDescent="0.3">
      <c r="B15" s="215" t="s">
        <v>14</v>
      </c>
      <c r="C15" s="409"/>
      <c r="D15" s="409">
        <f>'1. Skattekomplettering (2013)'!O73</f>
        <v>3104459.5857122089</v>
      </c>
      <c r="E15" s="409">
        <f>'2. Kostnadsutj. skola (2013)'!M69</f>
        <v>448261.65</v>
      </c>
      <c r="F15" s="326"/>
      <c r="G15" s="413">
        <f>'3. Förslag, socialvård (2013)'!J67</f>
        <v>1049818.8400000003</v>
      </c>
      <c r="H15" s="325"/>
      <c r="I15" s="408">
        <f>IF(Kontrollpanel!$K$37=2,'4. Förslag, utjämning (2013)'!E201,'A. NYCKELMOD. UTJ (2013)'!E200)</f>
        <v>-203196.50767839182</v>
      </c>
      <c r="J15" s="325"/>
      <c r="K15" s="418"/>
      <c r="L15" s="419"/>
      <c r="M15" s="408"/>
      <c r="N15" s="748">
        <f>'6. Övriga delar'!F127</f>
        <v>63735</v>
      </c>
      <c r="O15" s="409">
        <f t="shared" si="0"/>
        <v>4463078.5680338182</v>
      </c>
      <c r="P15" s="326"/>
      <c r="Q15" s="9"/>
      <c r="R15" s="36"/>
      <c r="S15" s="36"/>
    </row>
    <row r="16" spans="2:19" ht="16.5" thickBot="1" x14ac:dyDescent="0.3">
      <c r="B16" s="215" t="s">
        <v>15</v>
      </c>
      <c r="C16" s="409"/>
      <c r="D16" s="409">
        <f>'1. Skattekomplettering (2013)'!O74</f>
        <v>337615.92674739996</v>
      </c>
      <c r="E16" s="409">
        <f>'2. Kostnadsutj. skola (2013)'!N69</f>
        <v>160112.70000000001</v>
      </c>
      <c r="F16" s="326"/>
      <c r="G16" s="413">
        <f>'3. Förslag, socialvård (2013)'!K67</f>
        <v>116681.46000000002</v>
      </c>
      <c r="H16" s="325"/>
      <c r="I16" s="408">
        <f>IF(Kontrollpanel!$K$37=2,'4. Förslag, utjämning (2013)'!E202,'A. NYCKELMOD. UTJ (2013)'!E201)</f>
        <v>-34574.072474107459</v>
      </c>
      <c r="J16" s="325"/>
      <c r="K16" s="414">
        <f>'5. Skärgårdstillägg'!M106</f>
        <v>318798</v>
      </c>
      <c r="L16" s="428"/>
      <c r="M16" s="408"/>
      <c r="N16" s="748">
        <f>'6. Övriga delar'!F128</f>
        <v>5415</v>
      </c>
      <c r="O16" s="409">
        <f t="shared" si="0"/>
        <v>904049.0142732925</v>
      </c>
      <c r="P16" s="326"/>
      <c r="Q16" s="9"/>
      <c r="R16" s="36"/>
      <c r="S16" s="36"/>
    </row>
    <row r="17" spans="2:21" ht="16.5" thickBot="1" x14ac:dyDescent="0.3">
      <c r="B17" s="215" t="s">
        <v>16</v>
      </c>
      <c r="C17" s="409"/>
      <c r="D17" s="409">
        <f>'1. Skattekomplettering (2013)'!O75</f>
        <v>317069.61567684752</v>
      </c>
      <c r="E17" s="409">
        <f>'2. Kostnadsutj. skola (2013)'!O69</f>
        <v>145557</v>
      </c>
      <c r="F17" s="326"/>
      <c r="G17" s="413">
        <f>'3. Förslag, socialvård (2013)'!L67</f>
        <v>76195.98000000001</v>
      </c>
      <c r="H17" s="325"/>
      <c r="I17" s="408">
        <f>IF(Kontrollpanel!$K$37=2,'4. Förslag, utjämning (2013)'!E203,'A. NYCKELMOD. UTJ (2013)'!E202)</f>
        <v>-37632.288192188622</v>
      </c>
      <c r="J17" s="325"/>
      <c r="K17" s="410">
        <f>'5. Skärgårdstillägg'!N106</f>
        <v>247133.40000000002</v>
      </c>
      <c r="L17" s="328"/>
      <c r="M17" s="408"/>
      <c r="N17" s="748">
        <f>'6. Övriga delar'!F129</f>
        <v>3735</v>
      </c>
      <c r="O17" s="409">
        <f t="shared" si="0"/>
        <v>752058.70748465892</v>
      </c>
      <c r="P17" s="326"/>
      <c r="Q17" s="9"/>
      <c r="R17" s="36"/>
      <c r="S17" s="36"/>
    </row>
    <row r="18" spans="2:21" ht="16.5" thickBot="1" x14ac:dyDescent="0.3">
      <c r="B18" s="215" t="s">
        <v>17</v>
      </c>
      <c r="C18" s="409"/>
      <c r="D18" s="409">
        <f>'1. Skattekomplettering (2013)'!O76</f>
        <v>1573554.8426421674</v>
      </c>
      <c r="E18" s="409">
        <f>'2. Kostnadsutj. skola (2013)'!P69</f>
        <v>370092.15</v>
      </c>
      <c r="F18" s="326"/>
      <c r="G18" s="413">
        <f>'3. Förslag, socialvård (2013)'!M67</f>
        <v>407144.78</v>
      </c>
      <c r="H18" s="325"/>
      <c r="I18" s="408">
        <f>IF(Kontrollpanel!$K$37=2,'4. Förslag, utjämning (2013)'!E204,'A. NYCKELMOD. UTJ (2013)'!E203)</f>
        <v>-105922.86926195433</v>
      </c>
      <c r="J18" s="325"/>
      <c r="K18" s="418"/>
      <c r="L18" s="419"/>
      <c r="M18" s="408"/>
      <c r="N18" s="748">
        <f>'6. Övriga delar'!F130</f>
        <v>27900</v>
      </c>
      <c r="O18" s="409">
        <f t="shared" si="0"/>
        <v>2272768.9033802128</v>
      </c>
      <c r="P18" s="326"/>
      <c r="Q18" s="9"/>
      <c r="R18" s="36"/>
      <c r="S18" s="36"/>
    </row>
    <row r="19" spans="2:21" ht="16.5" thickBot="1" x14ac:dyDescent="0.3">
      <c r="B19" s="215" t="s">
        <v>18</v>
      </c>
      <c r="C19" s="409"/>
      <c r="D19" s="409">
        <f>'1. Skattekomplettering (2013)'!O77</f>
        <v>338959.45990770013</v>
      </c>
      <c r="E19" s="409">
        <f>'2. Kostnadsutj. skola (2013)'!Q69</f>
        <v>227284.56</v>
      </c>
      <c r="F19" s="326"/>
      <c r="G19" s="413">
        <f>'3. Förslag, socialvård (2013)'!N67</f>
        <v>95273.360000000015</v>
      </c>
      <c r="H19" s="325"/>
      <c r="I19" s="408">
        <f>IF(Kontrollpanel!$K$37=2,'4. Förslag, utjämning (2013)'!E205,'A. NYCKELMOD. UTJ (2013)'!E204)</f>
        <v>-1170.1246615229611</v>
      </c>
      <c r="J19" s="325"/>
      <c r="K19" s="418"/>
      <c r="L19" s="419"/>
      <c r="M19" s="408"/>
      <c r="N19" s="748">
        <f>'6. Övriga delar'!F131</f>
        <v>5985</v>
      </c>
      <c r="O19" s="409">
        <f t="shared" si="0"/>
        <v>666332.2552461772</v>
      </c>
      <c r="P19" s="326"/>
      <c r="Q19" s="9"/>
      <c r="R19" s="36"/>
      <c r="S19" s="36"/>
    </row>
    <row r="20" spans="2:21" ht="16.5" thickBot="1" x14ac:dyDescent="0.3">
      <c r="B20" s="215" t="s">
        <v>19</v>
      </c>
      <c r="C20" s="409"/>
      <c r="D20" s="409">
        <f>'1. Skattekomplettering (2013)'!O78</f>
        <v>1562874.8279462485</v>
      </c>
      <c r="E20" s="409">
        <f>'2. Kostnadsutj. skola (2013)'!R69</f>
        <v>352032.30000000005</v>
      </c>
      <c r="F20" s="326"/>
      <c r="G20" s="413">
        <f>'3. Förslag, socialvård (2013)'!O67</f>
        <v>506982.42000000004</v>
      </c>
      <c r="H20" s="325"/>
      <c r="I20" s="408">
        <f>IF(Kontrollpanel!$K$37=2,'4. Förslag, utjämning (2013)'!E206,'A. NYCKELMOD. UTJ (2013)'!E205)</f>
        <v>-85680.18816426897</v>
      </c>
      <c r="J20" s="325"/>
      <c r="K20" s="418"/>
      <c r="L20" s="419"/>
      <c r="M20" s="408"/>
      <c r="N20" s="748">
        <f>'6. Övriga delar'!F132</f>
        <v>27150</v>
      </c>
      <c r="O20" s="409">
        <f t="shared" si="0"/>
        <v>2363359.3597819796</v>
      </c>
      <c r="P20" s="326"/>
      <c r="Q20" s="9"/>
      <c r="R20" s="36"/>
      <c r="S20" s="36"/>
    </row>
    <row r="21" spans="2:21" ht="16.5" thickBot="1" x14ac:dyDescent="0.3">
      <c r="B21" s="215" t="s">
        <v>20</v>
      </c>
      <c r="C21" s="409"/>
      <c r="D21" s="409">
        <f>'1. Skattekomplettering (2013)'!O79</f>
        <v>82935.455055998202</v>
      </c>
      <c r="E21" s="409">
        <f>'2. Kostnadsutj. skola (2013)'!S69</f>
        <v>38815.200000000004</v>
      </c>
      <c r="F21" s="326"/>
      <c r="G21" s="413">
        <f>'3. Förslag, socialvård (2013)'!P67</f>
        <v>48473.740000000005</v>
      </c>
      <c r="H21" s="325"/>
      <c r="I21" s="408">
        <f>IF(Kontrollpanel!$K$37=2,'4. Förslag, utjämning (2013)'!E207,'A. NYCKELMOD. UTJ (2013)'!E206)</f>
        <v>-16893.064653567839</v>
      </c>
      <c r="J21" s="325"/>
      <c r="K21" s="414">
        <f>'5. Skärgårdstillägg'!R106</f>
        <v>106123.40000000001</v>
      </c>
      <c r="L21" s="428"/>
      <c r="M21" s="408"/>
      <c r="N21" s="748">
        <f>'6. Övriga delar'!F133</f>
        <v>1545</v>
      </c>
      <c r="O21" s="409">
        <f t="shared" si="0"/>
        <v>260999.7304024304</v>
      </c>
      <c r="P21" s="326"/>
      <c r="Q21" s="9"/>
      <c r="R21" s="36"/>
      <c r="S21" s="36"/>
    </row>
    <row r="22" spans="2:21" ht="16.5" thickBot="1" x14ac:dyDescent="0.3">
      <c r="B22" s="215" t="s">
        <v>21</v>
      </c>
      <c r="C22" s="409"/>
      <c r="D22" s="409">
        <f>'1. Skattekomplettering (2013)'!O80</f>
        <v>1151668.3318621269</v>
      </c>
      <c r="E22" s="409">
        <f>'2. Kostnadsutj. skola (2013)'!T69</f>
        <v>316128.24000000005</v>
      </c>
      <c r="F22" s="326"/>
      <c r="G22" s="413">
        <f>'3. Förslag, socialvård (2013)'!Q67</f>
        <v>284386.06000000006</v>
      </c>
      <c r="H22" s="325"/>
      <c r="I22" s="408">
        <f>IF(Kontrollpanel!$K$37=2,'4. Förslag, utjämning (2013)'!E208,'A. NYCKELMOD. UTJ (2013)'!E207)</f>
        <v>382477.78257767769</v>
      </c>
      <c r="J22" s="325"/>
      <c r="K22" s="418"/>
      <c r="L22" s="419"/>
      <c r="M22" s="408"/>
      <c r="N22" s="748">
        <f>'6. Övriga delar'!F134</f>
        <v>15480</v>
      </c>
      <c r="O22" s="409">
        <f t="shared" si="0"/>
        <v>2150140.4144398049</v>
      </c>
      <c r="P22" s="326"/>
      <c r="Q22" s="9"/>
      <c r="R22" s="36"/>
      <c r="S22" s="36"/>
    </row>
    <row r="23" spans="2:21" ht="16.5" thickBot="1" x14ac:dyDescent="0.3">
      <c r="B23" s="215" t="s">
        <v>22</v>
      </c>
      <c r="C23" s="409"/>
      <c r="D23" s="409">
        <f>'1. Skattekomplettering (2013)'!O81</f>
        <v>619277.32370703423</v>
      </c>
      <c r="E23" s="409">
        <f>'2. Kostnadsutj. skola (2013)'!U69</f>
        <v>206151.84</v>
      </c>
      <c r="F23" s="326"/>
      <c r="G23" s="413">
        <f>'3. Förslag, socialvård (2013)'!R67</f>
        <v>150881.5</v>
      </c>
      <c r="H23" s="325"/>
      <c r="I23" s="408">
        <f>IF(Kontrollpanel!$K$37=2,'4. Förslag, utjämning (2013)'!E209,'A. NYCKELMOD. UTJ (2013)'!E208)</f>
        <v>-34074.755894599111</v>
      </c>
      <c r="J23" s="325"/>
      <c r="K23" s="414">
        <f>'5. Skärgårdstillägg'!T106</f>
        <v>305967.95</v>
      </c>
      <c r="L23" s="428"/>
      <c r="M23" s="408"/>
      <c r="N23" s="748">
        <f>'6. Övriga delar'!F135</f>
        <v>6735</v>
      </c>
      <c r="O23" s="409">
        <f t="shared" si="0"/>
        <v>1254938.8578124351</v>
      </c>
      <c r="P23" s="326"/>
      <c r="Q23" s="9"/>
      <c r="R23" s="36"/>
      <c r="S23" s="36"/>
    </row>
    <row r="24" spans="2:21" ht="16.5" thickBot="1" x14ac:dyDescent="0.3">
      <c r="B24" s="216" t="s">
        <v>23</v>
      </c>
      <c r="C24" s="409"/>
      <c r="D24" s="410">
        <f>'1. Skattekomplettering (2013)'!O82</f>
        <v>0</v>
      </c>
      <c r="E24" s="410">
        <f>'2. Kostnadsutj. skola (2013)'!V69</f>
        <v>587079.9</v>
      </c>
      <c r="F24" s="328"/>
      <c r="G24" s="412">
        <f>'3. Förslag, socialvård (2013)'!S67</f>
        <v>2880141.6000000006</v>
      </c>
      <c r="H24" s="327"/>
      <c r="I24" s="408">
        <f>IF(Kontrollpanel!$K$37=2,'4. Förslag, utjämning (2013)'!E210,'A. NYCKELMOD. UTJ (2013)'!E209)</f>
        <v>1891141.0413873864</v>
      </c>
      <c r="J24" s="327"/>
      <c r="K24" s="418"/>
      <c r="L24" s="419"/>
      <c r="M24" s="408"/>
      <c r="N24" s="748">
        <f>'6. Övriga delar'!F136+'6. Övriga delar'!G136</f>
        <v>265352</v>
      </c>
      <c r="O24" s="410">
        <f t="shared" si="0"/>
        <v>5623714.5413873866</v>
      </c>
      <c r="P24" s="326"/>
      <c r="Q24" s="9"/>
      <c r="R24" s="36"/>
      <c r="S24" s="36"/>
    </row>
    <row r="25" spans="2:21" ht="16.5" thickBot="1" x14ac:dyDescent="0.3">
      <c r="B25" s="411" t="s">
        <v>81</v>
      </c>
      <c r="C25" s="414"/>
      <c r="D25" s="412">
        <f>'1. Skattekomplettering (2013)'!O83</f>
        <v>16130637.764756812</v>
      </c>
      <c r="E25" s="412">
        <f>SUM(E9:E24)</f>
        <v>4582835.1900000013</v>
      </c>
      <c r="F25" s="328"/>
      <c r="G25" s="412">
        <f>SUM(G9:G24)</f>
        <v>7452992.9600000009</v>
      </c>
      <c r="H25" s="327"/>
      <c r="I25" s="408">
        <f>IF(Kontrollpanel!$K$37=2,'4. Förslag, utjämning (2013)'!E211,'A. NYCKELMOD. UTJ (2013)'!E210)</f>
        <v>2578614.4845999996</v>
      </c>
      <c r="J25" s="327"/>
      <c r="K25" s="414">
        <f>SUM(K23,K21,K16,K17,K12,K9)</f>
        <v>1736699.55</v>
      </c>
      <c r="L25" s="428"/>
      <c r="M25" s="681">
        <f>SUM(M9:M24)</f>
        <v>0</v>
      </c>
      <c r="N25" s="681">
        <f>SUM(N9:N24)</f>
        <v>521732</v>
      </c>
      <c r="O25" s="412">
        <f>SUM(C25:N25)</f>
        <v>33003511.949356813</v>
      </c>
      <c r="P25" s="428"/>
      <c r="Q25" s="9"/>
      <c r="R25" s="1" t="s">
        <v>225</v>
      </c>
      <c r="S25" s="9"/>
      <c r="T25" s="9"/>
      <c r="U25" s="9"/>
    </row>
    <row r="26" spans="2:21" ht="15.75" thickBot="1" x14ac:dyDescent="0.25">
      <c r="D26" s="412">
        <v>12349595.795264095</v>
      </c>
      <c r="E26" s="412">
        <v>7694707.5180752063</v>
      </c>
      <c r="F26" s="328"/>
      <c r="G26" s="412">
        <v>12631842.859999999</v>
      </c>
      <c r="H26" s="327"/>
      <c r="I26" s="410">
        <f>SUM(I9:I24)</f>
        <v>2578614.4845999996</v>
      </c>
      <c r="J26" s="327"/>
      <c r="K26" s="414">
        <v>1390894.7376266371</v>
      </c>
      <c r="L26" s="428"/>
      <c r="M26" s="681">
        <v>195961.17092484632</v>
      </c>
      <c r="N26" s="681">
        <v>917000.7</v>
      </c>
      <c r="O26" s="412">
        <v>35180002.781890787</v>
      </c>
      <c r="P26" s="9"/>
      <c r="Q26" s="9"/>
      <c r="S26" s="9"/>
      <c r="T26" s="9"/>
      <c r="U26" s="9"/>
    </row>
    <row r="27" spans="2:21" ht="15.75" thickBot="1" x14ac:dyDescent="0.25">
      <c r="M27" s="9"/>
      <c r="N27" s="9"/>
      <c r="O27" s="9"/>
      <c r="P27" s="9"/>
      <c r="Q27" s="9"/>
      <c r="R27" s="9"/>
      <c r="S27" s="9"/>
      <c r="T27" s="9"/>
      <c r="U27" s="9"/>
    </row>
    <row r="28" spans="2:21" ht="15.75" x14ac:dyDescent="0.25">
      <c r="B28" s="348" t="s">
        <v>187</v>
      </c>
      <c r="C28" s="477" t="s">
        <v>218</v>
      </c>
      <c r="D28" s="478"/>
      <c r="E28" s="466" t="s">
        <v>230</v>
      </c>
      <c r="F28" s="466"/>
      <c r="G28" s="466"/>
      <c r="H28" s="473"/>
      <c r="I28" s="1423" t="s">
        <v>568</v>
      </c>
      <c r="J28" s="1423" t="s">
        <v>569</v>
      </c>
      <c r="K28" s="338" t="s">
        <v>219</v>
      </c>
      <c r="L28" s="340"/>
      <c r="M28" s="338" t="s">
        <v>219</v>
      </c>
      <c r="N28" s="415"/>
      <c r="O28" s="338" t="s">
        <v>219</v>
      </c>
      <c r="P28" s="340"/>
      <c r="Q28" s="6"/>
      <c r="R28" s="483"/>
      <c r="S28" s="9"/>
      <c r="T28" s="9"/>
      <c r="U28" s="9"/>
    </row>
    <row r="29" spans="2:21" ht="31.5" customHeight="1" thickBot="1" x14ac:dyDescent="0.3">
      <c r="B29" s="356" t="s">
        <v>188</v>
      </c>
      <c r="C29" s="458" t="s">
        <v>217</v>
      </c>
      <c r="D29" s="476"/>
      <c r="E29" s="423" t="s">
        <v>227</v>
      </c>
      <c r="F29" s="423" t="s">
        <v>228</v>
      </c>
      <c r="G29" s="423" t="s">
        <v>229</v>
      </c>
      <c r="H29" s="479" t="s">
        <v>81</v>
      </c>
      <c r="I29" s="1424"/>
      <c r="J29" s="1424"/>
      <c r="K29" s="343" t="s">
        <v>221</v>
      </c>
      <c r="L29" s="342"/>
      <c r="M29" s="343" t="s">
        <v>220</v>
      </c>
      <c r="N29" s="417"/>
      <c r="O29" s="343" t="s">
        <v>222</v>
      </c>
      <c r="P29" s="342"/>
      <c r="Q29" s="6"/>
      <c r="R29" s="487" t="s">
        <v>231</v>
      </c>
      <c r="S29" s="9"/>
      <c r="T29" s="9"/>
      <c r="U29" s="9"/>
    </row>
    <row r="30" spans="2:21" ht="15.75" x14ac:dyDescent="0.25">
      <c r="B30" s="456" t="s">
        <v>8</v>
      </c>
      <c r="C30" s="460">
        <f>O9</f>
        <v>1183030.3439159277</v>
      </c>
      <c r="D30" s="331"/>
      <c r="E30" s="464">
        <v>351676.10343388136</v>
      </c>
      <c r="F30" s="464">
        <v>501633.59155000007</v>
      </c>
      <c r="G30" s="464">
        <v>92349.320699999997</v>
      </c>
      <c r="H30" s="480">
        <f>SUM(E30:G30)</f>
        <v>945659.01568388147</v>
      </c>
      <c r="I30" s="480">
        <v>1216693.8534338812</v>
      </c>
      <c r="J30" s="480">
        <f>I30/R30</f>
        <v>2534.7788613205857</v>
      </c>
      <c r="K30" s="468">
        <f>C30-I30</f>
        <v>-33663.509517953498</v>
      </c>
      <c r="L30" s="415"/>
      <c r="M30" s="468">
        <f>(C30/R30)-(I30/R30)</f>
        <v>-70.132311495736303</v>
      </c>
      <c r="N30" s="415"/>
      <c r="O30" s="472">
        <f>C30/I30</f>
        <v>0.97233198028991041</v>
      </c>
      <c r="P30" s="340"/>
      <c r="Q30" s="456" t="s">
        <v>8</v>
      </c>
      <c r="R30" s="483">
        <v>480</v>
      </c>
      <c r="S30" s="9"/>
    </row>
    <row r="31" spans="2:21" ht="15.75" x14ac:dyDescent="0.25">
      <c r="B31" s="456" t="s">
        <v>9</v>
      </c>
      <c r="C31" s="461">
        <f t="shared" ref="C31:C45" si="1">O10</f>
        <v>1866881.254328765</v>
      </c>
      <c r="D31" s="337"/>
      <c r="E31" s="459">
        <v>510312.60661329515</v>
      </c>
      <c r="F31" s="459">
        <v>974006.01124999986</v>
      </c>
      <c r="G31" s="459">
        <v>262890.80499999999</v>
      </c>
      <c r="H31" s="481">
        <f t="shared" ref="H31:H45" si="2">SUM(E31:G31)</f>
        <v>1747209.4228632951</v>
      </c>
      <c r="I31" s="481">
        <v>2199706.7059342386</v>
      </c>
      <c r="J31" s="481">
        <f t="shared" ref="J31:J47" si="3">I31/R31</f>
        <v>2249.1888608734548</v>
      </c>
      <c r="K31" s="469">
        <f t="shared" ref="K31:K45" si="4">C31-I31</f>
        <v>-332825.45160547365</v>
      </c>
      <c r="L31" s="417"/>
      <c r="M31" s="469">
        <f t="shared" ref="M31:M45" si="5">(C31/R31)-(I31/R31)</f>
        <v>-340.31232270498344</v>
      </c>
      <c r="N31" s="417"/>
      <c r="O31" s="474">
        <f t="shared" ref="O31:O45" si="6">C31/I31</f>
        <v>0.84869553258732322</v>
      </c>
      <c r="P31" s="342"/>
      <c r="Q31" s="456" t="s">
        <v>9</v>
      </c>
      <c r="R31" s="484">
        <v>978</v>
      </c>
      <c r="S31" s="9"/>
    </row>
    <row r="32" spans="2:21" ht="15.75" x14ac:dyDescent="0.25">
      <c r="B32" s="456" t="s">
        <v>10</v>
      </c>
      <c r="C32" s="461">
        <f t="shared" si="1"/>
        <v>3773452.9662988447</v>
      </c>
      <c r="D32" s="337"/>
      <c r="E32" s="459">
        <v>1215576.0966518943</v>
      </c>
      <c r="F32" s="459">
        <v>1881224.0232499999</v>
      </c>
      <c r="G32" s="459">
        <v>266908.48599999998</v>
      </c>
      <c r="H32" s="481">
        <f t="shared" si="2"/>
        <v>3363708.6059018942</v>
      </c>
      <c r="I32" s="481">
        <v>3292349.7079742672</v>
      </c>
      <c r="J32" s="481">
        <f t="shared" si="3"/>
        <v>1302.8688990796468</v>
      </c>
      <c r="K32" s="469">
        <f t="shared" si="4"/>
        <v>481103.25832457747</v>
      </c>
      <c r="L32" s="417"/>
      <c r="M32" s="469">
        <f t="shared" si="5"/>
        <v>190.38514377703882</v>
      </c>
      <c r="N32" s="417"/>
      <c r="O32" s="474">
        <f>C32/I32</f>
        <v>1.1461276295040337</v>
      </c>
      <c r="P32" s="342"/>
      <c r="Q32" s="456" t="s">
        <v>10</v>
      </c>
      <c r="R32" s="484">
        <v>2527</v>
      </c>
      <c r="S32" s="9"/>
    </row>
    <row r="33" spans="2:19" ht="15.75" x14ac:dyDescent="0.25">
      <c r="B33" s="456" t="s">
        <v>11</v>
      </c>
      <c r="C33" s="461">
        <f t="shared" si="1"/>
        <v>1323716.7842437392</v>
      </c>
      <c r="D33" s="337"/>
      <c r="E33" s="459">
        <v>496933.62441744097</v>
      </c>
      <c r="F33" s="459">
        <v>651159.79110000003</v>
      </c>
      <c r="G33" s="459">
        <v>113401.2061</v>
      </c>
      <c r="H33" s="481">
        <f t="shared" si="2"/>
        <v>1261494.6216174411</v>
      </c>
      <c r="I33" s="481">
        <v>1576625.4844174411</v>
      </c>
      <c r="J33" s="481">
        <f t="shared" si="3"/>
        <v>2732.4531792329999</v>
      </c>
      <c r="K33" s="469">
        <f t="shared" si="4"/>
        <v>-252908.70017370186</v>
      </c>
      <c r="L33" s="417"/>
      <c r="M33" s="469">
        <f t="shared" si="5"/>
        <v>-438.31663808267194</v>
      </c>
      <c r="N33" s="417"/>
      <c r="O33" s="474">
        <f t="shared" si="6"/>
        <v>0.83958860067065899</v>
      </c>
      <c r="P33" s="342"/>
      <c r="Q33" s="456" t="s">
        <v>11</v>
      </c>
      <c r="R33" s="484">
        <v>577</v>
      </c>
      <c r="S33" s="9"/>
    </row>
    <row r="34" spans="2:19" ht="15.75" x14ac:dyDescent="0.25">
      <c r="B34" s="456" t="s">
        <v>12</v>
      </c>
      <c r="C34" s="461">
        <f t="shared" si="1"/>
        <v>1578868.8640119936</v>
      </c>
      <c r="D34" s="337"/>
      <c r="E34" s="459">
        <v>382256.63416726235</v>
      </c>
      <c r="F34" s="459">
        <v>540608.46385000006</v>
      </c>
      <c r="G34" s="459">
        <v>243550.7893</v>
      </c>
      <c r="H34" s="481">
        <f t="shared" si="2"/>
        <v>1166415.8873172624</v>
      </c>
      <c r="I34" s="481">
        <v>1739697.0046962115</v>
      </c>
      <c r="J34" s="481">
        <f t="shared" si="3"/>
        <v>3535.9695217402673</v>
      </c>
      <c r="K34" s="469">
        <f t="shared" si="4"/>
        <v>-160828.14068421791</v>
      </c>
      <c r="L34" s="417"/>
      <c r="M34" s="469">
        <f t="shared" si="5"/>
        <v>-326.88646480532088</v>
      </c>
      <c r="N34" s="417"/>
      <c r="O34" s="474">
        <f t="shared" si="6"/>
        <v>0.90755393597271727</v>
      </c>
      <c r="P34" s="342"/>
      <c r="Q34" s="456" t="s">
        <v>12</v>
      </c>
      <c r="R34" s="484">
        <v>492</v>
      </c>
      <c r="S34" s="9"/>
    </row>
    <row r="35" spans="2:19" ht="15.75" x14ac:dyDescent="0.25">
      <c r="B35" s="456" t="s">
        <v>13</v>
      </c>
      <c r="C35" s="461">
        <f t="shared" si="1"/>
        <v>2566121.3843153464</v>
      </c>
      <c r="D35" s="337"/>
      <c r="E35" s="459">
        <v>743966.9742480343</v>
      </c>
      <c r="F35" s="459">
        <v>1250051.29125</v>
      </c>
      <c r="G35" s="459">
        <v>128670.46124999999</v>
      </c>
      <c r="H35" s="481">
        <f t="shared" si="2"/>
        <v>2122688.7267480344</v>
      </c>
      <c r="I35" s="481">
        <v>2440418.4450414581</v>
      </c>
      <c r="J35" s="481">
        <f t="shared" si="3"/>
        <v>1599.2257175894222</v>
      </c>
      <c r="K35" s="469">
        <f t="shared" si="4"/>
        <v>125702.93927388825</v>
      </c>
      <c r="L35" s="417"/>
      <c r="M35" s="469">
        <f t="shared" si="5"/>
        <v>82.374141070700034</v>
      </c>
      <c r="N35" s="417"/>
      <c r="O35" s="474">
        <f t="shared" si="6"/>
        <v>1.0515087646257126</v>
      </c>
      <c r="P35" s="342"/>
      <c r="Q35" s="456" t="s">
        <v>13</v>
      </c>
      <c r="R35" s="484">
        <v>1526</v>
      </c>
      <c r="S35" s="9"/>
    </row>
    <row r="36" spans="2:19" ht="15.75" x14ac:dyDescent="0.25">
      <c r="B36" s="456" t="s">
        <v>14</v>
      </c>
      <c r="C36" s="461">
        <f t="shared" si="1"/>
        <v>4463078.5680338182</v>
      </c>
      <c r="D36" s="337"/>
      <c r="E36" s="459">
        <v>1889781.2351644028</v>
      </c>
      <c r="F36" s="459">
        <v>2447867.6255000001</v>
      </c>
      <c r="G36" s="459">
        <v>324068.14550000004</v>
      </c>
      <c r="H36" s="481">
        <f t="shared" si="2"/>
        <v>4661717.0061644027</v>
      </c>
      <c r="I36" s="481">
        <v>4303219.6347498214</v>
      </c>
      <c r="J36" s="481">
        <f t="shared" si="3"/>
        <v>1012.7605636031587</v>
      </c>
      <c r="K36" s="469">
        <f t="shared" si="4"/>
        <v>159858.93328399677</v>
      </c>
      <c r="L36" s="417"/>
      <c r="M36" s="469">
        <f t="shared" si="5"/>
        <v>37.622719059542533</v>
      </c>
      <c r="N36" s="417"/>
      <c r="O36" s="474">
        <f t="shared" si="6"/>
        <v>1.0371486809534625</v>
      </c>
      <c r="P36" s="342"/>
      <c r="Q36" s="456" t="s">
        <v>14</v>
      </c>
      <c r="R36" s="484">
        <v>4249</v>
      </c>
      <c r="S36" s="9"/>
    </row>
    <row r="37" spans="2:19" ht="15.75" x14ac:dyDescent="0.25">
      <c r="B37" s="456" t="s">
        <v>15</v>
      </c>
      <c r="C37" s="461">
        <f t="shared" si="1"/>
        <v>904049.0142732925</v>
      </c>
      <c r="D37" s="337"/>
      <c r="E37" s="459">
        <v>252289.37855039316</v>
      </c>
      <c r="F37" s="459">
        <v>423065.08334999997</v>
      </c>
      <c r="G37" s="459">
        <v>46779.00045</v>
      </c>
      <c r="H37" s="481">
        <f t="shared" si="2"/>
        <v>722133.46235039318</v>
      </c>
      <c r="I37" s="481">
        <v>851804.01855039306</v>
      </c>
      <c r="J37" s="481">
        <f t="shared" si="3"/>
        <v>2359.5679184221412</v>
      </c>
      <c r="K37" s="469">
        <f t="shared" si="4"/>
        <v>52244.995722899446</v>
      </c>
      <c r="L37" s="417"/>
      <c r="M37" s="469">
        <f t="shared" si="5"/>
        <v>144.72297984182705</v>
      </c>
      <c r="N37" s="417"/>
      <c r="O37" s="474">
        <f t="shared" si="6"/>
        <v>1.0613345260002534</v>
      </c>
      <c r="P37" s="342"/>
      <c r="Q37" s="456" t="s">
        <v>15</v>
      </c>
      <c r="R37" s="484">
        <v>361</v>
      </c>
      <c r="S37" s="9"/>
    </row>
    <row r="38" spans="2:19" ht="15.75" x14ac:dyDescent="0.25">
      <c r="B38" s="456" t="s">
        <v>16</v>
      </c>
      <c r="C38" s="461">
        <f t="shared" si="1"/>
        <v>752058.70748465892</v>
      </c>
      <c r="D38" s="337"/>
      <c r="E38" s="459">
        <v>229353.98050035737</v>
      </c>
      <c r="F38" s="459">
        <v>279920.13594999997</v>
      </c>
      <c r="G38" s="459">
        <v>16835</v>
      </c>
      <c r="H38" s="481">
        <f t="shared" si="2"/>
        <v>526109.11645035737</v>
      </c>
      <c r="I38" s="481">
        <v>723512.01050035737</v>
      </c>
      <c r="J38" s="481">
        <f t="shared" si="3"/>
        <v>2905.6707249010337</v>
      </c>
      <c r="K38" s="469">
        <f t="shared" si="4"/>
        <v>28546.696984301554</v>
      </c>
      <c r="L38" s="417"/>
      <c r="M38" s="469">
        <f t="shared" si="5"/>
        <v>114.6453694148654</v>
      </c>
      <c r="N38" s="417"/>
      <c r="O38" s="474">
        <f t="shared" si="6"/>
        <v>1.0394557333810666</v>
      </c>
      <c r="P38" s="342"/>
      <c r="Q38" s="456" t="s">
        <v>16</v>
      </c>
      <c r="R38" s="484">
        <v>249</v>
      </c>
      <c r="S38" s="9"/>
    </row>
    <row r="39" spans="2:19" ht="15.75" x14ac:dyDescent="0.25">
      <c r="B39" s="456" t="s">
        <v>17</v>
      </c>
      <c r="C39" s="461">
        <f t="shared" si="1"/>
        <v>2272768.9033802128</v>
      </c>
      <c r="D39" s="337"/>
      <c r="E39" s="459">
        <v>1182606.4619549678</v>
      </c>
      <c r="F39" s="459">
        <v>1332230.2650000001</v>
      </c>
      <c r="G39" s="459">
        <v>186782.7825</v>
      </c>
      <c r="H39" s="481">
        <f t="shared" si="2"/>
        <v>2701619.5094549679</v>
      </c>
      <c r="I39" s="481">
        <v>2673554.202219442</v>
      </c>
      <c r="J39" s="481">
        <f t="shared" si="3"/>
        <v>1437.394732376044</v>
      </c>
      <c r="K39" s="469">
        <f t="shared" si="4"/>
        <v>-400785.29883922916</v>
      </c>
      <c r="L39" s="417"/>
      <c r="M39" s="469">
        <f t="shared" si="5"/>
        <v>-215.47596711786514</v>
      </c>
      <c r="N39" s="417"/>
      <c r="O39" s="474">
        <f t="shared" si="6"/>
        <v>0.85009269738892201</v>
      </c>
      <c r="P39" s="342"/>
      <c r="Q39" s="456" t="s">
        <v>17</v>
      </c>
      <c r="R39" s="484">
        <v>1860</v>
      </c>
      <c r="S39" s="9"/>
    </row>
    <row r="40" spans="2:19" ht="15.75" x14ac:dyDescent="0.25">
      <c r="B40" s="456" t="s">
        <v>18</v>
      </c>
      <c r="C40" s="461">
        <f t="shared" si="1"/>
        <v>666332.2552461772</v>
      </c>
      <c r="D40" s="337"/>
      <c r="E40" s="459">
        <v>292426.32513795566</v>
      </c>
      <c r="F40" s="459">
        <v>344378.71549999993</v>
      </c>
      <c r="G40" s="459">
        <v>40353.750000000007</v>
      </c>
      <c r="H40" s="481">
        <f t="shared" si="2"/>
        <v>677158.79063795554</v>
      </c>
      <c r="I40" s="481">
        <v>700714.95513795561</v>
      </c>
      <c r="J40" s="481">
        <f t="shared" si="3"/>
        <v>1756.177832425954</v>
      </c>
      <c r="K40" s="469">
        <f t="shared" si="4"/>
        <v>-34382.699891778408</v>
      </c>
      <c r="L40" s="417"/>
      <c r="M40" s="469">
        <f t="shared" si="5"/>
        <v>-86.172180179895804</v>
      </c>
      <c r="N40" s="417"/>
      <c r="O40" s="474">
        <f t="shared" si="6"/>
        <v>0.95093197363682758</v>
      </c>
      <c r="P40" s="342"/>
      <c r="Q40" s="456" t="s">
        <v>18</v>
      </c>
      <c r="R40" s="484">
        <v>399</v>
      </c>
      <c r="S40" s="9"/>
    </row>
    <row r="41" spans="2:19" ht="15.75" x14ac:dyDescent="0.25">
      <c r="B41" s="456" t="s">
        <v>19</v>
      </c>
      <c r="C41" s="461">
        <f t="shared" si="1"/>
        <v>2363359.3597819796</v>
      </c>
      <c r="D41" s="337"/>
      <c r="E41" s="459">
        <v>894480.5239513939</v>
      </c>
      <c r="F41" s="459">
        <v>1562005.93875</v>
      </c>
      <c r="G41" s="459">
        <v>148111.36875000002</v>
      </c>
      <c r="H41" s="481">
        <f t="shared" si="2"/>
        <v>2604597.8314513937</v>
      </c>
      <c r="I41" s="481">
        <v>2774752.3332723374</v>
      </c>
      <c r="J41" s="481">
        <f t="shared" si="3"/>
        <v>1533.0123388244958</v>
      </c>
      <c r="K41" s="469">
        <f t="shared" si="4"/>
        <v>-411392.97349035786</v>
      </c>
      <c r="L41" s="417"/>
      <c r="M41" s="469">
        <f t="shared" si="5"/>
        <v>-227.28893563003203</v>
      </c>
      <c r="N41" s="417"/>
      <c r="O41" s="474">
        <f t="shared" si="6"/>
        <v>0.85173704746283019</v>
      </c>
      <c r="P41" s="342"/>
      <c r="Q41" s="456" t="s">
        <v>19</v>
      </c>
      <c r="R41" s="484">
        <v>1810</v>
      </c>
      <c r="S41" s="9"/>
    </row>
    <row r="42" spans="2:19" ht="15.75" x14ac:dyDescent="0.25">
      <c r="B42" s="456" t="s">
        <v>20</v>
      </c>
      <c r="C42" s="461">
        <f t="shared" si="1"/>
        <v>260999.7304024304</v>
      </c>
      <c r="D42" s="337"/>
      <c r="E42" s="459">
        <v>61161.061466761974</v>
      </c>
      <c r="F42" s="459">
        <v>168358.78150000001</v>
      </c>
      <c r="G42" s="459">
        <v>0</v>
      </c>
      <c r="H42" s="481">
        <f t="shared" si="2"/>
        <v>229519.84296676199</v>
      </c>
      <c r="I42" s="481">
        <v>277989.16146676196</v>
      </c>
      <c r="J42" s="481">
        <f t="shared" si="3"/>
        <v>2698.9238977355531</v>
      </c>
      <c r="K42" s="469">
        <f t="shared" si="4"/>
        <v>-16989.431064331555</v>
      </c>
      <c r="L42" s="417"/>
      <c r="M42" s="469">
        <f t="shared" si="5"/>
        <v>-164.94593266341326</v>
      </c>
      <c r="N42" s="417"/>
      <c r="O42" s="474">
        <f t="shared" si="6"/>
        <v>0.93888455587732356</v>
      </c>
      <c r="P42" s="342"/>
      <c r="Q42" s="456" t="s">
        <v>20</v>
      </c>
      <c r="R42" s="484">
        <v>103</v>
      </c>
      <c r="S42" s="9"/>
    </row>
    <row r="43" spans="2:19" ht="15.75" x14ac:dyDescent="0.25">
      <c r="B43" s="456" t="s">
        <v>21</v>
      </c>
      <c r="C43" s="461">
        <f t="shared" si="1"/>
        <v>2150140.4144398049</v>
      </c>
      <c r="D43" s="337"/>
      <c r="E43" s="459">
        <v>590586.49978842027</v>
      </c>
      <c r="F43" s="459">
        <v>995075.96000000008</v>
      </c>
      <c r="G43" s="459">
        <v>313299.51100000006</v>
      </c>
      <c r="H43" s="481">
        <f t="shared" si="2"/>
        <v>1898961.9707884202</v>
      </c>
      <c r="I43" s="481">
        <v>2111357.3397884206</v>
      </c>
      <c r="J43" s="481">
        <f t="shared" si="3"/>
        <v>2045.8888951438184</v>
      </c>
      <c r="K43" s="469">
        <f t="shared" si="4"/>
        <v>38783.074651384261</v>
      </c>
      <c r="L43" s="417"/>
      <c r="M43" s="469">
        <f t="shared" si="5"/>
        <v>37.580498693201662</v>
      </c>
      <c r="N43" s="417"/>
      <c r="O43" s="474">
        <f t="shared" si="6"/>
        <v>1.01836878766115</v>
      </c>
      <c r="P43" s="342"/>
      <c r="Q43" s="456" t="s">
        <v>21</v>
      </c>
      <c r="R43" s="484">
        <v>1032</v>
      </c>
      <c r="S43" s="9"/>
    </row>
    <row r="44" spans="2:19" ht="15.75" x14ac:dyDescent="0.25">
      <c r="B44" s="456" t="s">
        <v>22</v>
      </c>
      <c r="C44" s="461">
        <f t="shared" si="1"/>
        <v>1254938.8578124351</v>
      </c>
      <c r="D44" s="337"/>
      <c r="E44" s="459">
        <v>336385.83806719084</v>
      </c>
      <c r="F44" s="459">
        <v>539862.85990000004</v>
      </c>
      <c r="G44" s="459">
        <v>75099.902149999994</v>
      </c>
      <c r="H44" s="481">
        <f t="shared" si="2"/>
        <v>951348.60011719086</v>
      </c>
      <c r="I44" s="481">
        <v>1360146.6790107221</v>
      </c>
      <c r="J44" s="481">
        <f t="shared" si="3"/>
        <v>3029.2799087098488</v>
      </c>
      <c r="K44" s="469">
        <f t="shared" si="4"/>
        <v>-105207.82119828695</v>
      </c>
      <c r="L44" s="417"/>
      <c r="M44" s="469">
        <f t="shared" si="5"/>
        <v>-234.31586012981506</v>
      </c>
      <c r="N44" s="417"/>
      <c r="O44" s="474">
        <f t="shared" si="6"/>
        <v>0.92264965034888158</v>
      </c>
      <c r="P44" s="342"/>
      <c r="Q44" s="456" t="s">
        <v>22</v>
      </c>
      <c r="R44" s="484">
        <v>449</v>
      </c>
      <c r="S44" s="9"/>
    </row>
    <row r="45" spans="2:19" ht="16.5" thickBot="1" x14ac:dyDescent="0.3">
      <c r="B45" s="457" t="s">
        <v>23</v>
      </c>
      <c r="C45" s="462">
        <f t="shared" si="1"/>
        <v>5623714.5413873866</v>
      </c>
      <c r="D45" s="334"/>
      <c r="E45" s="465">
        <v>2064185.8245032167</v>
      </c>
      <c r="F45" s="465">
        <v>3527549.4961999995</v>
      </c>
      <c r="G45" s="465">
        <v>788625.27210000018</v>
      </c>
      <c r="H45" s="482">
        <f t="shared" si="2"/>
        <v>6380360.5928032156</v>
      </c>
      <c r="I45" s="482">
        <v>5715986.097562544</v>
      </c>
      <c r="J45" s="482">
        <f t="shared" si="3"/>
        <v>507.50120727715034</v>
      </c>
      <c r="K45" s="470">
        <f t="shared" si="4"/>
        <v>-92271.556175157428</v>
      </c>
      <c r="L45" s="416"/>
      <c r="M45" s="470">
        <f t="shared" si="5"/>
        <v>-8.1924492741860604</v>
      </c>
      <c r="N45" s="416"/>
      <c r="O45" s="475">
        <f t="shared" si="6"/>
        <v>0.98385728121093496</v>
      </c>
      <c r="P45" s="341"/>
      <c r="Q45" s="457" t="s">
        <v>23</v>
      </c>
      <c r="R45" s="485">
        <v>11263</v>
      </c>
      <c r="S45" s="9"/>
    </row>
    <row r="46" spans="2:19" ht="16.5" thickBot="1" x14ac:dyDescent="0.3">
      <c r="B46" s="420"/>
      <c r="C46" s="424"/>
      <c r="D46" s="421"/>
      <c r="E46" s="421"/>
      <c r="F46" s="421"/>
      <c r="G46" s="421"/>
      <c r="H46" s="467"/>
      <c r="I46" s="467"/>
      <c r="J46" s="467"/>
      <c r="K46" s="222"/>
      <c r="L46" s="9"/>
      <c r="M46" s="489"/>
      <c r="N46" s="9"/>
      <c r="O46" s="490"/>
      <c r="P46" s="9"/>
      <c r="Q46" s="9"/>
      <c r="S46" s="9"/>
    </row>
    <row r="47" spans="2:19" ht="16.5" thickBot="1" x14ac:dyDescent="0.3">
      <c r="B47" s="353" t="s">
        <v>81</v>
      </c>
      <c r="C47" s="463">
        <f t="shared" ref="C47:H47" si="7">SUM(C30:C45)</f>
        <v>33003511.949356809</v>
      </c>
      <c r="D47" s="463">
        <f t="shared" si="7"/>
        <v>0</v>
      </c>
      <c r="E47" s="463">
        <f t="shared" si="7"/>
        <v>11493979.16861687</v>
      </c>
      <c r="F47" s="463">
        <f t="shared" si="7"/>
        <v>17418998.0339</v>
      </c>
      <c r="G47" s="463">
        <f t="shared" si="7"/>
        <v>3047725.8007999999</v>
      </c>
      <c r="H47" s="488">
        <f t="shared" si="7"/>
        <v>31960703.003316864</v>
      </c>
      <c r="I47" s="488">
        <v>33958527.63375625</v>
      </c>
      <c r="J47" s="488">
        <f t="shared" si="3"/>
        <v>1197.6204420298448</v>
      </c>
      <c r="K47" s="471">
        <f>C47-I47</f>
        <v>-955015.68439944088</v>
      </c>
      <c r="L47" s="354"/>
      <c r="M47" s="470">
        <f>(C47/R47)-(I47/R47)</f>
        <v>-33.680680105781676</v>
      </c>
      <c r="N47" s="354"/>
      <c r="O47" s="475">
        <f>C47/I47</f>
        <v>0.97187699965383323</v>
      </c>
      <c r="P47" s="355"/>
      <c r="Q47" s="6"/>
      <c r="R47" s="486">
        <f>SUM(R30:R45)</f>
        <v>28355</v>
      </c>
      <c r="S47" s="9"/>
    </row>
    <row r="48" spans="2:19" x14ac:dyDescent="0.2">
      <c r="M48" s="9"/>
      <c r="N48" s="9"/>
      <c r="O48" s="9"/>
      <c r="P48" s="9"/>
      <c r="Q48" s="9"/>
      <c r="R48" s="9"/>
      <c r="S48" s="9"/>
    </row>
    <row r="49" spans="2:20" ht="15.75" thickBot="1" x14ac:dyDescent="0.25"/>
    <row r="50" spans="2:20" ht="15.75" x14ac:dyDescent="0.25">
      <c r="B50" s="348" t="s">
        <v>180</v>
      </c>
      <c r="C50" s="344" t="s">
        <v>181</v>
      </c>
      <c r="D50" s="345"/>
      <c r="E50" s="349" t="s">
        <v>182</v>
      </c>
      <c r="F50" s="350"/>
      <c r="G50" s="345" t="s">
        <v>183</v>
      </c>
      <c r="H50" s="345"/>
      <c r="I50" s="338" t="s">
        <v>180</v>
      </c>
      <c r="J50" s="340"/>
      <c r="K50" s="345" t="s">
        <v>350</v>
      </c>
      <c r="L50" s="345"/>
      <c r="M50" s="338" t="s">
        <v>184</v>
      </c>
      <c r="N50" s="340"/>
      <c r="O50" s="330" t="s">
        <v>185</v>
      </c>
      <c r="P50" s="693" t="s">
        <v>352</v>
      </c>
      <c r="Q50" s="338" t="s">
        <v>186</v>
      </c>
      <c r="R50" s="340"/>
      <c r="T50" s="9"/>
    </row>
    <row r="51" spans="2:20" ht="16.5" thickBot="1" x14ac:dyDescent="0.3">
      <c r="B51" s="704">
        <v>2013</v>
      </c>
      <c r="C51" s="689"/>
      <c r="D51" s="690"/>
      <c r="E51" s="351"/>
      <c r="F51" s="352"/>
      <c r="G51" s="346"/>
      <c r="H51" s="346"/>
      <c r="I51" s="339" t="s">
        <v>274</v>
      </c>
      <c r="J51" s="342" t="s">
        <v>275</v>
      </c>
      <c r="K51" s="346" t="s">
        <v>351</v>
      </c>
      <c r="L51" s="346"/>
      <c r="M51" s="339"/>
      <c r="N51" s="341"/>
      <c r="O51" s="336"/>
      <c r="P51" s="694"/>
      <c r="Q51" s="343"/>
      <c r="R51" s="342"/>
      <c r="T51" s="9"/>
    </row>
    <row r="52" spans="2:20" ht="15.75" x14ac:dyDescent="0.25">
      <c r="B52" s="456" t="s">
        <v>8</v>
      </c>
      <c r="C52" s="687">
        <f>C30</f>
        <v>1183030.3439159277</v>
      </c>
      <c r="D52" s="331"/>
      <c r="E52" s="687">
        <v>920000</v>
      </c>
      <c r="F52" s="698"/>
      <c r="G52" s="687">
        <v>1020000</v>
      </c>
      <c r="H52" s="331"/>
      <c r="I52" s="338"/>
      <c r="J52" s="701">
        <f>C52/SUM(E52+G52)</f>
        <v>0.60980945562676681</v>
      </c>
      <c r="K52" s="464">
        <v>2555000</v>
      </c>
      <c r="L52" s="698"/>
      <c r="M52" s="329"/>
      <c r="N52" s="330"/>
      <c r="O52" s="687">
        <f>'Data, inkomst- skkompl, kost'!U48*1000</f>
        <v>1536000</v>
      </c>
      <c r="P52" s="695">
        <f>C52/O52</f>
        <v>0.77020204682026538</v>
      </c>
      <c r="Q52" s="705">
        <f>(O52+C52)/K52</f>
        <v>1.0641997432156274</v>
      </c>
      <c r="R52" s="340"/>
      <c r="T52" s="9"/>
    </row>
    <row r="53" spans="2:20" ht="15.75" x14ac:dyDescent="0.25">
      <c r="B53" s="456" t="s">
        <v>9</v>
      </c>
      <c r="C53" s="688">
        <f t="shared" ref="C53:C69" si="8">C31</f>
        <v>1866881.254328765</v>
      </c>
      <c r="D53" s="337"/>
      <c r="E53" s="688">
        <v>1317000</v>
      </c>
      <c r="F53" s="699"/>
      <c r="G53" s="688">
        <v>2566000</v>
      </c>
      <c r="H53" s="337"/>
      <c r="I53" s="343"/>
      <c r="J53" s="702">
        <f t="shared" ref="J53:J67" si="9">C53/SUM(E53+G53)</f>
        <v>0.4807832228505704</v>
      </c>
      <c r="K53" s="459">
        <v>4841000</v>
      </c>
      <c r="L53" s="699"/>
      <c r="M53" s="335"/>
      <c r="N53" s="336"/>
      <c r="O53" s="688">
        <f>'Data, inkomst- skkompl, kost'!U49*1000</f>
        <v>2643000</v>
      </c>
      <c r="P53" s="696">
        <f t="shared" ref="P53:P67" si="10">C53/O53</f>
        <v>0.70634932059355471</v>
      </c>
      <c r="Q53" s="706">
        <f t="shared" ref="Q53:Q69" si="11">(O53+C53)/K53</f>
        <v>0.93160116800842074</v>
      </c>
      <c r="R53" s="342"/>
      <c r="T53" s="9"/>
    </row>
    <row r="54" spans="2:20" ht="15.75" x14ac:dyDescent="0.25">
      <c r="B54" s="456" t="s">
        <v>10</v>
      </c>
      <c r="C54" s="688">
        <f>C32</f>
        <v>3773452.9662988447</v>
      </c>
      <c r="D54" s="337"/>
      <c r="E54" s="688">
        <v>4395000</v>
      </c>
      <c r="F54" s="699"/>
      <c r="G54" s="688">
        <v>5880000</v>
      </c>
      <c r="H54" s="337"/>
      <c r="I54" s="343"/>
      <c r="J54" s="702">
        <f t="shared" si="9"/>
        <v>0.36724603078334256</v>
      </c>
      <c r="K54" s="459">
        <v>11224000</v>
      </c>
      <c r="L54" s="699"/>
      <c r="M54" s="335"/>
      <c r="N54" s="336"/>
      <c r="O54" s="688">
        <f>'Data, inkomst- skkompl, kost'!U50*1000</f>
        <v>8184000</v>
      </c>
      <c r="P54" s="696">
        <f t="shared" si="10"/>
        <v>0.46107685316457048</v>
      </c>
      <c r="Q54" s="706">
        <f t="shared" si="11"/>
        <v>1.0653468430415933</v>
      </c>
      <c r="R54" s="342"/>
      <c r="T54" s="9"/>
    </row>
    <row r="55" spans="2:20" ht="15.75" x14ac:dyDescent="0.25">
      <c r="B55" s="456" t="s">
        <v>11</v>
      </c>
      <c r="C55" s="688">
        <f t="shared" si="8"/>
        <v>1323716.7842437392</v>
      </c>
      <c r="D55" s="337"/>
      <c r="E55" s="688">
        <v>1143000</v>
      </c>
      <c r="F55" s="699"/>
      <c r="G55" s="688">
        <v>1509000</v>
      </c>
      <c r="H55" s="337"/>
      <c r="I55" s="343"/>
      <c r="J55" s="702">
        <f t="shared" si="9"/>
        <v>0.49913905891543708</v>
      </c>
      <c r="K55" s="459">
        <v>3152000</v>
      </c>
      <c r="L55" s="699"/>
      <c r="M55" s="335"/>
      <c r="N55" s="336"/>
      <c r="O55" s="688">
        <f>'Data, inkomst- skkompl, kost'!U51*1000</f>
        <v>1755000</v>
      </c>
      <c r="P55" s="696">
        <f t="shared" si="10"/>
        <v>0.75425457791666051</v>
      </c>
      <c r="Q55" s="706">
        <f t="shared" si="11"/>
        <v>0.97675024880829286</v>
      </c>
      <c r="R55" s="342"/>
      <c r="T55" s="9"/>
    </row>
    <row r="56" spans="2:20" ht="15.75" x14ac:dyDescent="0.25">
      <c r="B56" s="456" t="s">
        <v>12</v>
      </c>
      <c r="C56" s="688">
        <f t="shared" si="8"/>
        <v>1578868.8640119936</v>
      </c>
      <c r="D56" s="337"/>
      <c r="E56" s="688">
        <v>808000</v>
      </c>
      <c r="F56" s="699"/>
      <c r="G56" s="688">
        <v>1469000</v>
      </c>
      <c r="H56" s="337"/>
      <c r="I56" s="343"/>
      <c r="J56" s="702">
        <f t="shared" si="9"/>
        <v>0.69339871058936919</v>
      </c>
      <c r="K56" s="459">
        <v>2517000</v>
      </c>
      <c r="L56" s="699"/>
      <c r="M56" s="335"/>
      <c r="N56" s="336"/>
      <c r="O56" s="688">
        <f>'Data, inkomst- skkompl, kost'!U52*1000</f>
        <v>1083000</v>
      </c>
      <c r="P56" s="696">
        <f t="shared" si="10"/>
        <v>1.45786598708402</v>
      </c>
      <c r="Q56" s="706">
        <f t="shared" si="11"/>
        <v>1.0575561636916939</v>
      </c>
      <c r="R56" s="342"/>
      <c r="T56" s="9"/>
    </row>
    <row r="57" spans="2:20" ht="15.75" x14ac:dyDescent="0.25">
      <c r="B57" s="456" t="s">
        <v>13</v>
      </c>
      <c r="C57" s="688">
        <f t="shared" si="8"/>
        <v>2566121.3843153464</v>
      </c>
      <c r="D57" s="337"/>
      <c r="E57" s="688">
        <v>2483000</v>
      </c>
      <c r="F57" s="699"/>
      <c r="G57" s="688">
        <v>3629000</v>
      </c>
      <c r="H57" s="337"/>
      <c r="I57" s="343"/>
      <c r="J57" s="702">
        <f t="shared" si="9"/>
        <v>0.41984970293117579</v>
      </c>
      <c r="K57" s="459">
        <v>6805000</v>
      </c>
      <c r="L57" s="699"/>
      <c r="M57" s="335"/>
      <c r="N57" s="336"/>
      <c r="O57" s="688">
        <f>'Data, inkomst- skkompl, kost'!U53*1000</f>
        <v>3898000</v>
      </c>
      <c r="P57" s="696">
        <f t="shared" si="10"/>
        <v>0.65831744081973997</v>
      </c>
      <c r="Q57" s="706">
        <f t="shared" si="11"/>
        <v>0.94990762444016841</v>
      </c>
      <c r="R57" s="342"/>
      <c r="T57" s="9"/>
    </row>
    <row r="58" spans="2:20" ht="15.75" x14ac:dyDescent="0.25">
      <c r="B58" s="456" t="s">
        <v>14</v>
      </c>
      <c r="C58" s="688">
        <f t="shared" si="8"/>
        <v>4463078.5680338182</v>
      </c>
      <c r="D58" s="337"/>
      <c r="E58" s="688">
        <v>6653000</v>
      </c>
      <c r="F58" s="699"/>
      <c r="G58" s="688">
        <v>9387000</v>
      </c>
      <c r="H58" s="337"/>
      <c r="I58" s="343"/>
      <c r="J58" s="702">
        <f t="shared" si="9"/>
        <v>0.27824679351831783</v>
      </c>
      <c r="K58" s="459">
        <v>17323000</v>
      </c>
      <c r="L58" s="699"/>
      <c r="M58" s="335"/>
      <c r="N58" s="336"/>
      <c r="O58" s="688">
        <f>'Data, inkomst- skkompl, kost'!U54*1000</f>
        <v>14291000</v>
      </c>
      <c r="P58" s="696">
        <f t="shared" si="10"/>
        <v>0.31229994878131817</v>
      </c>
      <c r="Q58" s="706">
        <f t="shared" si="11"/>
        <v>1.082611474226971</v>
      </c>
      <c r="R58" s="342"/>
      <c r="T58" s="9"/>
    </row>
    <row r="59" spans="2:20" ht="15.75" x14ac:dyDescent="0.25">
      <c r="B59" s="456" t="s">
        <v>15</v>
      </c>
      <c r="C59" s="688">
        <f t="shared" si="8"/>
        <v>904049.0142732925</v>
      </c>
      <c r="D59" s="337"/>
      <c r="E59" s="688">
        <v>632000</v>
      </c>
      <c r="F59" s="699"/>
      <c r="G59" s="688">
        <v>898000</v>
      </c>
      <c r="H59" s="337"/>
      <c r="I59" s="343"/>
      <c r="J59" s="702">
        <f t="shared" si="9"/>
        <v>0.59088170867535461</v>
      </c>
      <c r="K59" s="459">
        <v>1911000</v>
      </c>
      <c r="L59" s="699"/>
      <c r="M59" s="335"/>
      <c r="N59" s="336"/>
      <c r="O59" s="688">
        <f>'Data, inkomst- skkompl, kost'!U55*1000</f>
        <v>1030000</v>
      </c>
      <c r="P59" s="696">
        <f t="shared" si="10"/>
        <v>0.87771748958572082</v>
      </c>
      <c r="Q59" s="706">
        <f t="shared" si="11"/>
        <v>1.0120612319588134</v>
      </c>
      <c r="R59" s="342"/>
      <c r="T59" s="9"/>
    </row>
    <row r="60" spans="2:20" ht="15.75" x14ac:dyDescent="0.25">
      <c r="B60" s="456" t="s">
        <v>16</v>
      </c>
      <c r="C60" s="688">
        <f t="shared" si="8"/>
        <v>752058.70748465892</v>
      </c>
      <c r="D60" s="337"/>
      <c r="E60" s="688">
        <v>558000</v>
      </c>
      <c r="F60" s="699"/>
      <c r="G60" s="688">
        <v>846000</v>
      </c>
      <c r="H60" s="337"/>
      <c r="I60" s="343"/>
      <c r="J60" s="702">
        <f t="shared" si="9"/>
        <v>0.53565435006029838</v>
      </c>
      <c r="K60" s="459">
        <v>1542000</v>
      </c>
      <c r="L60" s="699"/>
      <c r="M60" s="335"/>
      <c r="N60" s="336"/>
      <c r="O60" s="688">
        <f>'Data, inkomst- skkompl, kost'!U56*1000</f>
        <v>818000</v>
      </c>
      <c r="P60" s="696">
        <f t="shared" si="10"/>
        <v>0.91938717296413075</v>
      </c>
      <c r="Q60" s="706">
        <f t="shared" si="11"/>
        <v>1.0181963083558099</v>
      </c>
      <c r="R60" s="342"/>
      <c r="T60" s="9"/>
    </row>
    <row r="61" spans="2:20" ht="15.75" x14ac:dyDescent="0.25">
      <c r="B61" s="456" t="s">
        <v>17</v>
      </c>
      <c r="C61" s="688">
        <f t="shared" si="8"/>
        <v>2272768.9033802128</v>
      </c>
      <c r="D61" s="337"/>
      <c r="E61" s="688">
        <v>3750000</v>
      </c>
      <c r="F61" s="699"/>
      <c r="G61" s="688">
        <v>3720000</v>
      </c>
      <c r="H61" s="337"/>
      <c r="I61" s="343"/>
      <c r="J61" s="702">
        <f t="shared" si="9"/>
        <v>0.30425286524500839</v>
      </c>
      <c r="K61" s="459">
        <v>8575000</v>
      </c>
      <c r="L61" s="699"/>
      <c r="M61" s="335"/>
      <c r="N61" s="336"/>
      <c r="O61" s="688">
        <f>'Data, inkomst- skkompl, kost'!U57*1000</f>
        <v>5508000</v>
      </c>
      <c r="P61" s="696">
        <f t="shared" si="10"/>
        <v>0.41263051985842641</v>
      </c>
      <c r="Q61" s="706">
        <f t="shared" si="11"/>
        <v>0.90737829777028722</v>
      </c>
      <c r="R61" s="342"/>
      <c r="T61" s="9"/>
    </row>
    <row r="62" spans="2:20" ht="15.75" x14ac:dyDescent="0.25">
      <c r="B62" s="456" t="s">
        <v>18</v>
      </c>
      <c r="C62" s="688">
        <f t="shared" si="8"/>
        <v>666332.2552461772</v>
      </c>
      <c r="D62" s="337"/>
      <c r="E62" s="688">
        <v>874000</v>
      </c>
      <c r="F62" s="699"/>
      <c r="G62" s="688">
        <v>979000</v>
      </c>
      <c r="H62" s="337"/>
      <c r="I62" s="343"/>
      <c r="J62" s="702">
        <f t="shared" si="9"/>
        <v>0.35959646802276157</v>
      </c>
      <c r="K62" s="459">
        <v>2288000</v>
      </c>
      <c r="L62" s="699"/>
      <c r="M62" s="335"/>
      <c r="N62" s="336"/>
      <c r="O62" s="688">
        <f>'Data, inkomst- skkompl, kost'!U58*1000</f>
        <v>1376000</v>
      </c>
      <c r="P62" s="696">
        <f t="shared" si="10"/>
        <v>0.48425309247541948</v>
      </c>
      <c r="Q62" s="706">
        <f t="shared" si="11"/>
        <v>0.89262773393626627</v>
      </c>
      <c r="R62" s="342"/>
      <c r="T62" s="9"/>
    </row>
    <row r="63" spans="2:20" ht="15.75" x14ac:dyDescent="0.25">
      <c r="B63" s="456" t="s">
        <v>19</v>
      </c>
      <c r="C63" s="688">
        <f t="shared" si="8"/>
        <v>2363359.3597819796</v>
      </c>
      <c r="D63" s="337"/>
      <c r="E63" s="688">
        <v>2735000</v>
      </c>
      <c r="F63" s="699"/>
      <c r="G63" s="688">
        <v>3966000</v>
      </c>
      <c r="H63" s="337"/>
      <c r="I63" s="343"/>
      <c r="J63" s="702">
        <f t="shared" si="9"/>
        <v>0.3526875630177555</v>
      </c>
      <c r="K63" s="459">
        <v>7858000</v>
      </c>
      <c r="L63" s="699"/>
      <c r="M63" s="335"/>
      <c r="N63" s="336"/>
      <c r="O63" s="688">
        <f>'Data, inkomst- skkompl, kost'!U59*1000</f>
        <v>4999000</v>
      </c>
      <c r="P63" s="696">
        <f t="shared" si="10"/>
        <v>0.47276642524144419</v>
      </c>
      <c r="Q63" s="706">
        <f t="shared" si="11"/>
        <v>0.93692534484372358</v>
      </c>
      <c r="R63" s="342"/>
      <c r="T63" s="9"/>
    </row>
    <row r="64" spans="2:20" ht="15.75" x14ac:dyDescent="0.25">
      <c r="B64" s="456" t="s">
        <v>20</v>
      </c>
      <c r="C64" s="688">
        <f t="shared" si="8"/>
        <v>260999.7304024304</v>
      </c>
      <c r="D64" s="337"/>
      <c r="E64" s="688">
        <v>191000</v>
      </c>
      <c r="F64" s="699"/>
      <c r="G64" s="688">
        <v>313000</v>
      </c>
      <c r="H64" s="337"/>
      <c r="I64" s="343"/>
      <c r="J64" s="702">
        <f t="shared" si="9"/>
        <v>0.51785660794133015</v>
      </c>
      <c r="K64" s="459">
        <v>663000</v>
      </c>
      <c r="L64" s="699"/>
      <c r="M64" s="335"/>
      <c r="N64" s="336"/>
      <c r="O64" s="688">
        <f>'Data, inkomst- skkompl, kost'!U60*1000</f>
        <v>360000</v>
      </c>
      <c r="P64" s="696">
        <f t="shared" si="10"/>
        <v>0.72499925111786223</v>
      </c>
      <c r="Q64" s="706">
        <f t="shared" si="11"/>
        <v>0.93665117707757228</v>
      </c>
      <c r="R64" s="342"/>
      <c r="T64" s="9"/>
    </row>
    <row r="65" spans="2:20" ht="15.75" x14ac:dyDescent="0.25">
      <c r="B65" s="456" t="s">
        <v>21</v>
      </c>
      <c r="C65" s="688">
        <f t="shared" si="8"/>
        <v>2150140.4144398049</v>
      </c>
      <c r="D65" s="337"/>
      <c r="E65" s="688">
        <v>1607000</v>
      </c>
      <c r="F65" s="699"/>
      <c r="G65" s="688">
        <v>3143000</v>
      </c>
      <c r="H65" s="337"/>
      <c r="I65" s="343"/>
      <c r="J65" s="702">
        <f t="shared" si="9"/>
        <v>0.45266113988206419</v>
      </c>
      <c r="K65" s="459">
        <v>5377000</v>
      </c>
      <c r="L65" s="699"/>
      <c r="M65" s="335"/>
      <c r="N65" s="336"/>
      <c r="O65" s="688">
        <f>'Data, inkomst- skkompl, kost'!U61*1000</f>
        <v>3036000</v>
      </c>
      <c r="P65" s="696">
        <f t="shared" si="10"/>
        <v>0.70821489276673411</v>
      </c>
      <c r="Q65" s="706">
        <f t="shared" si="11"/>
        <v>0.96450444754320341</v>
      </c>
      <c r="R65" s="342"/>
      <c r="T65" s="9"/>
    </row>
    <row r="66" spans="2:20" ht="15.75" x14ac:dyDescent="0.25">
      <c r="B66" s="456" t="s">
        <v>22</v>
      </c>
      <c r="C66" s="688">
        <f t="shared" si="8"/>
        <v>1254938.8578124351</v>
      </c>
      <c r="D66" s="337"/>
      <c r="E66" s="688">
        <v>784000</v>
      </c>
      <c r="F66" s="699"/>
      <c r="G66" s="688">
        <v>1373000</v>
      </c>
      <c r="H66" s="337"/>
      <c r="I66" s="343"/>
      <c r="J66" s="702">
        <f t="shared" si="9"/>
        <v>0.58179826509616839</v>
      </c>
      <c r="K66" s="459">
        <v>2483000</v>
      </c>
      <c r="L66" s="699"/>
      <c r="M66" s="335"/>
      <c r="N66" s="336"/>
      <c r="O66" s="688">
        <f>'Data, inkomst- skkompl, kost'!U62*1000</f>
        <v>1019000</v>
      </c>
      <c r="P66" s="696">
        <f t="shared" si="10"/>
        <v>1.2315396053115164</v>
      </c>
      <c r="Q66" s="706">
        <f t="shared" si="11"/>
        <v>0.91580300354910804</v>
      </c>
      <c r="R66" s="342"/>
      <c r="T66" s="9"/>
    </row>
    <row r="67" spans="2:20" ht="16.5" thickBot="1" x14ac:dyDescent="0.3">
      <c r="B67" s="457" t="s">
        <v>23</v>
      </c>
      <c r="C67" s="691">
        <f t="shared" si="8"/>
        <v>5623714.5413873866</v>
      </c>
      <c r="D67" s="334"/>
      <c r="E67" s="691">
        <v>14497000</v>
      </c>
      <c r="F67" s="700"/>
      <c r="G67" s="691">
        <v>27636000</v>
      </c>
      <c r="H67" s="334"/>
      <c r="I67" s="339"/>
      <c r="J67" s="703">
        <f t="shared" si="9"/>
        <v>0.1334752935083518</v>
      </c>
      <c r="K67" s="465">
        <v>48463000</v>
      </c>
      <c r="L67" s="700"/>
      <c r="M67" s="332"/>
      <c r="N67" s="333"/>
      <c r="O67" s="691">
        <f>'Data, inkomst- skkompl, kost'!U63*1000</f>
        <v>40669000</v>
      </c>
      <c r="P67" s="697">
        <f t="shared" si="10"/>
        <v>0.1382801283874053</v>
      </c>
      <c r="Q67" s="707">
        <f t="shared" si="11"/>
        <v>0.95521768238423921</v>
      </c>
      <c r="R67" s="341"/>
      <c r="T67" s="9"/>
    </row>
    <row r="68" spans="2:20" ht="16.5" thickBot="1" x14ac:dyDescent="0.3">
      <c r="C68" s="36"/>
      <c r="Q68" s="6"/>
      <c r="T68" s="9"/>
    </row>
    <row r="69" spans="2:20" ht="16.5" thickBot="1" x14ac:dyDescent="0.3">
      <c r="B69" s="353" t="s">
        <v>81</v>
      </c>
      <c r="C69" s="692">
        <f t="shared" si="8"/>
        <v>33003511.949356809</v>
      </c>
      <c r="D69" s="354"/>
      <c r="E69" s="692">
        <f>SUM(E52:E67)</f>
        <v>43347000</v>
      </c>
      <c r="F69" s="354"/>
      <c r="G69" s="692">
        <f>SUM(G52:G67)</f>
        <v>68334000</v>
      </c>
      <c r="H69" s="354"/>
      <c r="I69" s="354"/>
      <c r="J69" s="354"/>
      <c r="K69" s="354">
        <f>SUM(K52:K67)</f>
        <v>127577000</v>
      </c>
      <c r="L69" s="354"/>
      <c r="M69" s="354"/>
      <c r="N69" s="354"/>
      <c r="O69" s="463">
        <f>'Data, inkomst- skkompl, kost'!U64*1000</f>
        <v>92205000</v>
      </c>
      <c r="P69" s="354"/>
      <c r="Q69" s="708">
        <f t="shared" si="11"/>
        <v>0.98143483503575735</v>
      </c>
      <c r="R69" s="355"/>
      <c r="T69" s="9"/>
    </row>
    <row r="70" spans="2:20" x14ac:dyDescent="0.2">
      <c r="O70" s="1" t="s">
        <v>349</v>
      </c>
      <c r="T70" s="9"/>
    </row>
  </sheetData>
  <mergeCells count="2">
    <mergeCell ref="I28:I29"/>
    <mergeCell ref="J28:J29"/>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253"/>
  <sheetViews>
    <sheetView topLeftCell="A19" zoomScale="70" zoomScaleNormal="70" workbookViewId="0">
      <selection activeCell="D48" sqref="D48:T48"/>
    </sheetView>
  </sheetViews>
  <sheetFormatPr defaultColWidth="8.88671875" defaultRowHeight="15" x14ac:dyDescent="0.2"/>
  <cols>
    <col min="1" max="1" width="2.5546875" style="1" customWidth="1"/>
    <col min="2" max="2" width="11.109375" style="1" customWidth="1"/>
    <col min="3" max="3" width="22.21875" style="1" customWidth="1"/>
    <col min="4" max="19" width="8.88671875" style="1"/>
    <col min="20" max="20" width="10.5546875" style="1" customWidth="1"/>
    <col min="21" max="16384" width="8.88671875" style="1"/>
  </cols>
  <sheetData>
    <row r="2" spans="2:39" ht="20.25" thickBot="1" x14ac:dyDescent="0.35">
      <c r="B2" s="120" t="s">
        <v>331</v>
      </c>
      <c r="X2" s="9"/>
      <c r="Y2" s="9"/>
      <c r="Z2" s="9"/>
      <c r="AA2" s="9"/>
      <c r="AB2" s="9"/>
      <c r="AC2" s="9"/>
      <c r="AD2" s="9"/>
      <c r="AE2" s="9"/>
      <c r="AF2" s="9"/>
      <c r="AG2" s="9"/>
      <c r="AH2" s="9"/>
      <c r="AI2" s="9"/>
      <c r="AJ2" s="9"/>
      <c r="AK2" s="9"/>
      <c r="AL2" s="9"/>
      <c r="AM2" s="9"/>
    </row>
    <row r="3" spans="2:39" ht="21" thickTop="1" thickBot="1" x14ac:dyDescent="0.35">
      <c r="B3" s="591"/>
      <c r="X3" s="9"/>
      <c r="Y3" s="6"/>
      <c r="Z3" s="6"/>
      <c r="AA3" s="6"/>
      <c r="AB3" s="6"/>
      <c r="AC3" s="6"/>
      <c r="AD3" s="6"/>
      <c r="AE3" s="6"/>
      <c r="AF3" s="6"/>
      <c r="AG3" s="6"/>
      <c r="AH3" s="6"/>
      <c r="AI3" s="6"/>
      <c r="AJ3" s="6"/>
      <c r="AK3" s="6"/>
      <c r="AL3" s="9"/>
      <c r="AM3" s="9"/>
    </row>
    <row r="4" spans="2:39" ht="16.5" thickBot="1" x14ac:dyDescent="0.3">
      <c r="C4" s="661" t="s">
        <v>344</v>
      </c>
      <c r="D4" s="662" t="s">
        <v>8</v>
      </c>
      <c r="E4" s="662" t="s">
        <v>9</v>
      </c>
      <c r="F4" s="662" t="s">
        <v>10</v>
      </c>
      <c r="G4" s="662" t="s">
        <v>11</v>
      </c>
      <c r="H4" s="662" t="s">
        <v>12</v>
      </c>
      <c r="I4" s="662" t="s">
        <v>13</v>
      </c>
      <c r="J4" s="662" t="s">
        <v>14</v>
      </c>
      <c r="K4" s="662" t="s">
        <v>15</v>
      </c>
      <c r="L4" s="662" t="s">
        <v>16</v>
      </c>
      <c r="M4" s="662" t="s">
        <v>17</v>
      </c>
      <c r="N4" s="662" t="s">
        <v>18</v>
      </c>
      <c r="O4" s="662" t="s">
        <v>19</v>
      </c>
      <c r="P4" s="662" t="s">
        <v>20</v>
      </c>
      <c r="Q4" s="662" t="s">
        <v>21</v>
      </c>
      <c r="R4" s="662" t="s">
        <v>22</v>
      </c>
      <c r="S4" s="662" t="s">
        <v>23</v>
      </c>
      <c r="T4" s="663" t="s">
        <v>24</v>
      </c>
      <c r="X4" s="9"/>
      <c r="Y4" s="6"/>
      <c r="Z4" s="9"/>
      <c r="AA4" s="9"/>
      <c r="AB4" s="9"/>
      <c r="AC4" s="9"/>
      <c r="AD4" s="9"/>
      <c r="AE4" s="9"/>
      <c r="AF4" s="9"/>
      <c r="AG4" s="9"/>
      <c r="AH4" s="9"/>
      <c r="AI4" s="9"/>
      <c r="AJ4" s="9"/>
      <c r="AK4" s="9"/>
      <c r="AL4" s="9"/>
      <c r="AM4" s="9"/>
    </row>
    <row r="5" spans="2:39" ht="15.75" x14ac:dyDescent="0.25">
      <c r="C5" s="664">
        <v>2008</v>
      </c>
      <c r="D5" s="665">
        <v>518</v>
      </c>
      <c r="E5" s="666">
        <v>921</v>
      </c>
      <c r="F5" s="666">
        <v>2483</v>
      </c>
      <c r="G5" s="666">
        <v>576</v>
      </c>
      <c r="H5" s="666">
        <v>456</v>
      </c>
      <c r="I5" s="666">
        <v>1440</v>
      </c>
      <c r="J5" s="666">
        <v>3917</v>
      </c>
      <c r="K5" s="666">
        <v>360</v>
      </c>
      <c r="L5" s="666">
        <v>262</v>
      </c>
      <c r="M5" s="666">
        <v>1783</v>
      </c>
      <c r="N5" s="666">
        <v>387</v>
      </c>
      <c r="O5" s="666">
        <v>1753</v>
      </c>
      <c r="P5" s="666">
        <v>115</v>
      </c>
      <c r="Q5" s="666">
        <v>1031</v>
      </c>
      <c r="R5" s="666">
        <v>449</v>
      </c>
      <c r="S5" s="666">
        <v>11005</v>
      </c>
      <c r="T5" s="667">
        <v>27456</v>
      </c>
      <c r="U5" s="1">
        <f>SUM(D5:S5)</f>
        <v>27456</v>
      </c>
      <c r="X5" s="9"/>
      <c r="Y5" s="6"/>
      <c r="Z5" s="9"/>
      <c r="AA5" s="9"/>
      <c r="AB5" s="9"/>
      <c r="AC5" s="9"/>
      <c r="AD5" s="9"/>
      <c r="AE5" s="9"/>
      <c r="AF5" s="9"/>
      <c r="AG5" s="9"/>
      <c r="AH5" s="9"/>
      <c r="AI5" s="9"/>
      <c r="AJ5" s="9"/>
      <c r="AK5" s="9"/>
      <c r="AL5" s="9"/>
      <c r="AM5" s="9"/>
    </row>
    <row r="6" spans="2:39" ht="15.75" x14ac:dyDescent="0.25">
      <c r="C6" s="664">
        <v>2009</v>
      </c>
      <c r="D6" s="665">
        <v>498</v>
      </c>
      <c r="E6" s="666">
        <v>924</v>
      </c>
      <c r="F6" s="666">
        <v>2486</v>
      </c>
      <c r="G6" s="666">
        <v>561</v>
      </c>
      <c r="H6" s="666">
        <v>457</v>
      </c>
      <c r="I6" s="666">
        <v>1463</v>
      </c>
      <c r="J6" s="666">
        <v>4022</v>
      </c>
      <c r="K6" s="666">
        <v>372</v>
      </c>
      <c r="L6" s="666">
        <v>261</v>
      </c>
      <c r="M6" s="666">
        <v>1782</v>
      </c>
      <c r="N6" s="666">
        <v>391</v>
      </c>
      <c r="O6" s="666">
        <v>1792</v>
      </c>
      <c r="P6" s="666">
        <v>125</v>
      </c>
      <c r="Q6" s="666">
        <v>1032</v>
      </c>
      <c r="R6" s="666">
        <v>445</v>
      </c>
      <c r="S6" s="666">
        <v>11123</v>
      </c>
      <c r="T6" s="668">
        <v>27734</v>
      </c>
      <c r="U6" s="1">
        <f>SUM(D6:S6)</f>
        <v>27734</v>
      </c>
      <c r="X6" s="9"/>
      <c r="Y6" s="6"/>
      <c r="Z6" s="9"/>
      <c r="AA6" s="9"/>
      <c r="AB6" s="9"/>
      <c r="AC6" s="9"/>
      <c r="AD6" s="9"/>
      <c r="AE6" s="9"/>
      <c r="AF6" s="9"/>
      <c r="AG6" s="9"/>
      <c r="AH6" s="9"/>
      <c r="AI6" s="9"/>
      <c r="AJ6" s="9"/>
      <c r="AK6" s="9"/>
      <c r="AL6" s="9"/>
      <c r="AM6" s="9"/>
    </row>
    <row r="7" spans="2:39" ht="15.75" x14ac:dyDescent="0.25">
      <c r="C7" s="664">
        <v>2010</v>
      </c>
      <c r="D7" s="665">
        <v>488</v>
      </c>
      <c r="E7" s="666">
        <v>943</v>
      </c>
      <c r="F7" s="666">
        <v>2502</v>
      </c>
      <c r="G7" s="666">
        <v>580</v>
      </c>
      <c r="H7" s="666">
        <v>475</v>
      </c>
      <c r="I7" s="666">
        <v>1508</v>
      </c>
      <c r="J7" s="666">
        <v>4098</v>
      </c>
      <c r="K7" s="666">
        <v>364</v>
      </c>
      <c r="L7" s="666">
        <v>259</v>
      </c>
      <c r="M7" s="666">
        <v>1814</v>
      </c>
      <c r="N7" s="666">
        <v>394</v>
      </c>
      <c r="O7" s="666">
        <v>1802</v>
      </c>
      <c r="P7" s="666">
        <v>119</v>
      </c>
      <c r="Q7" s="666">
        <v>1019</v>
      </c>
      <c r="R7" s="666">
        <v>452</v>
      </c>
      <c r="S7" s="666">
        <v>11190</v>
      </c>
      <c r="T7" s="668">
        <v>28007</v>
      </c>
      <c r="U7" s="1">
        <f>SUM(D7:S7)</f>
        <v>28007</v>
      </c>
      <c r="X7" s="9"/>
      <c r="Y7" s="6"/>
      <c r="Z7" s="9"/>
      <c r="AA7" s="9"/>
      <c r="AB7" s="9"/>
      <c r="AC7" s="9"/>
      <c r="AD7" s="9"/>
      <c r="AE7" s="9"/>
      <c r="AF7" s="9"/>
      <c r="AG7" s="9"/>
      <c r="AH7" s="9"/>
      <c r="AI7" s="9"/>
      <c r="AJ7" s="9"/>
      <c r="AK7" s="9"/>
      <c r="AL7" s="9"/>
      <c r="AM7" s="9"/>
    </row>
    <row r="8" spans="2:39" ht="15.75" x14ac:dyDescent="0.25">
      <c r="C8" s="664">
        <v>2011</v>
      </c>
      <c r="D8" s="665">
        <v>480</v>
      </c>
      <c r="E8" s="666">
        <v>978</v>
      </c>
      <c r="F8" s="666">
        <v>2527</v>
      </c>
      <c r="G8" s="666">
        <v>577</v>
      </c>
      <c r="H8" s="666">
        <v>492</v>
      </c>
      <c r="I8" s="666">
        <v>1526</v>
      </c>
      <c r="J8" s="666">
        <v>4249</v>
      </c>
      <c r="K8" s="666">
        <v>361</v>
      </c>
      <c r="L8" s="666">
        <v>249</v>
      </c>
      <c r="M8" s="666">
        <v>1860</v>
      </c>
      <c r="N8" s="666">
        <v>399</v>
      </c>
      <c r="O8" s="666">
        <v>1810</v>
      </c>
      <c r="P8" s="666">
        <v>103</v>
      </c>
      <c r="Q8" s="666">
        <v>1032</v>
      </c>
      <c r="R8" s="666">
        <v>449</v>
      </c>
      <c r="S8" s="666">
        <v>11263</v>
      </c>
      <c r="T8" s="668">
        <v>28355</v>
      </c>
      <c r="U8" s="1">
        <f>SUM(D8:S8)</f>
        <v>28355</v>
      </c>
      <c r="X8" s="9"/>
      <c r="Y8" s="6"/>
      <c r="Z8" s="9"/>
      <c r="AA8" s="9"/>
      <c r="AB8" s="9"/>
      <c r="AC8" s="9"/>
      <c r="AD8" s="9"/>
      <c r="AE8" s="9"/>
      <c r="AF8" s="9"/>
      <c r="AG8" s="9"/>
      <c r="AH8" s="9"/>
      <c r="AI8" s="9"/>
      <c r="AJ8" s="9"/>
      <c r="AK8" s="9"/>
      <c r="AL8" s="9"/>
      <c r="AM8" s="9"/>
    </row>
    <row r="9" spans="2:39" ht="15.75" x14ac:dyDescent="0.25">
      <c r="C9" s="664">
        <v>2012</v>
      </c>
      <c r="D9" s="665">
        <v>476</v>
      </c>
      <c r="E9" s="666">
        <v>960</v>
      </c>
      <c r="F9" s="666">
        <v>2531</v>
      </c>
      <c r="G9" s="666">
        <v>578</v>
      </c>
      <c r="H9" s="666">
        <v>495</v>
      </c>
      <c r="I9" s="666">
        <v>1522</v>
      </c>
      <c r="J9" s="666">
        <v>4355</v>
      </c>
      <c r="K9" s="666">
        <v>338</v>
      </c>
      <c r="L9" s="666">
        <v>245</v>
      </c>
      <c r="M9" s="666">
        <v>1883</v>
      </c>
      <c r="N9" s="666">
        <v>392</v>
      </c>
      <c r="O9" s="666">
        <v>1823</v>
      </c>
      <c r="P9" s="666">
        <v>101</v>
      </c>
      <c r="Q9" s="666">
        <v>1035</v>
      </c>
      <c r="R9" s="666">
        <v>422</v>
      </c>
      <c r="S9" s="666">
        <v>11346</v>
      </c>
      <c r="T9" s="668">
        <v>28502</v>
      </c>
      <c r="U9" s="1">
        <f t="shared" ref="U9:U19" si="0">SUM(D9:S9)</f>
        <v>28502</v>
      </c>
      <c r="X9" s="9"/>
      <c r="Y9" s="6"/>
      <c r="Z9" s="9"/>
      <c r="AA9" s="9"/>
      <c r="AB9" s="9"/>
      <c r="AC9" s="9"/>
      <c r="AD9" s="9"/>
      <c r="AE9" s="9"/>
      <c r="AF9" s="9"/>
      <c r="AG9" s="9"/>
      <c r="AH9" s="9"/>
      <c r="AI9" s="9"/>
      <c r="AJ9" s="9"/>
      <c r="AK9" s="9"/>
      <c r="AL9" s="9"/>
      <c r="AM9" s="9"/>
    </row>
    <row r="10" spans="2:39" ht="15.75" x14ac:dyDescent="0.25">
      <c r="C10" s="664">
        <v>2013</v>
      </c>
      <c r="D10" s="665">
        <v>475</v>
      </c>
      <c r="E10" s="666">
        <v>947</v>
      </c>
      <c r="F10" s="666">
        <v>2520</v>
      </c>
      <c r="G10" s="666">
        <v>572</v>
      </c>
      <c r="H10" s="666">
        <v>500</v>
      </c>
      <c r="I10" s="666">
        <v>1540</v>
      </c>
      <c r="J10" s="666">
        <v>4424</v>
      </c>
      <c r="K10" s="666">
        <v>330</v>
      </c>
      <c r="L10" s="666">
        <v>251</v>
      </c>
      <c r="M10" s="666">
        <v>1926</v>
      </c>
      <c r="N10" s="666">
        <v>413</v>
      </c>
      <c r="O10" s="666">
        <v>1813</v>
      </c>
      <c r="P10" s="666">
        <v>100</v>
      </c>
      <c r="Q10" s="666">
        <v>1029</v>
      </c>
      <c r="R10" s="666">
        <v>433</v>
      </c>
      <c r="S10" s="666">
        <v>11393</v>
      </c>
      <c r="T10" s="668">
        <v>28666</v>
      </c>
      <c r="U10" s="1">
        <f t="shared" si="0"/>
        <v>28666</v>
      </c>
      <c r="X10" s="9"/>
      <c r="Y10" s="6"/>
      <c r="Z10" s="9"/>
      <c r="AA10" s="9"/>
      <c r="AB10" s="9"/>
      <c r="AC10" s="9"/>
      <c r="AD10" s="9"/>
      <c r="AE10" s="9"/>
      <c r="AF10" s="9"/>
      <c r="AG10" s="9"/>
      <c r="AH10" s="9"/>
      <c r="AI10" s="9"/>
      <c r="AJ10" s="9"/>
      <c r="AK10" s="9"/>
      <c r="AL10" s="9"/>
      <c r="AM10" s="9"/>
    </row>
    <row r="11" spans="2:39" ht="16.5" thickBot="1" x14ac:dyDescent="0.3">
      <c r="C11" s="669">
        <v>2014</v>
      </c>
      <c r="D11" s="665">
        <v>474</v>
      </c>
      <c r="E11" s="666">
        <v>932</v>
      </c>
      <c r="F11" s="666">
        <v>2534</v>
      </c>
      <c r="G11" s="666">
        <v>568</v>
      </c>
      <c r="H11" s="666">
        <v>494</v>
      </c>
      <c r="I11" s="666">
        <v>1532</v>
      </c>
      <c r="J11" s="666">
        <v>4560</v>
      </c>
      <c r="K11" s="666">
        <v>328</v>
      </c>
      <c r="L11" s="666">
        <v>253</v>
      </c>
      <c r="M11" s="666">
        <v>1943</v>
      </c>
      <c r="N11" s="666">
        <v>418</v>
      </c>
      <c r="O11" s="666">
        <v>1825</v>
      </c>
      <c r="P11" s="666">
        <v>101</v>
      </c>
      <c r="Q11" s="666">
        <v>1035</v>
      </c>
      <c r="R11" s="666">
        <v>439</v>
      </c>
      <c r="S11" s="666">
        <v>11480</v>
      </c>
      <c r="T11" s="668">
        <v>28916</v>
      </c>
      <c r="U11" s="1">
        <f t="shared" si="0"/>
        <v>28916</v>
      </c>
      <c r="X11" s="9"/>
      <c r="Y11" s="6"/>
      <c r="Z11" s="9"/>
      <c r="AA11" s="9"/>
      <c r="AB11" s="9"/>
      <c r="AC11" s="9"/>
      <c r="AD11" s="9"/>
      <c r="AE11" s="9"/>
      <c r="AF11" s="9"/>
      <c r="AG11" s="9"/>
      <c r="AH11" s="9"/>
      <c r="AI11" s="9"/>
      <c r="AJ11" s="9"/>
      <c r="AK11" s="9"/>
      <c r="AL11" s="9"/>
      <c r="AM11" s="9"/>
    </row>
    <row r="12" spans="2:39" ht="15.75" x14ac:dyDescent="0.25">
      <c r="C12" s="646" t="s">
        <v>343</v>
      </c>
      <c r="D12" s="651">
        <v>467</v>
      </c>
      <c r="E12" s="652">
        <v>928</v>
      </c>
      <c r="F12" s="652">
        <v>2540</v>
      </c>
      <c r="G12" s="652">
        <v>562</v>
      </c>
      <c r="H12" s="652">
        <v>497</v>
      </c>
      <c r="I12" s="652">
        <v>1533</v>
      </c>
      <c r="J12" s="652">
        <v>4626</v>
      </c>
      <c r="K12" s="652">
        <v>320</v>
      </c>
      <c r="L12" s="652">
        <v>246</v>
      </c>
      <c r="M12" s="652">
        <v>1949</v>
      </c>
      <c r="N12" s="652">
        <v>417</v>
      </c>
      <c r="O12" s="652">
        <v>1829</v>
      </c>
      <c r="P12" s="652">
        <v>93</v>
      </c>
      <c r="Q12" s="652">
        <v>1028</v>
      </c>
      <c r="R12" s="652">
        <v>436</v>
      </c>
      <c r="S12" s="652">
        <v>11506</v>
      </c>
      <c r="T12" s="653">
        <v>28977</v>
      </c>
      <c r="U12" s="1">
        <f t="shared" si="0"/>
        <v>28977</v>
      </c>
      <c r="X12" s="9"/>
      <c r="Y12" s="6"/>
      <c r="Z12" s="9"/>
      <c r="AA12" s="9"/>
      <c r="AB12" s="9"/>
      <c r="AC12" s="9"/>
      <c r="AD12" s="9"/>
      <c r="AE12" s="9"/>
      <c r="AF12" s="9"/>
      <c r="AG12" s="9"/>
      <c r="AH12" s="9"/>
      <c r="AI12" s="9"/>
      <c r="AJ12" s="9"/>
      <c r="AK12" s="9"/>
      <c r="AL12" s="9"/>
      <c r="AM12" s="9"/>
    </row>
    <row r="13" spans="2:39" ht="15.75" x14ac:dyDescent="0.25">
      <c r="C13" s="335">
        <v>2016</v>
      </c>
      <c r="D13" s="347">
        <v>466</v>
      </c>
      <c r="E13" s="336">
        <v>933</v>
      </c>
      <c r="F13" s="336">
        <v>2543</v>
      </c>
      <c r="G13" s="336">
        <v>567</v>
      </c>
      <c r="H13" s="336">
        <v>500</v>
      </c>
      <c r="I13" s="336">
        <v>1533</v>
      </c>
      <c r="J13" s="336">
        <v>4720</v>
      </c>
      <c r="K13" s="336">
        <v>318</v>
      </c>
      <c r="L13" s="336">
        <v>242</v>
      </c>
      <c r="M13" s="336">
        <v>1962</v>
      </c>
      <c r="N13" s="336">
        <v>420</v>
      </c>
      <c r="O13" s="336">
        <v>1829</v>
      </c>
      <c r="P13" s="336">
        <v>83</v>
      </c>
      <c r="Q13" s="336">
        <v>1024</v>
      </c>
      <c r="R13" s="336">
        <v>442</v>
      </c>
      <c r="S13" s="336">
        <v>11546</v>
      </c>
      <c r="T13" s="647">
        <v>29128</v>
      </c>
      <c r="U13" s="1">
        <f t="shared" si="0"/>
        <v>29128</v>
      </c>
      <c r="X13" s="9"/>
      <c r="Y13" s="6"/>
      <c r="Z13" s="9"/>
      <c r="AA13" s="9"/>
      <c r="AB13" s="9"/>
      <c r="AC13" s="9"/>
      <c r="AD13" s="9"/>
      <c r="AE13" s="9"/>
      <c r="AF13" s="9"/>
      <c r="AG13" s="9"/>
      <c r="AH13" s="9"/>
      <c r="AI13" s="9"/>
      <c r="AJ13" s="9"/>
      <c r="AK13" s="9"/>
      <c r="AL13" s="9"/>
      <c r="AM13" s="9"/>
    </row>
    <row r="14" spans="2:39" ht="15.75" x14ac:dyDescent="0.25">
      <c r="C14" s="335">
        <v>2017</v>
      </c>
      <c r="D14" s="347">
        <v>466</v>
      </c>
      <c r="E14" s="336">
        <v>936</v>
      </c>
      <c r="F14" s="336">
        <v>2561</v>
      </c>
      <c r="G14" s="336">
        <v>582</v>
      </c>
      <c r="H14" s="336">
        <v>511</v>
      </c>
      <c r="I14" s="336">
        <v>1542</v>
      </c>
      <c r="J14" s="336">
        <v>4803</v>
      </c>
      <c r="K14" s="336">
        <v>321</v>
      </c>
      <c r="L14" s="336">
        <v>238</v>
      </c>
      <c r="M14" s="336">
        <v>1969</v>
      </c>
      <c r="N14" s="336">
        <v>420</v>
      </c>
      <c r="O14" s="336">
        <v>1838</v>
      </c>
      <c r="P14" s="336">
        <v>79</v>
      </c>
      <c r="Q14" s="336">
        <v>1033</v>
      </c>
      <c r="R14" s="336">
        <v>440</v>
      </c>
      <c r="S14" s="336">
        <v>11615</v>
      </c>
      <c r="T14" s="647">
        <v>29354</v>
      </c>
      <c r="U14" s="1">
        <f t="shared" si="0"/>
        <v>29354</v>
      </c>
      <c r="X14" s="9"/>
      <c r="Y14" s="6"/>
      <c r="Z14" s="9"/>
      <c r="AA14" s="9"/>
      <c r="AB14" s="9"/>
      <c r="AC14" s="9"/>
      <c r="AD14" s="9"/>
      <c r="AE14" s="9"/>
      <c r="AF14" s="9"/>
      <c r="AG14" s="9"/>
      <c r="AH14" s="9"/>
      <c r="AI14" s="9"/>
      <c r="AJ14" s="9"/>
      <c r="AK14" s="9"/>
      <c r="AL14" s="9"/>
      <c r="AM14" s="9"/>
    </row>
    <row r="15" spans="2:39" ht="15.75" x14ac:dyDescent="0.25">
      <c r="C15" s="335">
        <v>2018</v>
      </c>
      <c r="D15" s="347">
        <v>472</v>
      </c>
      <c r="E15" s="336">
        <v>941</v>
      </c>
      <c r="F15" s="336">
        <v>2571</v>
      </c>
      <c r="G15" s="336">
        <v>570</v>
      </c>
      <c r="H15" s="336">
        <v>510</v>
      </c>
      <c r="I15" s="336">
        <v>1561</v>
      </c>
      <c r="J15" s="336">
        <v>4895</v>
      </c>
      <c r="K15" s="336">
        <v>325</v>
      </c>
      <c r="L15" s="336">
        <v>242</v>
      </c>
      <c r="M15" s="336">
        <v>1985</v>
      </c>
      <c r="N15" s="336">
        <v>427</v>
      </c>
      <c r="O15" s="336">
        <v>1852</v>
      </c>
      <c r="P15" s="336">
        <v>70</v>
      </c>
      <c r="Q15" s="336">
        <v>1041</v>
      </c>
      <c r="R15" s="336">
        <v>443</v>
      </c>
      <c r="S15" s="336">
        <v>11680</v>
      </c>
      <c r="T15" s="647">
        <v>29585</v>
      </c>
      <c r="U15" s="1">
        <f t="shared" si="0"/>
        <v>29585</v>
      </c>
      <c r="X15" s="9"/>
      <c r="Y15" s="6"/>
      <c r="Z15" s="9"/>
      <c r="AA15" s="9"/>
      <c r="AB15" s="9"/>
      <c r="AC15" s="9"/>
      <c r="AD15" s="9"/>
      <c r="AE15" s="9"/>
      <c r="AF15" s="9"/>
      <c r="AG15" s="9"/>
      <c r="AH15" s="9"/>
      <c r="AI15" s="9"/>
      <c r="AJ15" s="9"/>
      <c r="AK15" s="9"/>
      <c r="AL15" s="9"/>
      <c r="AM15" s="9"/>
    </row>
    <row r="16" spans="2:39" ht="15.75" x14ac:dyDescent="0.25">
      <c r="C16" s="335">
        <v>2019</v>
      </c>
      <c r="D16" s="347">
        <v>468</v>
      </c>
      <c r="E16" s="336">
        <v>945</v>
      </c>
      <c r="F16" s="336">
        <v>2595</v>
      </c>
      <c r="G16" s="336">
        <v>577</v>
      </c>
      <c r="H16" s="336">
        <v>520</v>
      </c>
      <c r="I16" s="336">
        <v>1581</v>
      </c>
      <c r="J16" s="336">
        <v>4984</v>
      </c>
      <c r="K16" s="336">
        <v>325</v>
      </c>
      <c r="L16" s="336">
        <v>243</v>
      </c>
      <c r="M16" s="336">
        <v>2012</v>
      </c>
      <c r="N16" s="336">
        <v>438</v>
      </c>
      <c r="O16" s="336">
        <v>1869</v>
      </c>
      <c r="P16" s="336">
        <v>65</v>
      </c>
      <c r="Q16" s="336">
        <v>1039</v>
      </c>
      <c r="R16" s="336">
        <v>443</v>
      </c>
      <c r="S16" s="336">
        <v>11756</v>
      </c>
      <c r="T16" s="647">
        <v>29860</v>
      </c>
      <c r="U16" s="1">
        <f t="shared" si="0"/>
        <v>29860</v>
      </c>
      <c r="X16" s="9"/>
      <c r="Y16" s="6"/>
      <c r="Z16" s="9"/>
      <c r="AA16" s="9"/>
      <c r="AB16" s="9"/>
      <c r="AC16" s="9"/>
      <c r="AD16" s="9"/>
      <c r="AE16" s="9"/>
      <c r="AF16" s="9"/>
      <c r="AG16" s="9"/>
      <c r="AH16" s="9"/>
      <c r="AI16" s="9"/>
      <c r="AJ16" s="9"/>
      <c r="AK16" s="9"/>
      <c r="AL16" s="9"/>
      <c r="AM16" s="9"/>
    </row>
    <row r="17" spans="2:39" ht="15.75" x14ac:dyDescent="0.25">
      <c r="C17" s="335">
        <v>2020</v>
      </c>
      <c r="D17" s="347">
        <v>473</v>
      </c>
      <c r="E17" s="336">
        <v>947</v>
      </c>
      <c r="F17" s="336">
        <v>2612</v>
      </c>
      <c r="G17" s="336">
        <v>581</v>
      </c>
      <c r="H17" s="336">
        <v>525</v>
      </c>
      <c r="I17" s="336">
        <v>1598</v>
      </c>
      <c r="J17" s="336">
        <v>5079</v>
      </c>
      <c r="K17" s="336">
        <v>321</v>
      </c>
      <c r="L17" s="336">
        <v>244</v>
      </c>
      <c r="M17" s="336">
        <v>2018</v>
      </c>
      <c r="N17" s="336">
        <v>436</v>
      </c>
      <c r="O17" s="336">
        <v>1876</v>
      </c>
      <c r="P17" s="336">
        <v>62</v>
      </c>
      <c r="Q17" s="336">
        <v>1044</v>
      </c>
      <c r="R17" s="336">
        <v>446</v>
      </c>
      <c r="S17" s="336">
        <v>11823</v>
      </c>
      <c r="T17" s="647">
        <v>30085</v>
      </c>
      <c r="U17" s="1">
        <f t="shared" si="0"/>
        <v>30085</v>
      </c>
      <c r="X17" s="9"/>
      <c r="Y17" s="6"/>
      <c r="Z17" s="9"/>
      <c r="AA17" s="9"/>
      <c r="AB17" s="9"/>
      <c r="AC17" s="9"/>
      <c r="AD17" s="9"/>
      <c r="AE17" s="9"/>
      <c r="AF17" s="9"/>
      <c r="AG17" s="9"/>
      <c r="AH17" s="9"/>
      <c r="AI17" s="9"/>
      <c r="AJ17" s="9"/>
      <c r="AK17" s="9"/>
      <c r="AL17" s="9"/>
      <c r="AM17" s="9"/>
    </row>
    <row r="18" spans="2:39" ht="15.75" x14ac:dyDescent="0.25">
      <c r="C18" s="335">
        <v>2021</v>
      </c>
      <c r="D18" s="347">
        <v>469</v>
      </c>
      <c r="E18" s="336">
        <v>959</v>
      </c>
      <c r="F18" s="336">
        <v>2636</v>
      </c>
      <c r="G18" s="336">
        <v>582</v>
      </c>
      <c r="H18" s="336">
        <v>532</v>
      </c>
      <c r="I18" s="336">
        <v>1602</v>
      </c>
      <c r="J18" s="336">
        <v>5157</v>
      </c>
      <c r="K18" s="336">
        <v>321</v>
      </c>
      <c r="L18" s="336">
        <v>241</v>
      </c>
      <c r="M18" s="336">
        <v>2044</v>
      </c>
      <c r="N18" s="336">
        <v>441</v>
      </c>
      <c r="O18" s="336">
        <v>1900</v>
      </c>
      <c r="P18" s="336">
        <v>62</v>
      </c>
      <c r="Q18" s="336">
        <v>1051</v>
      </c>
      <c r="R18" s="336">
        <v>456</v>
      </c>
      <c r="S18" s="336">
        <v>11899</v>
      </c>
      <c r="T18" s="647">
        <v>30352</v>
      </c>
      <c r="U18" s="1">
        <f t="shared" si="0"/>
        <v>30352</v>
      </c>
      <c r="X18" s="9"/>
      <c r="Y18" s="6"/>
      <c r="Z18" s="9"/>
      <c r="AA18" s="9"/>
      <c r="AB18" s="9"/>
      <c r="AC18" s="9"/>
      <c r="AD18" s="9"/>
      <c r="AE18" s="9"/>
      <c r="AF18" s="9"/>
      <c r="AG18" s="9"/>
      <c r="AH18" s="9"/>
      <c r="AI18" s="9"/>
      <c r="AJ18" s="9"/>
      <c r="AK18" s="9"/>
      <c r="AL18" s="9"/>
      <c r="AM18" s="9"/>
    </row>
    <row r="19" spans="2:39" ht="16.5" thickBot="1" x14ac:dyDescent="0.3">
      <c r="C19" s="332">
        <v>2022</v>
      </c>
      <c r="D19" s="648">
        <v>466</v>
      </c>
      <c r="E19" s="649">
        <v>962</v>
      </c>
      <c r="F19" s="649">
        <v>2659</v>
      </c>
      <c r="G19" s="649">
        <v>593</v>
      </c>
      <c r="H19" s="649">
        <v>534</v>
      </c>
      <c r="I19" s="649">
        <v>1627</v>
      </c>
      <c r="J19" s="649">
        <v>5239</v>
      </c>
      <c r="K19" s="649">
        <v>317</v>
      </c>
      <c r="L19" s="649">
        <v>246</v>
      </c>
      <c r="M19" s="649">
        <v>2057</v>
      </c>
      <c r="N19" s="649">
        <v>445</v>
      </c>
      <c r="O19" s="649">
        <v>1899</v>
      </c>
      <c r="P19" s="649">
        <v>62</v>
      </c>
      <c r="Q19" s="649">
        <v>1056</v>
      </c>
      <c r="R19" s="649">
        <v>456</v>
      </c>
      <c r="S19" s="649">
        <v>11974</v>
      </c>
      <c r="T19" s="650">
        <v>30592</v>
      </c>
      <c r="U19" s="1">
        <f t="shared" si="0"/>
        <v>30592</v>
      </c>
      <c r="X19" s="9"/>
      <c r="Y19" s="6"/>
      <c r="Z19" s="9"/>
      <c r="AA19" s="9"/>
      <c r="AB19" s="9"/>
      <c r="AC19" s="9"/>
      <c r="AD19" s="9"/>
      <c r="AE19" s="9"/>
      <c r="AF19" s="9"/>
      <c r="AG19" s="9"/>
      <c r="AH19" s="9"/>
      <c r="AI19" s="9"/>
      <c r="AJ19" s="9"/>
      <c r="AK19" s="9"/>
      <c r="AL19" s="9"/>
      <c r="AM19" s="9"/>
    </row>
    <row r="20" spans="2:39" ht="15.75" x14ac:dyDescent="0.25">
      <c r="T20" s="5"/>
      <c r="X20" s="9"/>
      <c r="Y20" s="6"/>
      <c r="Z20" s="6"/>
      <c r="AA20" s="6"/>
      <c r="AB20" s="6"/>
      <c r="AC20" s="6"/>
      <c r="AD20" s="6"/>
      <c r="AE20" s="6"/>
      <c r="AF20" s="6"/>
      <c r="AG20" s="6"/>
      <c r="AH20" s="6"/>
      <c r="AI20" s="6"/>
      <c r="AJ20" s="6"/>
      <c r="AK20" s="6"/>
      <c r="AL20" s="9"/>
      <c r="AM20" s="9"/>
    </row>
    <row r="21" spans="2:39" x14ac:dyDescent="0.2">
      <c r="X21" s="9"/>
      <c r="Y21" s="9"/>
      <c r="Z21" s="9"/>
      <c r="AA21" s="9"/>
      <c r="AB21" s="9"/>
      <c r="AC21" s="9"/>
      <c r="AD21" s="9"/>
      <c r="AE21" s="9"/>
      <c r="AF21" s="9"/>
      <c r="AG21" s="9"/>
      <c r="AH21" s="9"/>
      <c r="AI21" s="9"/>
      <c r="AJ21" s="9"/>
      <c r="AK21" s="9"/>
      <c r="AL21" s="9"/>
      <c r="AM21" s="9"/>
    </row>
    <row r="22" spans="2:39" x14ac:dyDescent="0.2">
      <c r="X22" s="9"/>
      <c r="Y22" s="9"/>
      <c r="Z22" s="9"/>
      <c r="AA22" s="9"/>
      <c r="AB22" s="9"/>
      <c r="AC22" s="9"/>
      <c r="AD22" s="9"/>
      <c r="AE22" s="9"/>
      <c r="AF22" s="9"/>
      <c r="AG22" s="9"/>
      <c r="AH22" s="9"/>
      <c r="AI22" s="9"/>
      <c r="AJ22" s="9"/>
      <c r="AK22" s="9"/>
      <c r="AL22" s="9"/>
      <c r="AM22" s="9"/>
    </row>
    <row r="23" spans="2:39" ht="15.75" thickBot="1" x14ac:dyDescent="0.25">
      <c r="X23" s="9"/>
      <c r="Y23" s="9"/>
      <c r="Z23" s="9"/>
      <c r="AA23" s="9"/>
      <c r="AB23" s="9"/>
      <c r="AC23" s="9"/>
      <c r="AD23" s="9"/>
      <c r="AE23" s="9"/>
      <c r="AF23" s="9"/>
      <c r="AG23" s="9"/>
      <c r="AH23" s="9"/>
      <c r="AI23" s="9"/>
      <c r="AJ23" s="9"/>
      <c r="AK23" s="9"/>
      <c r="AL23" s="9"/>
      <c r="AM23" s="9"/>
    </row>
    <row r="24" spans="2:39" ht="17.25" thickBot="1" x14ac:dyDescent="0.3">
      <c r="B24" s="654" t="s">
        <v>341</v>
      </c>
      <c r="C24" s="655"/>
      <c r="D24" s="655"/>
      <c r="E24" s="655"/>
      <c r="F24" s="655"/>
      <c r="G24" s="655"/>
      <c r="H24" s="655"/>
      <c r="I24" s="655"/>
      <c r="J24" s="655"/>
      <c r="K24" s="655"/>
      <c r="L24" s="655"/>
      <c r="M24" s="655"/>
      <c r="N24" s="655"/>
      <c r="O24" s="655"/>
      <c r="P24" s="655"/>
      <c r="Q24" s="655"/>
      <c r="R24" s="655"/>
      <c r="S24" s="655"/>
      <c r="T24" s="656"/>
      <c r="X24" s="9"/>
      <c r="Y24" s="9"/>
      <c r="Z24" s="9"/>
      <c r="AA24" s="9"/>
      <c r="AB24" s="9"/>
      <c r="AC24" s="9"/>
      <c r="AD24" s="9"/>
      <c r="AE24" s="9"/>
      <c r="AF24" s="9"/>
      <c r="AG24" s="9"/>
      <c r="AH24" s="9"/>
      <c r="AI24" s="9"/>
      <c r="AJ24" s="9"/>
      <c r="AK24" s="9"/>
      <c r="AL24" s="9"/>
      <c r="AM24" s="9"/>
    </row>
    <row r="25" spans="2:39" ht="17.25" thickTop="1" thickBot="1" x14ac:dyDescent="0.3">
      <c r="B25" s="657" t="s">
        <v>55</v>
      </c>
      <c r="C25" s="658"/>
      <c r="D25" s="658"/>
      <c r="E25" s="658"/>
      <c r="F25" s="658"/>
      <c r="G25" s="658"/>
      <c r="H25" s="659"/>
      <c r="I25" s="659"/>
      <c r="J25" s="659"/>
      <c r="K25" s="659"/>
      <c r="L25" s="659"/>
      <c r="M25" s="659"/>
      <c r="N25" s="659"/>
      <c r="O25" s="659"/>
      <c r="P25" s="659"/>
      <c r="Q25" s="659"/>
      <c r="R25" s="659"/>
      <c r="S25" s="659"/>
      <c r="T25" s="660"/>
      <c r="X25" s="9"/>
      <c r="Y25" s="9"/>
      <c r="Z25" s="9"/>
      <c r="AA25" s="9"/>
      <c r="AB25" s="9"/>
      <c r="AC25" s="9"/>
      <c r="AD25" s="9"/>
      <c r="AE25" s="9"/>
      <c r="AF25" s="9"/>
      <c r="AG25" s="9"/>
      <c r="AH25" s="9"/>
      <c r="AI25" s="9"/>
      <c r="AJ25" s="9"/>
      <c r="AK25" s="9"/>
      <c r="AL25" s="9"/>
      <c r="AM25" s="9"/>
    </row>
    <row r="26" spans="2:39" ht="15.75" x14ac:dyDescent="0.25">
      <c r="B26" s="5"/>
      <c r="X26" s="9"/>
      <c r="Y26" s="9"/>
      <c r="Z26" s="9"/>
      <c r="AA26" s="9"/>
      <c r="AB26" s="9"/>
      <c r="AC26" s="9"/>
      <c r="AD26" s="9"/>
      <c r="AE26" s="9"/>
      <c r="AF26" s="9"/>
      <c r="AG26" s="9"/>
      <c r="AH26" s="9"/>
      <c r="AI26" s="9"/>
      <c r="AJ26" s="9"/>
      <c r="AK26" s="9"/>
      <c r="AL26" s="9"/>
      <c r="AM26" s="9"/>
    </row>
    <row r="27" spans="2:39" ht="15.75" x14ac:dyDescent="0.25">
      <c r="B27" s="5"/>
      <c r="X27" s="9"/>
      <c r="Y27" s="9"/>
      <c r="Z27" s="9"/>
      <c r="AA27" s="9"/>
      <c r="AB27" s="9"/>
      <c r="AC27" s="9"/>
      <c r="AD27" s="9"/>
      <c r="AE27" s="9"/>
      <c r="AF27" s="9"/>
      <c r="AG27" s="9"/>
      <c r="AH27" s="9"/>
      <c r="AI27" s="9"/>
      <c r="AJ27" s="9"/>
      <c r="AK27" s="9"/>
      <c r="AL27" s="9"/>
      <c r="AM27" s="9"/>
    </row>
    <row r="28" spans="2:39" ht="15.75" x14ac:dyDescent="0.25">
      <c r="B28" s="5"/>
      <c r="T28" s="25"/>
      <c r="X28" s="9"/>
      <c r="Y28" s="9"/>
      <c r="Z28" s="9"/>
      <c r="AA28" s="9"/>
      <c r="AB28" s="9"/>
      <c r="AC28" s="9"/>
      <c r="AD28" s="9"/>
      <c r="AE28" s="9"/>
      <c r="AF28" s="9"/>
      <c r="AG28" s="9"/>
      <c r="AH28" s="9"/>
      <c r="AI28" s="9"/>
      <c r="AJ28" s="9"/>
      <c r="AK28" s="9"/>
      <c r="AL28" s="9"/>
      <c r="AM28" s="9"/>
    </row>
    <row r="29" spans="2:39" ht="15.75" x14ac:dyDescent="0.25">
      <c r="B29" s="5"/>
      <c r="C29" s="5" t="s">
        <v>332</v>
      </c>
      <c r="D29" s="5" t="s">
        <v>8</v>
      </c>
      <c r="E29" s="5" t="s">
        <v>9</v>
      </c>
      <c r="F29" s="5" t="s">
        <v>10</v>
      </c>
      <c r="G29" s="5" t="s">
        <v>11</v>
      </c>
      <c r="H29" s="5" t="s">
        <v>12</v>
      </c>
      <c r="I29" s="5" t="s">
        <v>13</v>
      </c>
      <c r="J29" s="5" t="s">
        <v>14</v>
      </c>
      <c r="K29" s="5" t="s">
        <v>15</v>
      </c>
      <c r="L29" s="5" t="s">
        <v>16</v>
      </c>
      <c r="M29" s="5" t="s">
        <v>17</v>
      </c>
      <c r="N29" s="5" t="s">
        <v>18</v>
      </c>
      <c r="O29" s="5" t="s">
        <v>19</v>
      </c>
      <c r="P29" s="5" t="s">
        <v>20</v>
      </c>
      <c r="Q29" s="5" t="s">
        <v>21</v>
      </c>
      <c r="R29" s="5" t="s">
        <v>22</v>
      </c>
      <c r="S29" s="5" t="s">
        <v>23</v>
      </c>
      <c r="T29" s="35" t="s">
        <v>24</v>
      </c>
    </row>
    <row r="30" spans="2:39" ht="15.75" x14ac:dyDescent="0.25">
      <c r="B30" s="5">
        <v>2014</v>
      </c>
      <c r="C30" s="5" t="s">
        <v>3</v>
      </c>
      <c r="D30" s="1">
        <v>13</v>
      </c>
      <c r="E30" s="1">
        <v>66</v>
      </c>
      <c r="F30" s="1">
        <v>209</v>
      </c>
      <c r="G30" s="1">
        <v>26</v>
      </c>
      <c r="H30" s="1">
        <v>34</v>
      </c>
      <c r="I30" s="1">
        <v>122</v>
      </c>
      <c r="J30" s="1">
        <v>488</v>
      </c>
      <c r="K30" s="1">
        <v>10</v>
      </c>
      <c r="L30" s="1">
        <v>8</v>
      </c>
      <c r="M30" s="1">
        <v>185</v>
      </c>
      <c r="N30" s="1">
        <v>32</v>
      </c>
      <c r="O30" s="1">
        <v>136</v>
      </c>
      <c r="P30" s="1">
        <v>1</v>
      </c>
      <c r="Q30" s="1">
        <v>66</v>
      </c>
      <c r="R30" s="1">
        <v>26</v>
      </c>
      <c r="S30" s="1">
        <v>720</v>
      </c>
      <c r="T30" s="35">
        <v>2142</v>
      </c>
      <c r="U30" s="1">
        <f>SUM(D30:S30)</f>
        <v>2142</v>
      </c>
    </row>
    <row r="31" spans="2:39" ht="15.75" x14ac:dyDescent="0.25">
      <c r="B31" s="5"/>
      <c r="C31" s="5" t="s">
        <v>4</v>
      </c>
      <c r="D31" s="1">
        <v>321</v>
      </c>
      <c r="E31" s="1">
        <v>645</v>
      </c>
      <c r="F31" s="1">
        <v>1825</v>
      </c>
      <c r="G31" s="1">
        <v>380</v>
      </c>
      <c r="H31" s="1">
        <v>350</v>
      </c>
      <c r="I31" s="1">
        <v>1104</v>
      </c>
      <c r="J31" s="1">
        <v>3441</v>
      </c>
      <c r="K31" s="1">
        <v>220</v>
      </c>
      <c r="L31" s="1">
        <v>159</v>
      </c>
      <c r="M31" s="1">
        <v>1438</v>
      </c>
      <c r="N31" s="1">
        <v>279</v>
      </c>
      <c r="O31" s="1">
        <v>1297</v>
      </c>
      <c r="P31" s="1">
        <v>65</v>
      </c>
      <c r="Q31" s="1">
        <v>732</v>
      </c>
      <c r="R31" s="1">
        <v>282</v>
      </c>
      <c r="S31" s="1">
        <v>8337</v>
      </c>
      <c r="T31" s="35">
        <v>20875</v>
      </c>
      <c r="U31" s="1">
        <f>SUM(D31:S31)</f>
        <v>20875</v>
      </c>
    </row>
    <row r="32" spans="2:39" ht="15.75" x14ac:dyDescent="0.25">
      <c r="B32" s="5"/>
      <c r="C32" s="5" t="s">
        <v>5</v>
      </c>
      <c r="D32" s="1">
        <v>82</v>
      </c>
      <c r="E32" s="1">
        <v>128</v>
      </c>
      <c r="F32" s="1">
        <v>292</v>
      </c>
      <c r="G32" s="1">
        <v>87</v>
      </c>
      <c r="H32" s="1">
        <v>53</v>
      </c>
      <c r="I32" s="1">
        <v>184</v>
      </c>
      <c r="J32" s="1">
        <v>410</v>
      </c>
      <c r="K32" s="1">
        <v>38</v>
      </c>
      <c r="L32" s="1">
        <v>54</v>
      </c>
      <c r="M32" s="1">
        <v>200</v>
      </c>
      <c r="N32" s="1">
        <v>62</v>
      </c>
      <c r="O32" s="1">
        <v>214</v>
      </c>
      <c r="P32" s="1">
        <v>15</v>
      </c>
      <c r="Q32" s="1">
        <v>147</v>
      </c>
      <c r="R32" s="1">
        <v>68</v>
      </c>
      <c r="S32" s="1">
        <v>1383</v>
      </c>
      <c r="T32" s="35">
        <v>3417</v>
      </c>
      <c r="U32" s="1">
        <f>SUM(D32:S32)</f>
        <v>3417</v>
      </c>
    </row>
    <row r="33" spans="2:21" ht="15.75" x14ac:dyDescent="0.25">
      <c r="B33" s="5"/>
      <c r="C33" s="5" t="s">
        <v>6</v>
      </c>
      <c r="D33" s="1">
        <v>35</v>
      </c>
      <c r="E33" s="1">
        <v>55</v>
      </c>
      <c r="F33" s="1">
        <v>146</v>
      </c>
      <c r="G33" s="1">
        <v>41</v>
      </c>
      <c r="H33" s="1">
        <v>38</v>
      </c>
      <c r="I33" s="1">
        <v>77</v>
      </c>
      <c r="J33" s="1">
        <v>163</v>
      </c>
      <c r="K33" s="1">
        <v>42</v>
      </c>
      <c r="L33" s="1">
        <v>20</v>
      </c>
      <c r="M33" s="1">
        <v>89</v>
      </c>
      <c r="N33" s="1">
        <v>35</v>
      </c>
      <c r="O33" s="1">
        <v>120</v>
      </c>
      <c r="P33" s="1">
        <v>10</v>
      </c>
      <c r="Q33" s="1">
        <v>64</v>
      </c>
      <c r="R33" s="1">
        <v>49</v>
      </c>
      <c r="S33" s="1">
        <v>721</v>
      </c>
      <c r="T33" s="35">
        <v>1705</v>
      </c>
      <c r="U33" s="1">
        <f>SUM(D33:S33)</f>
        <v>1705</v>
      </c>
    </row>
    <row r="34" spans="2:21" ht="15.75" x14ac:dyDescent="0.25">
      <c r="B34" s="5"/>
      <c r="C34" s="5" t="s">
        <v>7</v>
      </c>
      <c r="D34" s="1">
        <v>23</v>
      </c>
      <c r="E34" s="1">
        <v>38</v>
      </c>
      <c r="F34" s="1">
        <v>62</v>
      </c>
      <c r="G34" s="1">
        <v>34</v>
      </c>
      <c r="H34" s="1">
        <v>19</v>
      </c>
      <c r="I34" s="1">
        <v>45</v>
      </c>
      <c r="J34" s="1">
        <v>58</v>
      </c>
      <c r="K34" s="1">
        <v>18</v>
      </c>
      <c r="L34" s="1">
        <v>12</v>
      </c>
      <c r="M34" s="1">
        <v>31</v>
      </c>
      <c r="N34" s="1">
        <v>10</v>
      </c>
      <c r="O34" s="1">
        <v>58</v>
      </c>
      <c r="P34" s="1">
        <v>10</v>
      </c>
      <c r="Q34" s="1">
        <v>26</v>
      </c>
      <c r="R34" s="1">
        <v>14</v>
      </c>
      <c r="S34" s="1">
        <v>319</v>
      </c>
      <c r="T34" s="35">
        <v>777</v>
      </c>
      <c r="U34" s="1">
        <f>SUM(D34:S34)</f>
        <v>777</v>
      </c>
    </row>
    <row r="35" spans="2:21" ht="15.75" x14ac:dyDescent="0.25">
      <c r="B35" s="5"/>
      <c r="C35" s="5"/>
      <c r="T35" s="35"/>
    </row>
    <row r="36" spans="2:21" ht="15.75" x14ac:dyDescent="0.25">
      <c r="B36" s="5"/>
      <c r="C36" s="645" t="s">
        <v>67</v>
      </c>
      <c r="D36" s="5">
        <v>380</v>
      </c>
      <c r="E36" s="5">
        <v>752</v>
      </c>
      <c r="F36" s="5">
        <v>2082</v>
      </c>
      <c r="G36" s="5">
        <v>440</v>
      </c>
      <c r="H36" s="5">
        <v>389</v>
      </c>
      <c r="I36" s="5">
        <v>1264</v>
      </c>
      <c r="J36" s="5">
        <v>3870</v>
      </c>
      <c r="K36" s="5">
        <v>253</v>
      </c>
      <c r="L36" s="5">
        <v>198</v>
      </c>
      <c r="M36" s="5">
        <v>1633</v>
      </c>
      <c r="N36" s="5">
        <v>326</v>
      </c>
      <c r="O36" s="5">
        <v>1493</v>
      </c>
      <c r="P36" s="5">
        <v>76</v>
      </c>
      <c r="Q36" s="5">
        <v>858</v>
      </c>
      <c r="R36" s="5">
        <v>337</v>
      </c>
      <c r="S36" s="5">
        <v>9487</v>
      </c>
      <c r="T36" s="35">
        <v>23838</v>
      </c>
      <c r="U36" s="5"/>
    </row>
    <row r="37" spans="2:21" ht="15.75" x14ac:dyDescent="0.25">
      <c r="B37" s="5"/>
      <c r="C37" s="645" t="s">
        <v>147</v>
      </c>
      <c r="D37" s="5">
        <v>40</v>
      </c>
      <c r="E37" s="5">
        <v>89</v>
      </c>
      <c r="F37" s="5">
        <v>301</v>
      </c>
      <c r="G37" s="5">
        <v>62</v>
      </c>
      <c r="H37" s="5">
        <v>51</v>
      </c>
      <c r="I37" s="5">
        <v>189</v>
      </c>
      <c r="J37" s="5">
        <v>631</v>
      </c>
      <c r="K37" s="5">
        <v>19</v>
      </c>
      <c r="L37" s="5">
        <v>26</v>
      </c>
      <c r="M37" s="5">
        <v>253</v>
      </c>
      <c r="N37" s="5">
        <v>50</v>
      </c>
      <c r="O37" s="5">
        <v>226</v>
      </c>
      <c r="P37" s="5">
        <v>3</v>
      </c>
      <c r="Q37" s="5">
        <v>119</v>
      </c>
      <c r="R37" s="5">
        <v>49</v>
      </c>
      <c r="S37" s="5">
        <v>1100</v>
      </c>
      <c r="T37" s="35">
        <v>3208</v>
      </c>
      <c r="U37" s="5"/>
    </row>
    <row r="38" spans="2:21" ht="15.75" x14ac:dyDescent="0.25">
      <c r="B38" s="5"/>
      <c r="C38" s="645" t="s">
        <v>54</v>
      </c>
      <c r="D38" s="5">
        <v>474</v>
      </c>
      <c r="E38" s="5">
        <v>932</v>
      </c>
      <c r="F38" s="5">
        <v>2534</v>
      </c>
      <c r="G38" s="5">
        <v>568</v>
      </c>
      <c r="H38" s="5">
        <v>494</v>
      </c>
      <c r="I38" s="5">
        <v>1532</v>
      </c>
      <c r="J38" s="5">
        <v>4560</v>
      </c>
      <c r="K38" s="5">
        <v>328</v>
      </c>
      <c r="L38" s="5">
        <v>253</v>
      </c>
      <c r="M38" s="5">
        <v>1943</v>
      </c>
      <c r="N38" s="5">
        <v>418</v>
      </c>
      <c r="O38" s="5">
        <v>1825</v>
      </c>
      <c r="P38" s="5">
        <v>101</v>
      </c>
      <c r="Q38" s="5">
        <v>1035</v>
      </c>
      <c r="R38" s="5">
        <v>439</v>
      </c>
      <c r="S38" s="5">
        <v>11480</v>
      </c>
      <c r="T38" s="35">
        <v>28916</v>
      </c>
      <c r="U38" s="5"/>
    </row>
    <row r="39" spans="2:21" ht="15.75" x14ac:dyDescent="0.25">
      <c r="B39" s="5"/>
      <c r="C39" s="5"/>
      <c r="D39" s="5"/>
      <c r="E39" s="5"/>
      <c r="F39" s="5"/>
      <c r="G39" s="5"/>
      <c r="H39" s="5"/>
      <c r="I39" s="5"/>
      <c r="J39" s="5"/>
      <c r="K39" s="5"/>
      <c r="L39" s="5"/>
      <c r="M39" s="5"/>
      <c r="N39" s="5"/>
      <c r="O39" s="5"/>
      <c r="P39" s="5"/>
      <c r="Q39" s="5"/>
      <c r="R39" s="5"/>
      <c r="S39" s="5"/>
      <c r="T39" s="35"/>
      <c r="U39" s="5"/>
    </row>
    <row r="40" spans="2:21" ht="15.75" x14ac:dyDescent="0.25">
      <c r="B40" s="5"/>
      <c r="C40" s="5" t="s">
        <v>332</v>
      </c>
      <c r="D40" s="5" t="s">
        <v>8</v>
      </c>
      <c r="E40" s="5" t="s">
        <v>9</v>
      </c>
      <c r="F40" s="5" t="s">
        <v>10</v>
      </c>
      <c r="G40" s="5" t="s">
        <v>11</v>
      </c>
      <c r="H40" s="5" t="s">
        <v>12</v>
      </c>
      <c r="I40" s="5" t="s">
        <v>13</v>
      </c>
      <c r="J40" s="5" t="s">
        <v>14</v>
      </c>
      <c r="K40" s="5" t="s">
        <v>15</v>
      </c>
      <c r="L40" s="5" t="s">
        <v>16</v>
      </c>
      <c r="M40" s="5" t="s">
        <v>17</v>
      </c>
      <c r="N40" s="5" t="s">
        <v>18</v>
      </c>
      <c r="O40" s="5" t="s">
        <v>19</v>
      </c>
      <c r="P40" s="5" t="s">
        <v>20</v>
      </c>
      <c r="Q40" s="5" t="s">
        <v>21</v>
      </c>
      <c r="R40" s="5" t="s">
        <v>22</v>
      </c>
      <c r="S40" s="5" t="s">
        <v>23</v>
      </c>
      <c r="T40" s="35" t="s">
        <v>24</v>
      </c>
      <c r="U40" s="5"/>
    </row>
    <row r="41" spans="2:21" ht="15.75" x14ac:dyDescent="0.25">
      <c r="B41" s="5">
        <v>2013</v>
      </c>
      <c r="C41" s="5" t="s">
        <v>3</v>
      </c>
      <c r="D41" s="1">
        <v>15</v>
      </c>
      <c r="E41" s="1">
        <v>64</v>
      </c>
      <c r="F41" s="1">
        <v>214</v>
      </c>
      <c r="G41" s="1">
        <v>25</v>
      </c>
      <c r="H41" s="1">
        <v>33</v>
      </c>
      <c r="I41" s="1">
        <v>127</v>
      </c>
      <c r="J41" s="1">
        <v>471</v>
      </c>
      <c r="K41" s="1">
        <v>12</v>
      </c>
      <c r="L41" s="1">
        <v>8</v>
      </c>
      <c r="M41" s="1">
        <v>173</v>
      </c>
      <c r="N41" s="1">
        <v>36</v>
      </c>
      <c r="O41" s="1">
        <v>144</v>
      </c>
      <c r="P41" s="1">
        <v>0</v>
      </c>
      <c r="Q41" s="1">
        <v>71</v>
      </c>
      <c r="R41" s="1">
        <v>26</v>
      </c>
      <c r="S41" s="1">
        <v>717</v>
      </c>
      <c r="T41" s="35">
        <v>2136</v>
      </c>
      <c r="U41" s="5"/>
    </row>
    <row r="42" spans="2:21" ht="15.75" x14ac:dyDescent="0.25">
      <c r="B42" s="5"/>
      <c r="C42" s="5" t="s">
        <v>4</v>
      </c>
      <c r="D42" s="1">
        <v>320</v>
      </c>
      <c r="E42" s="1">
        <v>673</v>
      </c>
      <c r="F42" s="1">
        <v>1835</v>
      </c>
      <c r="G42" s="1">
        <v>389</v>
      </c>
      <c r="H42" s="1">
        <v>355</v>
      </c>
      <c r="I42" s="1">
        <v>1102</v>
      </c>
      <c r="J42" s="1">
        <v>3345</v>
      </c>
      <c r="K42" s="1">
        <v>221</v>
      </c>
      <c r="L42" s="1">
        <v>158</v>
      </c>
      <c r="M42" s="1">
        <v>1448</v>
      </c>
      <c r="N42" s="1">
        <v>275</v>
      </c>
      <c r="O42" s="1">
        <v>1286</v>
      </c>
      <c r="P42" s="1">
        <v>65</v>
      </c>
      <c r="Q42" s="1">
        <v>730</v>
      </c>
      <c r="R42" s="1">
        <v>282</v>
      </c>
      <c r="S42" s="1">
        <v>8341</v>
      </c>
      <c r="T42" s="35">
        <v>20825</v>
      </c>
      <c r="U42" s="5"/>
    </row>
    <row r="43" spans="2:21" ht="15.75" x14ac:dyDescent="0.25">
      <c r="B43" s="5"/>
      <c r="C43" s="5" t="s">
        <v>5</v>
      </c>
      <c r="D43" s="1">
        <v>81</v>
      </c>
      <c r="E43" s="1">
        <v>115</v>
      </c>
      <c r="F43" s="1">
        <v>276</v>
      </c>
      <c r="G43" s="1">
        <v>82</v>
      </c>
      <c r="H43" s="1">
        <v>56</v>
      </c>
      <c r="I43" s="1">
        <v>181</v>
      </c>
      <c r="J43" s="1">
        <v>386</v>
      </c>
      <c r="K43" s="1">
        <v>35</v>
      </c>
      <c r="L43" s="1">
        <v>49</v>
      </c>
      <c r="M43" s="1">
        <v>198</v>
      </c>
      <c r="N43" s="1">
        <v>63</v>
      </c>
      <c r="O43" s="1">
        <v>210</v>
      </c>
      <c r="P43" s="1">
        <v>16</v>
      </c>
      <c r="Q43" s="1">
        <v>134</v>
      </c>
      <c r="R43" s="1">
        <v>64</v>
      </c>
      <c r="S43" s="1">
        <v>1324</v>
      </c>
      <c r="T43" s="35">
        <v>3270</v>
      </c>
      <c r="U43" s="5"/>
    </row>
    <row r="44" spans="2:21" ht="15.75" x14ac:dyDescent="0.25">
      <c r="B44" s="5"/>
      <c r="C44" s="5" t="s">
        <v>6</v>
      </c>
      <c r="D44" s="1">
        <v>34</v>
      </c>
      <c r="E44" s="1">
        <v>61</v>
      </c>
      <c r="F44" s="1">
        <v>138</v>
      </c>
      <c r="G44" s="1">
        <v>42</v>
      </c>
      <c r="H44" s="1">
        <v>39</v>
      </c>
      <c r="I44" s="1">
        <v>85</v>
      </c>
      <c r="J44" s="1">
        <v>157</v>
      </c>
      <c r="K44" s="1">
        <v>42</v>
      </c>
      <c r="L44" s="1">
        <v>26</v>
      </c>
      <c r="M44" s="1">
        <v>82</v>
      </c>
      <c r="N44" s="1">
        <v>30</v>
      </c>
      <c r="O44" s="1">
        <v>121</v>
      </c>
      <c r="P44" s="1">
        <v>8</v>
      </c>
      <c r="Q44" s="1">
        <v>66</v>
      </c>
      <c r="R44" s="1">
        <v>47</v>
      </c>
      <c r="S44" s="1">
        <v>688</v>
      </c>
      <c r="T44" s="35">
        <v>1666</v>
      </c>
      <c r="U44" s="5"/>
    </row>
    <row r="45" spans="2:21" ht="15.75" x14ac:dyDescent="0.25">
      <c r="B45" s="5"/>
      <c r="C45" s="5" t="s">
        <v>7</v>
      </c>
      <c r="D45" s="1">
        <v>25</v>
      </c>
      <c r="E45" s="1">
        <v>34</v>
      </c>
      <c r="F45" s="1">
        <v>57</v>
      </c>
      <c r="G45" s="1">
        <v>34</v>
      </c>
      <c r="H45" s="1">
        <v>17</v>
      </c>
      <c r="I45" s="1">
        <v>45</v>
      </c>
      <c r="J45" s="1">
        <v>65</v>
      </c>
      <c r="K45" s="1">
        <v>20</v>
      </c>
      <c r="L45" s="1">
        <v>10</v>
      </c>
      <c r="M45" s="1">
        <v>25</v>
      </c>
      <c r="N45" s="1">
        <v>9</v>
      </c>
      <c r="O45" s="1">
        <v>52</v>
      </c>
      <c r="P45" s="1">
        <v>11</v>
      </c>
      <c r="Q45" s="1">
        <v>28</v>
      </c>
      <c r="R45" s="1">
        <v>14</v>
      </c>
      <c r="S45" s="1">
        <v>323</v>
      </c>
      <c r="T45" s="35">
        <v>769</v>
      </c>
      <c r="U45" s="5"/>
    </row>
    <row r="46" spans="2:21" ht="15.75" x14ac:dyDescent="0.25">
      <c r="B46" s="5"/>
      <c r="C46" s="5"/>
      <c r="T46" s="35"/>
      <c r="U46" s="5"/>
    </row>
    <row r="47" spans="2:21" ht="15.75" x14ac:dyDescent="0.25">
      <c r="B47" s="5"/>
      <c r="C47" s="645" t="s">
        <v>67</v>
      </c>
      <c r="D47" s="1">
        <v>385</v>
      </c>
      <c r="E47" s="1">
        <v>771</v>
      </c>
      <c r="F47" s="1">
        <v>2065</v>
      </c>
      <c r="G47" s="1">
        <v>451</v>
      </c>
      <c r="H47" s="1">
        <v>394</v>
      </c>
      <c r="I47" s="1">
        <v>1268</v>
      </c>
      <c r="J47" s="1">
        <v>3760</v>
      </c>
      <c r="K47" s="1">
        <v>250</v>
      </c>
      <c r="L47" s="1">
        <v>198</v>
      </c>
      <c r="M47" s="1">
        <v>1642</v>
      </c>
      <c r="N47" s="1">
        <v>327</v>
      </c>
      <c r="O47" s="1">
        <v>1487</v>
      </c>
      <c r="P47" s="1">
        <v>76</v>
      </c>
      <c r="Q47" s="1">
        <v>853</v>
      </c>
      <c r="R47" s="1">
        <v>331</v>
      </c>
      <c r="S47" s="1">
        <v>9473</v>
      </c>
      <c r="T47" s="35">
        <v>23731</v>
      </c>
      <c r="U47" s="5"/>
    </row>
    <row r="48" spans="2:21" ht="15.75" x14ac:dyDescent="0.25">
      <c r="B48" s="5"/>
      <c r="C48" s="645" t="s">
        <v>147</v>
      </c>
      <c r="D48" s="1">
        <v>43</v>
      </c>
      <c r="E48" s="1">
        <v>93</v>
      </c>
      <c r="F48" s="1">
        <v>316</v>
      </c>
      <c r="G48" s="1">
        <v>58</v>
      </c>
      <c r="H48" s="1">
        <v>53</v>
      </c>
      <c r="I48" s="1">
        <v>196</v>
      </c>
      <c r="J48" s="1">
        <v>604</v>
      </c>
      <c r="K48" s="1">
        <v>22</v>
      </c>
      <c r="L48" s="1">
        <v>26</v>
      </c>
      <c r="M48" s="1">
        <v>262</v>
      </c>
      <c r="N48" s="1">
        <v>55</v>
      </c>
      <c r="O48" s="1">
        <v>220</v>
      </c>
      <c r="P48" s="1">
        <v>3</v>
      </c>
      <c r="Q48" s="1">
        <v>119</v>
      </c>
      <c r="R48" s="1">
        <v>50</v>
      </c>
      <c r="S48" s="1">
        <v>1086</v>
      </c>
      <c r="T48" s="35">
        <v>3206</v>
      </c>
      <c r="U48" s="5"/>
    </row>
    <row r="49" spans="2:21" ht="15.75" x14ac:dyDescent="0.25">
      <c r="B49" s="5"/>
      <c r="C49" s="645" t="s">
        <v>54</v>
      </c>
      <c r="D49" s="5">
        <v>475</v>
      </c>
      <c r="E49" s="5">
        <v>947</v>
      </c>
      <c r="F49" s="5">
        <v>2520</v>
      </c>
      <c r="G49" s="5">
        <v>572</v>
      </c>
      <c r="H49" s="5">
        <v>500</v>
      </c>
      <c r="I49" s="5">
        <v>1540</v>
      </c>
      <c r="J49" s="5">
        <v>4424</v>
      </c>
      <c r="K49" s="5">
        <v>330</v>
      </c>
      <c r="L49" s="5">
        <v>251</v>
      </c>
      <c r="M49" s="5">
        <v>1926</v>
      </c>
      <c r="N49" s="5">
        <v>413</v>
      </c>
      <c r="O49" s="5">
        <v>1813</v>
      </c>
      <c r="P49" s="5">
        <v>100</v>
      </c>
      <c r="Q49" s="5">
        <v>1029</v>
      </c>
      <c r="R49" s="5">
        <v>433</v>
      </c>
      <c r="S49" s="5">
        <v>11393</v>
      </c>
      <c r="T49" s="35">
        <v>28666</v>
      </c>
      <c r="U49" s="5"/>
    </row>
    <row r="50" spans="2:21" ht="15.75" x14ac:dyDescent="0.25">
      <c r="B50" s="5"/>
      <c r="C50" s="5"/>
      <c r="D50" s="5"/>
      <c r="E50" s="5"/>
      <c r="F50" s="5"/>
      <c r="G50" s="5"/>
      <c r="H50" s="5"/>
      <c r="I50" s="5"/>
      <c r="J50" s="5"/>
      <c r="K50" s="5"/>
      <c r="L50" s="5"/>
      <c r="M50" s="5"/>
      <c r="N50" s="5"/>
      <c r="O50" s="5"/>
      <c r="P50" s="5"/>
      <c r="Q50" s="5"/>
      <c r="R50" s="5"/>
      <c r="S50" s="5"/>
      <c r="T50" s="35"/>
      <c r="U50" s="5"/>
    </row>
    <row r="51" spans="2:21" ht="15.75" x14ac:dyDescent="0.25">
      <c r="B51" s="5"/>
      <c r="C51" s="5"/>
      <c r="T51" s="35"/>
      <c r="U51" s="5"/>
    </row>
    <row r="52" spans="2:21" ht="15.75" x14ac:dyDescent="0.25">
      <c r="B52" s="5">
        <v>2012</v>
      </c>
      <c r="C52" s="5" t="s">
        <v>332</v>
      </c>
      <c r="D52" s="5" t="s">
        <v>8</v>
      </c>
      <c r="E52" s="5" t="s">
        <v>9</v>
      </c>
      <c r="F52" s="5" t="s">
        <v>10</v>
      </c>
      <c r="G52" s="5" t="s">
        <v>11</v>
      </c>
      <c r="H52" s="5" t="s">
        <v>12</v>
      </c>
      <c r="I52" s="5" t="s">
        <v>13</v>
      </c>
      <c r="J52" s="5" t="s">
        <v>14</v>
      </c>
      <c r="K52" s="5" t="s">
        <v>15</v>
      </c>
      <c r="L52" s="5" t="s">
        <v>16</v>
      </c>
      <c r="M52" s="5" t="s">
        <v>17</v>
      </c>
      <c r="N52" s="5" t="s">
        <v>18</v>
      </c>
      <c r="O52" s="5" t="s">
        <v>19</v>
      </c>
      <c r="P52" s="5" t="s">
        <v>20</v>
      </c>
      <c r="Q52" s="5" t="s">
        <v>21</v>
      </c>
      <c r="R52" s="5" t="s">
        <v>22</v>
      </c>
      <c r="S52" s="5" t="s">
        <v>23</v>
      </c>
      <c r="T52" s="35" t="s">
        <v>24</v>
      </c>
      <c r="U52" s="5"/>
    </row>
    <row r="53" spans="2:21" ht="15.75" x14ac:dyDescent="0.25">
      <c r="B53" s="5"/>
      <c r="C53" s="5" t="s">
        <v>3</v>
      </c>
      <c r="D53" s="1">
        <v>17</v>
      </c>
      <c r="E53" s="1">
        <v>69</v>
      </c>
      <c r="F53" s="1">
        <v>223</v>
      </c>
      <c r="G53" s="1">
        <v>24</v>
      </c>
      <c r="H53" s="1">
        <v>42</v>
      </c>
      <c r="I53" s="1">
        <v>128</v>
      </c>
      <c r="J53" s="1">
        <v>480</v>
      </c>
      <c r="K53" s="1">
        <v>13</v>
      </c>
      <c r="L53" s="1">
        <v>8</v>
      </c>
      <c r="M53" s="1">
        <v>159</v>
      </c>
      <c r="N53" s="1">
        <v>25</v>
      </c>
      <c r="O53" s="1">
        <v>147</v>
      </c>
      <c r="P53" s="1">
        <v>1</v>
      </c>
      <c r="Q53" s="1">
        <v>75</v>
      </c>
      <c r="R53" s="1">
        <v>29</v>
      </c>
      <c r="S53" s="1">
        <v>726</v>
      </c>
      <c r="T53" s="35">
        <v>2166</v>
      </c>
      <c r="U53" s="5"/>
    </row>
    <row r="54" spans="2:21" ht="15.75" x14ac:dyDescent="0.25">
      <c r="B54" s="5"/>
      <c r="C54" s="5" t="s">
        <v>4</v>
      </c>
      <c r="D54" s="1">
        <v>323</v>
      </c>
      <c r="E54" s="1">
        <v>682</v>
      </c>
      <c r="F54" s="1">
        <v>1840</v>
      </c>
      <c r="G54" s="1">
        <v>402</v>
      </c>
      <c r="H54" s="1">
        <v>342</v>
      </c>
      <c r="I54" s="1">
        <v>1097</v>
      </c>
      <c r="J54" s="1">
        <v>3302</v>
      </c>
      <c r="K54" s="1">
        <v>229</v>
      </c>
      <c r="L54" s="1">
        <v>161</v>
      </c>
      <c r="M54" s="1">
        <v>1432</v>
      </c>
      <c r="N54" s="1">
        <v>269</v>
      </c>
      <c r="O54" s="1">
        <v>1298</v>
      </c>
      <c r="P54" s="1">
        <v>67</v>
      </c>
      <c r="Q54" s="1">
        <v>736</v>
      </c>
      <c r="R54" s="1">
        <v>272</v>
      </c>
      <c r="S54" s="1">
        <v>8357</v>
      </c>
      <c r="T54" s="35">
        <v>20809</v>
      </c>
      <c r="U54" s="5"/>
    </row>
    <row r="55" spans="2:21" ht="15.75" x14ac:dyDescent="0.25">
      <c r="B55" s="5"/>
      <c r="C55" s="5" t="s">
        <v>5</v>
      </c>
      <c r="D55" s="1">
        <v>75</v>
      </c>
      <c r="E55" s="1">
        <v>111</v>
      </c>
      <c r="F55" s="1">
        <v>271</v>
      </c>
      <c r="G55" s="1">
        <v>76</v>
      </c>
      <c r="H55" s="1">
        <v>60</v>
      </c>
      <c r="I55" s="1">
        <v>172</v>
      </c>
      <c r="J55" s="1">
        <v>360</v>
      </c>
      <c r="K55" s="1">
        <v>40</v>
      </c>
      <c r="L55" s="1">
        <v>44</v>
      </c>
      <c r="M55" s="1">
        <v>191</v>
      </c>
      <c r="N55" s="1">
        <v>64</v>
      </c>
      <c r="O55" s="1">
        <v>196</v>
      </c>
      <c r="P55" s="1">
        <v>13</v>
      </c>
      <c r="Q55" s="1">
        <v>136</v>
      </c>
      <c r="R55" s="1">
        <v>54</v>
      </c>
      <c r="S55" s="1">
        <v>1262</v>
      </c>
      <c r="T55" s="35">
        <v>3125</v>
      </c>
      <c r="U55" s="5"/>
    </row>
    <row r="56" spans="2:21" ht="15.75" x14ac:dyDescent="0.25">
      <c r="B56" s="5"/>
      <c r="C56" s="5" t="s">
        <v>6</v>
      </c>
      <c r="D56" s="1">
        <v>40</v>
      </c>
      <c r="E56" s="1">
        <v>62</v>
      </c>
      <c r="F56" s="1">
        <v>132</v>
      </c>
      <c r="G56" s="1">
        <v>46</v>
      </c>
      <c r="H56" s="1">
        <v>35</v>
      </c>
      <c r="I56" s="1">
        <v>87</v>
      </c>
      <c r="J56" s="1">
        <v>148</v>
      </c>
      <c r="K56" s="1">
        <v>36</v>
      </c>
      <c r="L56" s="1">
        <v>23</v>
      </c>
      <c r="M56" s="1">
        <v>80</v>
      </c>
      <c r="N56" s="1">
        <v>25</v>
      </c>
      <c r="O56" s="1">
        <v>133</v>
      </c>
      <c r="P56" s="1">
        <v>9</v>
      </c>
      <c r="Q56" s="1">
        <v>62</v>
      </c>
      <c r="R56" s="1">
        <v>51</v>
      </c>
      <c r="S56" s="1">
        <v>664</v>
      </c>
      <c r="T56" s="35">
        <v>1633</v>
      </c>
      <c r="U56" s="5"/>
    </row>
    <row r="57" spans="2:21" ht="15.75" x14ac:dyDescent="0.25">
      <c r="B57" s="5"/>
      <c r="C57" s="5" t="s">
        <v>7</v>
      </c>
      <c r="D57" s="1">
        <v>21</v>
      </c>
      <c r="E57" s="1">
        <v>36</v>
      </c>
      <c r="F57" s="1">
        <v>65</v>
      </c>
      <c r="G57" s="1">
        <v>30</v>
      </c>
      <c r="H57" s="1">
        <v>16</v>
      </c>
      <c r="I57" s="1">
        <v>38</v>
      </c>
      <c r="J57" s="1">
        <v>65</v>
      </c>
      <c r="K57" s="1">
        <v>20</v>
      </c>
      <c r="L57" s="1">
        <v>9</v>
      </c>
      <c r="M57" s="1">
        <v>21</v>
      </c>
      <c r="N57" s="1">
        <v>9</v>
      </c>
      <c r="O57" s="1">
        <v>49</v>
      </c>
      <c r="P57" s="1">
        <v>11</v>
      </c>
      <c r="Q57" s="1">
        <v>26</v>
      </c>
      <c r="R57" s="1">
        <v>16</v>
      </c>
      <c r="S57" s="1">
        <v>337</v>
      </c>
      <c r="T57" s="35">
        <v>769</v>
      </c>
      <c r="U57" s="5"/>
    </row>
    <row r="58" spans="2:21" ht="15.75" x14ac:dyDescent="0.25">
      <c r="B58" s="5"/>
      <c r="C58" s="5"/>
      <c r="T58" s="35"/>
      <c r="U58" s="5"/>
    </row>
    <row r="59" spans="2:21" ht="15.75" x14ac:dyDescent="0.25">
      <c r="B59" s="5"/>
      <c r="C59" s="645" t="s">
        <v>67</v>
      </c>
      <c r="D59" s="1">
        <v>386</v>
      </c>
      <c r="E59" s="1">
        <v>776</v>
      </c>
      <c r="F59" s="1">
        <v>2073</v>
      </c>
      <c r="G59" s="1">
        <v>459</v>
      </c>
      <c r="H59" s="1">
        <v>395</v>
      </c>
      <c r="I59" s="1">
        <v>1262</v>
      </c>
      <c r="J59" s="1">
        <v>3709</v>
      </c>
      <c r="K59" s="1">
        <v>255</v>
      </c>
      <c r="L59" s="1">
        <v>196</v>
      </c>
      <c r="M59" s="1">
        <v>1606</v>
      </c>
      <c r="N59" s="1">
        <v>317</v>
      </c>
      <c r="O59" s="1">
        <v>1491</v>
      </c>
      <c r="P59" s="1">
        <v>79</v>
      </c>
      <c r="Q59" s="1">
        <v>862</v>
      </c>
      <c r="R59" s="1">
        <v>319</v>
      </c>
      <c r="S59" s="1">
        <v>9454</v>
      </c>
      <c r="T59" s="35">
        <v>23639</v>
      </c>
      <c r="U59" s="5"/>
    </row>
    <row r="60" spans="2:21" ht="15.75" x14ac:dyDescent="0.25">
      <c r="B60" s="5"/>
      <c r="C60" s="645" t="s">
        <v>147</v>
      </c>
      <c r="D60" s="1">
        <v>42</v>
      </c>
      <c r="E60" s="1">
        <v>84</v>
      </c>
      <c r="F60" s="1">
        <v>313</v>
      </c>
      <c r="G60" s="1">
        <v>63</v>
      </c>
      <c r="H60" s="1">
        <v>52</v>
      </c>
      <c r="I60" s="1">
        <v>181</v>
      </c>
      <c r="J60" s="1">
        <v>581</v>
      </c>
      <c r="K60" s="1">
        <v>24</v>
      </c>
      <c r="L60" s="1">
        <v>26</v>
      </c>
      <c r="M60" s="1">
        <v>273</v>
      </c>
      <c r="N60" s="1">
        <v>48</v>
      </c>
      <c r="O60" s="1">
        <v>214</v>
      </c>
      <c r="P60" s="1">
        <v>8</v>
      </c>
      <c r="Q60" s="1">
        <v>109</v>
      </c>
      <c r="R60" s="1">
        <v>45</v>
      </c>
      <c r="S60" s="1">
        <v>1102</v>
      </c>
      <c r="T60" s="35">
        <v>3165</v>
      </c>
      <c r="U60" s="5"/>
    </row>
    <row r="61" spans="2:21" ht="15.75" x14ac:dyDescent="0.25">
      <c r="B61" s="5"/>
      <c r="C61" s="645" t="s">
        <v>54</v>
      </c>
      <c r="D61" s="5">
        <v>476</v>
      </c>
      <c r="E61" s="5">
        <v>960</v>
      </c>
      <c r="F61" s="5">
        <v>2531</v>
      </c>
      <c r="G61" s="5">
        <v>578</v>
      </c>
      <c r="H61" s="5">
        <v>495</v>
      </c>
      <c r="I61" s="5">
        <v>1522</v>
      </c>
      <c r="J61" s="5">
        <v>4355</v>
      </c>
      <c r="K61" s="5">
        <v>338</v>
      </c>
      <c r="L61" s="5">
        <v>245</v>
      </c>
      <c r="M61" s="5">
        <v>1883</v>
      </c>
      <c r="N61" s="5">
        <v>392</v>
      </c>
      <c r="O61" s="5">
        <v>1823</v>
      </c>
      <c r="P61" s="5">
        <v>101</v>
      </c>
      <c r="Q61" s="5">
        <v>1035</v>
      </c>
      <c r="R61" s="5">
        <v>422</v>
      </c>
      <c r="S61" s="5">
        <v>11346</v>
      </c>
      <c r="T61" s="35">
        <v>28502</v>
      </c>
      <c r="U61" s="5"/>
    </row>
    <row r="62" spans="2:21" ht="15.75" x14ac:dyDescent="0.25">
      <c r="B62" s="5"/>
      <c r="C62" s="5"/>
      <c r="T62" s="35"/>
      <c r="U62" s="5"/>
    </row>
    <row r="63" spans="2:21" ht="15.75" x14ac:dyDescent="0.25">
      <c r="B63" s="5">
        <v>2011</v>
      </c>
      <c r="C63" s="5" t="s">
        <v>332</v>
      </c>
      <c r="D63" s="5" t="s">
        <v>8</v>
      </c>
      <c r="E63" s="5" t="s">
        <v>9</v>
      </c>
      <c r="F63" s="5" t="s">
        <v>10</v>
      </c>
      <c r="G63" s="5" t="s">
        <v>11</v>
      </c>
      <c r="H63" s="5" t="s">
        <v>12</v>
      </c>
      <c r="I63" s="5" t="s">
        <v>13</v>
      </c>
      <c r="J63" s="5" t="s">
        <v>14</v>
      </c>
      <c r="K63" s="5" t="s">
        <v>15</v>
      </c>
      <c r="L63" s="5" t="s">
        <v>16</v>
      </c>
      <c r="M63" s="5" t="s">
        <v>17</v>
      </c>
      <c r="N63" s="5" t="s">
        <v>18</v>
      </c>
      <c r="O63" s="5" t="s">
        <v>19</v>
      </c>
      <c r="P63" s="5" t="s">
        <v>20</v>
      </c>
      <c r="Q63" s="5" t="s">
        <v>21</v>
      </c>
      <c r="R63" s="5" t="s">
        <v>22</v>
      </c>
      <c r="S63" s="5" t="s">
        <v>23</v>
      </c>
      <c r="T63" s="35" t="s">
        <v>24</v>
      </c>
      <c r="U63" s="5"/>
    </row>
    <row r="64" spans="2:21" ht="15.75" x14ac:dyDescent="0.25">
      <c r="B64" s="5"/>
      <c r="C64" s="5" t="s">
        <v>3</v>
      </c>
      <c r="D64" s="1">
        <v>18</v>
      </c>
      <c r="E64" s="1">
        <v>69</v>
      </c>
      <c r="F64" s="1">
        <v>226</v>
      </c>
      <c r="G64" s="1">
        <v>24</v>
      </c>
      <c r="H64" s="1">
        <v>38</v>
      </c>
      <c r="I64" s="1">
        <v>136</v>
      </c>
      <c r="J64" s="1">
        <v>448</v>
      </c>
      <c r="K64" s="1">
        <v>17</v>
      </c>
      <c r="L64" s="1">
        <v>11</v>
      </c>
      <c r="M64" s="1">
        <v>155</v>
      </c>
      <c r="N64" s="1">
        <v>26</v>
      </c>
      <c r="O64" s="1">
        <v>135</v>
      </c>
      <c r="P64" s="1">
        <v>1</v>
      </c>
      <c r="Q64" s="1">
        <v>83</v>
      </c>
      <c r="R64" s="1">
        <v>29</v>
      </c>
      <c r="S64" s="1">
        <v>714</v>
      </c>
      <c r="T64" s="35">
        <v>2130</v>
      </c>
      <c r="U64" s="5"/>
    </row>
    <row r="65" spans="2:21" ht="15.75" x14ac:dyDescent="0.25">
      <c r="B65" s="5"/>
      <c r="C65" s="5" t="s">
        <v>4</v>
      </c>
      <c r="D65" s="1">
        <v>337</v>
      </c>
      <c r="E65" s="1">
        <v>704</v>
      </c>
      <c r="F65" s="1">
        <v>1849</v>
      </c>
      <c r="G65" s="1">
        <v>399</v>
      </c>
      <c r="H65" s="1">
        <v>341</v>
      </c>
      <c r="I65" s="1">
        <v>1104</v>
      </c>
      <c r="J65" s="1">
        <v>3250</v>
      </c>
      <c r="K65" s="1">
        <v>243</v>
      </c>
      <c r="L65" s="1">
        <v>166</v>
      </c>
      <c r="M65" s="1">
        <v>1423</v>
      </c>
      <c r="N65" s="1">
        <v>280</v>
      </c>
      <c r="O65" s="1">
        <v>1297</v>
      </c>
      <c r="P65" s="1">
        <v>65</v>
      </c>
      <c r="Q65" s="1">
        <v>729</v>
      </c>
      <c r="R65" s="1">
        <v>294</v>
      </c>
      <c r="S65" s="1">
        <v>8386</v>
      </c>
      <c r="T65" s="35">
        <v>20867</v>
      </c>
      <c r="U65" s="5"/>
    </row>
    <row r="66" spans="2:21" ht="15.75" x14ac:dyDescent="0.25">
      <c r="B66" s="5"/>
      <c r="C66" s="5" t="s">
        <v>5</v>
      </c>
      <c r="D66" s="1">
        <v>70</v>
      </c>
      <c r="E66" s="1">
        <v>111</v>
      </c>
      <c r="F66" s="1">
        <v>262</v>
      </c>
      <c r="G66" s="1">
        <v>75</v>
      </c>
      <c r="H66" s="1">
        <v>60</v>
      </c>
      <c r="I66" s="1">
        <v>163</v>
      </c>
      <c r="J66" s="1">
        <v>344</v>
      </c>
      <c r="K66" s="1">
        <v>46</v>
      </c>
      <c r="L66" s="1">
        <v>39</v>
      </c>
      <c r="M66" s="1">
        <v>173</v>
      </c>
      <c r="N66" s="1">
        <v>62</v>
      </c>
      <c r="O66" s="1">
        <v>198</v>
      </c>
      <c r="P66" s="1">
        <v>15</v>
      </c>
      <c r="Q66" s="1">
        <v>129</v>
      </c>
      <c r="R66" s="1">
        <v>58</v>
      </c>
      <c r="S66" s="1">
        <v>1176</v>
      </c>
      <c r="T66" s="35">
        <v>2981</v>
      </c>
      <c r="U66" s="5"/>
    </row>
    <row r="67" spans="2:21" ht="15.75" x14ac:dyDescent="0.25">
      <c r="B67" s="5"/>
      <c r="C67" s="5" t="s">
        <v>6</v>
      </c>
      <c r="D67" s="1">
        <v>34</v>
      </c>
      <c r="E67" s="1">
        <v>60</v>
      </c>
      <c r="F67" s="1">
        <v>121</v>
      </c>
      <c r="G67" s="1">
        <v>52</v>
      </c>
      <c r="H67" s="1">
        <v>38</v>
      </c>
      <c r="I67" s="1">
        <v>96</v>
      </c>
      <c r="J67" s="1">
        <v>145</v>
      </c>
      <c r="K67" s="1">
        <v>39</v>
      </c>
      <c r="L67" s="1">
        <v>22</v>
      </c>
      <c r="M67" s="1">
        <v>88</v>
      </c>
      <c r="N67" s="1">
        <v>23</v>
      </c>
      <c r="O67" s="1">
        <v>129</v>
      </c>
      <c r="P67" s="1">
        <v>10</v>
      </c>
      <c r="Q67" s="1">
        <v>65</v>
      </c>
      <c r="R67" s="1">
        <v>51</v>
      </c>
      <c r="S67" s="1">
        <v>646</v>
      </c>
      <c r="T67" s="35">
        <v>1619</v>
      </c>
      <c r="U67" s="5"/>
    </row>
    <row r="68" spans="2:21" ht="15.75" x14ac:dyDescent="0.25">
      <c r="B68" s="5"/>
      <c r="C68" s="5" t="s">
        <v>7</v>
      </c>
      <c r="D68" s="1">
        <v>21</v>
      </c>
      <c r="E68" s="1">
        <v>34</v>
      </c>
      <c r="F68" s="1">
        <v>69</v>
      </c>
      <c r="G68" s="1">
        <v>27</v>
      </c>
      <c r="H68" s="1">
        <v>15</v>
      </c>
      <c r="I68" s="1">
        <v>27</v>
      </c>
      <c r="J68" s="1">
        <v>62</v>
      </c>
      <c r="K68" s="1">
        <v>16</v>
      </c>
      <c r="L68" s="1">
        <v>11</v>
      </c>
      <c r="M68" s="1">
        <v>21</v>
      </c>
      <c r="N68" s="1">
        <v>8</v>
      </c>
      <c r="O68" s="1">
        <v>51</v>
      </c>
      <c r="P68" s="1">
        <v>12</v>
      </c>
      <c r="Q68" s="1">
        <v>26</v>
      </c>
      <c r="R68" s="1">
        <v>17</v>
      </c>
      <c r="S68" s="1">
        <v>341</v>
      </c>
      <c r="T68" s="35">
        <v>758</v>
      </c>
      <c r="U68" s="5"/>
    </row>
    <row r="69" spans="2:21" ht="15.75" x14ac:dyDescent="0.25">
      <c r="B69" s="5"/>
      <c r="C69" s="5"/>
      <c r="D69" s="5"/>
      <c r="E69" s="5"/>
      <c r="F69" s="5"/>
      <c r="G69" s="5"/>
      <c r="H69" s="5"/>
      <c r="I69" s="5"/>
      <c r="J69" s="5"/>
      <c r="K69" s="5"/>
      <c r="L69" s="5"/>
      <c r="M69" s="5"/>
      <c r="N69" s="5"/>
      <c r="O69" s="5"/>
      <c r="P69" s="5"/>
      <c r="Q69" s="5"/>
      <c r="R69" s="5"/>
      <c r="S69" s="5"/>
      <c r="T69" s="35"/>
      <c r="U69" s="5"/>
    </row>
    <row r="70" spans="2:21" ht="15.75" x14ac:dyDescent="0.25">
      <c r="B70" s="5"/>
      <c r="C70" s="645" t="s">
        <v>67</v>
      </c>
      <c r="D70" s="5">
        <v>396</v>
      </c>
      <c r="E70" s="5">
        <v>798</v>
      </c>
      <c r="F70" s="5">
        <v>2076</v>
      </c>
      <c r="G70" s="5">
        <v>460</v>
      </c>
      <c r="H70" s="5">
        <v>394</v>
      </c>
      <c r="I70" s="5">
        <v>1265</v>
      </c>
      <c r="J70" s="5">
        <v>3637</v>
      </c>
      <c r="K70" s="5">
        <v>271</v>
      </c>
      <c r="L70" s="5">
        <v>201</v>
      </c>
      <c r="M70" s="5">
        <v>1589</v>
      </c>
      <c r="N70" s="5">
        <v>325</v>
      </c>
      <c r="O70" s="5">
        <v>1465</v>
      </c>
      <c r="P70" s="5">
        <v>77</v>
      </c>
      <c r="Q70" s="5">
        <v>847</v>
      </c>
      <c r="R70" s="5">
        <v>343</v>
      </c>
      <c r="S70" s="5">
        <v>9405</v>
      </c>
      <c r="T70" s="35">
        <v>23549</v>
      </c>
      <c r="U70" s="5"/>
    </row>
    <row r="71" spans="2:21" ht="15.75" x14ac:dyDescent="0.25">
      <c r="B71" s="5"/>
      <c r="C71" s="645" t="s">
        <v>147</v>
      </c>
      <c r="D71" s="5">
        <v>46</v>
      </c>
      <c r="E71" s="5">
        <v>89</v>
      </c>
      <c r="F71" s="5">
        <v>318</v>
      </c>
      <c r="G71" s="5">
        <v>65</v>
      </c>
      <c r="H71" s="5">
        <v>50</v>
      </c>
      <c r="I71" s="5">
        <v>173</v>
      </c>
      <c r="J71" s="5">
        <v>565</v>
      </c>
      <c r="K71" s="5">
        <v>33</v>
      </c>
      <c r="L71" s="5">
        <v>30</v>
      </c>
      <c r="M71" s="5">
        <v>275</v>
      </c>
      <c r="N71" s="5">
        <v>51</v>
      </c>
      <c r="O71" s="5">
        <v>208</v>
      </c>
      <c r="P71" s="5">
        <v>8</v>
      </c>
      <c r="Q71" s="5">
        <v>103</v>
      </c>
      <c r="R71" s="5">
        <v>44</v>
      </c>
      <c r="S71" s="5">
        <v>1080</v>
      </c>
      <c r="T71" s="35">
        <v>3138</v>
      </c>
      <c r="U71" s="5"/>
    </row>
    <row r="72" spans="2:21" ht="15.75" x14ac:dyDescent="0.25">
      <c r="B72" s="5"/>
      <c r="C72" s="645" t="s">
        <v>54</v>
      </c>
      <c r="D72" s="5">
        <v>480</v>
      </c>
      <c r="E72" s="5">
        <v>978</v>
      </c>
      <c r="F72" s="5">
        <v>2527</v>
      </c>
      <c r="G72" s="5">
        <v>577</v>
      </c>
      <c r="H72" s="5">
        <v>492</v>
      </c>
      <c r="I72" s="5">
        <v>1526</v>
      </c>
      <c r="J72" s="5">
        <v>4249</v>
      </c>
      <c r="K72" s="5">
        <v>361</v>
      </c>
      <c r="L72" s="5">
        <v>249</v>
      </c>
      <c r="M72" s="5">
        <v>1860</v>
      </c>
      <c r="N72" s="5">
        <v>399</v>
      </c>
      <c r="O72" s="5">
        <v>1810</v>
      </c>
      <c r="P72" s="5">
        <v>103</v>
      </c>
      <c r="Q72" s="5">
        <v>1032</v>
      </c>
      <c r="R72" s="5">
        <v>449</v>
      </c>
      <c r="S72" s="5">
        <v>11263</v>
      </c>
      <c r="T72" s="35">
        <v>28355</v>
      </c>
      <c r="U72" s="5"/>
    </row>
    <row r="73" spans="2:21" ht="15.75" x14ac:dyDescent="0.25">
      <c r="B73" s="5"/>
      <c r="C73" s="5"/>
      <c r="T73" s="35"/>
      <c r="U73" s="5"/>
    </row>
    <row r="74" spans="2:21" ht="15.75" x14ac:dyDescent="0.25">
      <c r="B74" s="5">
        <v>2010</v>
      </c>
      <c r="C74" s="5" t="s">
        <v>332</v>
      </c>
      <c r="D74" s="5" t="s">
        <v>8</v>
      </c>
      <c r="E74" s="5" t="s">
        <v>9</v>
      </c>
      <c r="F74" s="5" t="s">
        <v>10</v>
      </c>
      <c r="G74" s="5" t="s">
        <v>11</v>
      </c>
      <c r="H74" s="5" t="s">
        <v>12</v>
      </c>
      <c r="I74" s="5" t="s">
        <v>13</v>
      </c>
      <c r="J74" s="5" t="s">
        <v>14</v>
      </c>
      <c r="K74" s="5" t="s">
        <v>15</v>
      </c>
      <c r="L74" s="5" t="s">
        <v>16</v>
      </c>
      <c r="M74" s="5" t="s">
        <v>17</v>
      </c>
      <c r="N74" s="5" t="s">
        <v>18</v>
      </c>
      <c r="O74" s="5" t="s">
        <v>19</v>
      </c>
      <c r="P74" s="5" t="s">
        <v>20</v>
      </c>
      <c r="Q74" s="5" t="s">
        <v>21</v>
      </c>
      <c r="R74" s="5" t="s">
        <v>22</v>
      </c>
      <c r="S74" s="5" t="s">
        <v>23</v>
      </c>
      <c r="T74" s="35" t="s">
        <v>24</v>
      </c>
      <c r="U74" s="5"/>
    </row>
    <row r="75" spans="2:21" ht="15.75" x14ac:dyDescent="0.25">
      <c r="B75" s="5"/>
      <c r="C75" s="5" t="s">
        <v>3</v>
      </c>
      <c r="D75" s="1">
        <v>22</v>
      </c>
      <c r="E75" s="1">
        <v>63</v>
      </c>
      <c r="F75" s="1">
        <v>220</v>
      </c>
      <c r="G75" s="1">
        <v>30</v>
      </c>
      <c r="H75" s="1">
        <v>34</v>
      </c>
      <c r="I75" s="1">
        <v>122</v>
      </c>
      <c r="J75" s="1">
        <v>450</v>
      </c>
      <c r="K75" s="1">
        <v>17</v>
      </c>
      <c r="L75" s="1">
        <v>11</v>
      </c>
      <c r="M75" s="1">
        <v>149</v>
      </c>
      <c r="N75" s="1">
        <v>30</v>
      </c>
      <c r="O75" s="1">
        <v>136</v>
      </c>
      <c r="P75" s="1">
        <v>2</v>
      </c>
      <c r="Q75" s="1">
        <v>73</v>
      </c>
      <c r="R75" s="1">
        <v>27</v>
      </c>
      <c r="S75" s="1">
        <v>711</v>
      </c>
      <c r="T75" s="35">
        <v>2097</v>
      </c>
      <c r="U75" s="5"/>
    </row>
    <row r="76" spans="2:21" ht="15.75" x14ac:dyDescent="0.25">
      <c r="B76" s="5"/>
      <c r="C76" s="5" t="s">
        <v>4</v>
      </c>
      <c r="D76" s="1">
        <v>340</v>
      </c>
      <c r="E76" s="1">
        <v>685</v>
      </c>
      <c r="F76" s="1">
        <v>1827</v>
      </c>
      <c r="G76" s="1">
        <v>395</v>
      </c>
      <c r="H76" s="1">
        <v>327</v>
      </c>
      <c r="I76" s="1">
        <v>1113</v>
      </c>
      <c r="J76" s="1">
        <v>3125</v>
      </c>
      <c r="K76" s="1">
        <v>245</v>
      </c>
      <c r="L76" s="1">
        <v>183</v>
      </c>
      <c r="M76" s="1">
        <v>1397</v>
      </c>
      <c r="N76" s="1">
        <v>278</v>
      </c>
      <c r="O76" s="1">
        <v>1303</v>
      </c>
      <c r="P76" s="1">
        <v>82</v>
      </c>
      <c r="Q76" s="1">
        <v>745</v>
      </c>
      <c r="R76" s="1">
        <v>303</v>
      </c>
      <c r="S76" s="1">
        <v>8417</v>
      </c>
      <c r="T76" s="35">
        <v>20765</v>
      </c>
      <c r="U76" s="5"/>
    </row>
    <row r="77" spans="2:21" ht="15.75" x14ac:dyDescent="0.25">
      <c r="B77" s="5"/>
      <c r="C77" s="5" t="s">
        <v>5</v>
      </c>
      <c r="D77" s="1">
        <v>67</v>
      </c>
      <c r="E77" s="1">
        <v>102</v>
      </c>
      <c r="F77" s="1">
        <v>261</v>
      </c>
      <c r="G77" s="1">
        <v>72</v>
      </c>
      <c r="H77" s="1">
        <v>62</v>
      </c>
      <c r="I77" s="1">
        <v>145</v>
      </c>
      <c r="J77" s="1">
        <v>323</v>
      </c>
      <c r="K77" s="1">
        <v>46</v>
      </c>
      <c r="L77" s="1">
        <v>34</v>
      </c>
      <c r="M77" s="1">
        <v>162</v>
      </c>
      <c r="N77" s="1">
        <v>58</v>
      </c>
      <c r="O77" s="1">
        <v>187</v>
      </c>
      <c r="P77" s="1">
        <v>14</v>
      </c>
      <c r="Q77" s="1">
        <v>109</v>
      </c>
      <c r="R77" s="1">
        <v>57</v>
      </c>
      <c r="S77" s="1">
        <v>1077</v>
      </c>
      <c r="T77" s="35">
        <v>2776</v>
      </c>
      <c r="U77" s="5"/>
    </row>
    <row r="78" spans="2:21" ht="15.75" x14ac:dyDescent="0.25">
      <c r="B78" s="5"/>
      <c r="C78" s="5" t="s">
        <v>6</v>
      </c>
      <c r="D78" s="1">
        <v>38</v>
      </c>
      <c r="E78" s="1">
        <v>60</v>
      </c>
      <c r="F78" s="1">
        <v>125</v>
      </c>
      <c r="G78" s="1">
        <v>54</v>
      </c>
      <c r="H78" s="1">
        <v>41</v>
      </c>
      <c r="I78" s="1">
        <v>102</v>
      </c>
      <c r="J78" s="1">
        <v>138</v>
      </c>
      <c r="K78" s="1">
        <v>39</v>
      </c>
      <c r="L78" s="1">
        <v>22</v>
      </c>
      <c r="M78" s="1">
        <v>85</v>
      </c>
      <c r="N78" s="1">
        <v>23</v>
      </c>
      <c r="O78" s="1">
        <v>130</v>
      </c>
      <c r="P78" s="1">
        <v>10</v>
      </c>
      <c r="Q78" s="1">
        <v>67</v>
      </c>
      <c r="R78" s="1">
        <v>48</v>
      </c>
      <c r="S78" s="1">
        <v>653</v>
      </c>
      <c r="T78" s="35">
        <v>1635</v>
      </c>
      <c r="U78" s="5"/>
    </row>
    <row r="79" spans="2:21" ht="15.75" x14ac:dyDescent="0.25">
      <c r="B79" s="5"/>
      <c r="C79" s="5" t="s">
        <v>7</v>
      </c>
      <c r="D79" s="1">
        <v>21</v>
      </c>
      <c r="E79" s="1">
        <v>33</v>
      </c>
      <c r="F79" s="1">
        <v>69</v>
      </c>
      <c r="G79" s="1">
        <v>29</v>
      </c>
      <c r="H79" s="1">
        <v>11</v>
      </c>
      <c r="I79" s="1">
        <v>26</v>
      </c>
      <c r="J79" s="1">
        <v>62</v>
      </c>
      <c r="K79" s="1">
        <v>17</v>
      </c>
      <c r="L79" s="1">
        <v>9</v>
      </c>
      <c r="M79" s="1">
        <v>21</v>
      </c>
      <c r="N79" s="1">
        <v>5</v>
      </c>
      <c r="O79" s="1">
        <v>46</v>
      </c>
      <c r="P79" s="1">
        <v>11</v>
      </c>
      <c r="Q79" s="1">
        <v>25</v>
      </c>
      <c r="R79" s="1">
        <v>17</v>
      </c>
      <c r="S79" s="1">
        <v>332</v>
      </c>
      <c r="T79" s="35">
        <v>734</v>
      </c>
      <c r="U79" s="5"/>
    </row>
    <row r="80" spans="2:21" ht="15.75" x14ac:dyDescent="0.25">
      <c r="B80" s="5"/>
      <c r="C80" s="5"/>
      <c r="T80" s="35"/>
      <c r="U80" s="5"/>
    </row>
    <row r="81" spans="2:21" ht="15.75" x14ac:dyDescent="0.25">
      <c r="B81" s="5"/>
      <c r="C81" s="645" t="s">
        <v>67</v>
      </c>
      <c r="D81" s="1">
        <v>398</v>
      </c>
      <c r="E81" s="1">
        <v>772</v>
      </c>
      <c r="F81" s="1">
        <v>2060</v>
      </c>
      <c r="G81" s="1">
        <v>465</v>
      </c>
      <c r="H81" s="1">
        <v>372</v>
      </c>
      <c r="I81" s="1">
        <v>1259</v>
      </c>
      <c r="J81" s="1">
        <v>3481</v>
      </c>
      <c r="K81" s="1">
        <v>271</v>
      </c>
      <c r="L81" s="1">
        <v>213</v>
      </c>
      <c r="M81" s="1">
        <v>1548</v>
      </c>
      <c r="N81" s="1">
        <v>326</v>
      </c>
      <c r="O81" s="1">
        <v>1470</v>
      </c>
      <c r="P81" s="1">
        <v>92</v>
      </c>
      <c r="Q81" s="1">
        <v>837</v>
      </c>
      <c r="R81" s="1">
        <v>351</v>
      </c>
      <c r="S81" s="1">
        <v>9330</v>
      </c>
      <c r="T81" s="35">
        <v>23245</v>
      </c>
      <c r="U81" s="5"/>
    </row>
    <row r="82" spans="2:21" ht="15.75" x14ac:dyDescent="0.25">
      <c r="B82" s="5"/>
      <c r="C82" s="645" t="s">
        <v>147</v>
      </c>
      <c r="D82" s="1">
        <v>48</v>
      </c>
      <c r="E82" s="1">
        <v>93</v>
      </c>
      <c r="F82" s="1">
        <v>309</v>
      </c>
      <c r="G82" s="1">
        <v>65</v>
      </c>
      <c r="H82" s="1">
        <v>42</v>
      </c>
      <c r="I82" s="1">
        <v>172</v>
      </c>
      <c r="J82" s="1">
        <v>541</v>
      </c>
      <c r="K82" s="1">
        <v>29</v>
      </c>
      <c r="L82" s="1">
        <v>28</v>
      </c>
      <c r="M82" s="1">
        <v>284</v>
      </c>
      <c r="N82" s="1">
        <v>50</v>
      </c>
      <c r="O82" s="1">
        <v>217</v>
      </c>
      <c r="P82" s="1">
        <v>14</v>
      </c>
      <c r="Q82" s="1">
        <v>113</v>
      </c>
      <c r="R82" s="1">
        <v>49</v>
      </c>
      <c r="S82" s="1">
        <v>1117</v>
      </c>
      <c r="T82" s="35">
        <v>3171</v>
      </c>
      <c r="U82" s="5"/>
    </row>
    <row r="83" spans="2:21" ht="15.75" x14ac:dyDescent="0.25">
      <c r="B83" s="5"/>
      <c r="C83" s="645" t="s">
        <v>54</v>
      </c>
      <c r="D83" s="5">
        <v>488</v>
      </c>
      <c r="E83" s="5">
        <v>943</v>
      </c>
      <c r="F83" s="5">
        <v>2502</v>
      </c>
      <c r="G83" s="5">
        <v>580</v>
      </c>
      <c r="H83" s="5">
        <v>475</v>
      </c>
      <c r="I83" s="5">
        <v>1508</v>
      </c>
      <c r="J83" s="5">
        <v>4098</v>
      </c>
      <c r="K83" s="5">
        <v>364</v>
      </c>
      <c r="L83" s="5">
        <v>259</v>
      </c>
      <c r="M83" s="5">
        <v>1814</v>
      </c>
      <c r="N83" s="5">
        <v>394</v>
      </c>
      <c r="O83" s="5">
        <v>1802</v>
      </c>
      <c r="P83" s="5">
        <v>119</v>
      </c>
      <c r="Q83" s="5">
        <v>1019</v>
      </c>
      <c r="R83" s="5">
        <v>452</v>
      </c>
      <c r="S83" s="5">
        <v>11190</v>
      </c>
      <c r="T83" s="35">
        <v>28007</v>
      </c>
      <c r="U83" s="5"/>
    </row>
    <row r="84" spans="2:21" ht="15.75" x14ac:dyDescent="0.25">
      <c r="D84" s="5"/>
      <c r="E84" s="5"/>
      <c r="F84" s="5"/>
      <c r="G84" s="5"/>
      <c r="H84" s="5"/>
      <c r="I84" s="5"/>
      <c r="J84" s="5"/>
      <c r="K84" s="5"/>
      <c r="L84" s="5"/>
      <c r="M84" s="5"/>
      <c r="N84" s="5"/>
      <c r="O84" s="5"/>
      <c r="P84" s="5"/>
      <c r="Q84" s="5"/>
      <c r="R84" s="5"/>
      <c r="S84" s="5"/>
      <c r="T84" s="35"/>
      <c r="U84" s="5"/>
    </row>
    <row r="85" spans="2:21" ht="15.75" x14ac:dyDescent="0.25">
      <c r="U85" s="5"/>
    </row>
    <row r="86" spans="2:21" ht="15.75" x14ac:dyDescent="0.25">
      <c r="B86" s="5">
        <v>2009</v>
      </c>
      <c r="C86" s="5" t="s">
        <v>332</v>
      </c>
      <c r="D86" s="5" t="s">
        <v>8</v>
      </c>
      <c r="E86" s="5" t="s">
        <v>9</v>
      </c>
      <c r="F86" s="5" t="s">
        <v>10</v>
      </c>
      <c r="G86" s="5" t="s">
        <v>11</v>
      </c>
      <c r="H86" s="5" t="s">
        <v>12</v>
      </c>
      <c r="I86" s="5" t="s">
        <v>13</v>
      </c>
      <c r="J86" s="5" t="s">
        <v>14</v>
      </c>
      <c r="K86" s="5" t="s">
        <v>15</v>
      </c>
      <c r="L86" s="5" t="s">
        <v>16</v>
      </c>
      <c r="M86" s="5" t="s">
        <v>17</v>
      </c>
      <c r="N86" s="5" t="s">
        <v>18</v>
      </c>
      <c r="O86" s="5" t="s">
        <v>19</v>
      </c>
      <c r="P86" s="5" t="s">
        <v>20</v>
      </c>
      <c r="Q86" s="5" t="s">
        <v>21</v>
      </c>
      <c r="R86" s="5" t="s">
        <v>22</v>
      </c>
      <c r="S86" s="5" t="s">
        <v>23</v>
      </c>
      <c r="T86" s="35" t="s">
        <v>24</v>
      </c>
      <c r="U86" s="5"/>
    </row>
    <row r="87" spans="2:21" ht="15.75" x14ac:dyDescent="0.25">
      <c r="B87" s="5"/>
      <c r="C87" s="5" t="s">
        <v>3</v>
      </c>
      <c r="D87" s="1">
        <v>28</v>
      </c>
      <c r="E87" s="1">
        <v>56</v>
      </c>
      <c r="F87" s="1">
        <v>212</v>
      </c>
      <c r="G87" s="1">
        <v>27</v>
      </c>
      <c r="H87" s="1">
        <v>28</v>
      </c>
      <c r="I87" s="1">
        <v>125</v>
      </c>
      <c r="J87" s="1">
        <v>440</v>
      </c>
      <c r="K87" s="1">
        <v>15</v>
      </c>
      <c r="L87" s="1">
        <v>12</v>
      </c>
      <c r="M87" s="1">
        <v>145</v>
      </c>
      <c r="N87" s="1">
        <v>26</v>
      </c>
      <c r="O87" s="1">
        <v>142</v>
      </c>
      <c r="P87" s="1">
        <v>4</v>
      </c>
      <c r="Q87" s="1">
        <v>79</v>
      </c>
      <c r="R87" s="1">
        <v>30</v>
      </c>
      <c r="S87" s="1">
        <v>710</v>
      </c>
      <c r="T87" s="35">
        <v>2079</v>
      </c>
      <c r="U87" s="5"/>
    </row>
    <row r="88" spans="2:21" ht="15.75" x14ac:dyDescent="0.25">
      <c r="B88" s="5"/>
      <c r="C88" s="5" t="s">
        <v>4</v>
      </c>
      <c r="D88" s="1">
        <v>350</v>
      </c>
      <c r="E88" s="1">
        <v>678</v>
      </c>
      <c r="F88" s="1">
        <v>1837</v>
      </c>
      <c r="G88" s="1">
        <v>391</v>
      </c>
      <c r="H88" s="1">
        <v>312</v>
      </c>
      <c r="I88" s="1">
        <v>1085</v>
      </c>
      <c r="J88" s="1">
        <v>3087</v>
      </c>
      <c r="K88" s="1">
        <v>258</v>
      </c>
      <c r="L88" s="1">
        <v>186</v>
      </c>
      <c r="M88" s="1">
        <v>1381</v>
      </c>
      <c r="N88" s="1">
        <v>288</v>
      </c>
      <c r="O88" s="1">
        <v>1303</v>
      </c>
      <c r="P88" s="1">
        <v>84</v>
      </c>
      <c r="Q88" s="1">
        <v>748</v>
      </c>
      <c r="R88" s="1">
        <v>300</v>
      </c>
      <c r="S88" s="1">
        <v>8434</v>
      </c>
      <c r="T88" s="35">
        <v>20722</v>
      </c>
      <c r="U88" s="5"/>
    </row>
    <row r="89" spans="2:21" ht="15.75" x14ac:dyDescent="0.25">
      <c r="B89" s="5"/>
      <c r="C89" s="5" t="s">
        <v>5</v>
      </c>
      <c r="D89" s="1">
        <v>58</v>
      </c>
      <c r="E89" s="1">
        <v>95</v>
      </c>
      <c r="F89" s="1">
        <v>244</v>
      </c>
      <c r="G89" s="1">
        <v>61</v>
      </c>
      <c r="H89" s="1">
        <v>71</v>
      </c>
      <c r="I89" s="1">
        <v>138</v>
      </c>
      <c r="J89" s="1">
        <v>291</v>
      </c>
      <c r="K89" s="1">
        <v>48</v>
      </c>
      <c r="L89" s="1">
        <v>36</v>
      </c>
      <c r="M89" s="1">
        <v>160</v>
      </c>
      <c r="N89" s="1">
        <v>50</v>
      </c>
      <c r="O89" s="1">
        <v>169</v>
      </c>
      <c r="P89" s="1">
        <v>14</v>
      </c>
      <c r="Q89" s="1">
        <v>115</v>
      </c>
      <c r="R89" s="1">
        <v>53</v>
      </c>
      <c r="S89" s="1">
        <v>1022</v>
      </c>
      <c r="T89" s="35">
        <v>2625</v>
      </c>
      <c r="U89" s="5"/>
    </row>
    <row r="90" spans="2:21" ht="15.75" x14ac:dyDescent="0.25">
      <c r="B90" s="5"/>
      <c r="C90" s="5" t="s">
        <v>6</v>
      </c>
      <c r="D90" s="1">
        <v>43</v>
      </c>
      <c r="E90" s="1">
        <v>62</v>
      </c>
      <c r="F90" s="1">
        <v>131</v>
      </c>
      <c r="G90" s="1">
        <v>54</v>
      </c>
      <c r="H90" s="1">
        <v>34</v>
      </c>
      <c r="I90" s="1">
        <v>91</v>
      </c>
      <c r="J90" s="1">
        <v>136</v>
      </c>
      <c r="K90" s="1">
        <v>34</v>
      </c>
      <c r="L90" s="1">
        <v>18</v>
      </c>
      <c r="M90" s="1">
        <v>77</v>
      </c>
      <c r="N90" s="1">
        <v>22</v>
      </c>
      <c r="O90" s="1">
        <v>132</v>
      </c>
      <c r="P90" s="1">
        <v>15</v>
      </c>
      <c r="Q90" s="1">
        <v>63</v>
      </c>
      <c r="R90" s="1">
        <v>49</v>
      </c>
      <c r="S90" s="1">
        <v>639</v>
      </c>
      <c r="T90" s="35">
        <v>1600</v>
      </c>
      <c r="U90" s="5"/>
    </row>
    <row r="91" spans="2:21" ht="15.75" x14ac:dyDescent="0.25">
      <c r="B91" s="5"/>
      <c r="C91" s="5" t="s">
        <v>7</v>
      </c>
      <c r="D91" s="1">
        <v>19</v>
      </c>
      <c r="E91" s="1">
        <v>33</v>
      </c>
      <c r="F91" s="1">
        <v>62</v>
      </c>
      <c r="G91" s="1">
        <v>28</v>
      </c>
      <c r="H91" s="1">
        <v>12</v>
      </c>
      <c r="I91" s="1">
        <v>24</v>
      </c>
      <c r="J91" s="1">
        <v>68</v>
      </c>
      <c r="K91" s="1">
        <v>17</v>
      </c>
      <c r="L91" s="1">
        <v>9</v>
      </c>
      <c r="M91" s="1">
        <v>19</v>
      </c>
      <c r="N91" s="1">
        <v>5</v>
      </c>
      <c r="O91" s="1">
        <v>46</v>
      </c>
      <c r="P91" s="1">
        <v>8</v>
      </c>
      <c r="Q91" s="1">
        <v>27</v>
      </c>
      <c r="R91" s="1">
        <v>13</v>
      </c>
      <c r="S91" s="1">
        <v>318</v>
      </c>
      <c r="T91" s="35">
        <v>708</v>
      </c>
      <c r="U91" s="5"/>
    </row>
    <row r="92" spans="2:21" ht="15.75" x14ac:dyDescent="0.25">
      <c r="B92" s="5"/>
      <c r="C92" s="5"/>
      <c r="T92" s="35"/>
      <c r="U92" s="5"/>
    </row>
    <row r="93" spans="2:21" ht="15.75" x14ac:dyDescent="0.25">
      <c r="B93" s="5"/>
      <c r="C93" s="645" t="s">
        <v>67</v>
      </c>
      <c r="D93" s="1">
        <v>406</v>
      </c>
      <c r="E93" s="1">
        <v>752</v>
      </c>
      <c r="F93" s="1">
        <v>2057</v>
      </c>
      <c r="G93" s="1">
        <v>449</v>
      </c>
      <c r="H93" s="1">
        <v>365</v>
      </c>
      <c r="I93" s="1">
        <v>1210</v>
      </c>
      <c r="J93" s="1">
        <v>3411</v>
      </c>
      <c r="K93" s="1">
        <v>282</v>
      </c>
      <c r="L93" s="1">
        <v>213</v>
      </c>
      <c r="M93" s="1">
        <v>1533</v>
      </c>
      <c r="N93" s="1">
        <v>332</v>
      </c>
      <c r="O93" s="1">
        <v>1460</v>
      </c>
      <c r="P93" s="1">
        <v>96</v>
      </c>
      <c r="Q93" s="1">
        <v>837</v>
      </c>
      <c r="R93" s="1">
        <v>346</v>
      </c>
      <c r="S93" s="1">
        <v>9316</v>
      </c>
      <c r="T93" s="35">
        <v>23065</v>
      </c>
      <c r="U93" s="5"/>
    </row>
    <row r="94" spans="2:21" ht="15.75" x14ac:dyDescent="0.25">
      <c r="B94" s="5"/>
      <c r="C94" s="645" t="s">
        <v>147</v>
      </c>
      <c r="D94" s="1">
        <v>46</v>
      </c>
      <c r="E94" s="1">
        <v>99</v>
      </c>
      <c r="F94" s="1">
        <v>320</v>
      </c>
      <c r="G94" s="1">
        <v>60</v>
      </c>
      <c r="H94" s="1">
        <v>44</v>
      </c>
      <c r="I94" s="1">
        <v>165</v>
      </c>
      <c r="J94" s="1">
        <v>509</v>
      </c>
      <c r="K94" s="1">
        <v>32</v>
      </c>
      <c r="L94" s="1">
        <v>30</v>
      </c>
      <c r="M94" s="1">
        <v>281</v>
      </c>
      <c r="N94" s="1">
        <v>56</v>
      </c>
      <c r="O94" s="1">
        <v>213</v>
      </c>
      <c r="P94" s="1">
        <v>14</v>
      </c>
      <c r="Q94" s="1">
        <v>121</v>
      </c>
      <c r="R94" s="1">
        <v>53</v>
      </c>
      <c r="S94" s="1">
        <v>1125</v>
      </c>
      <c r="T94" s="35">
        <v>3168</v>
      </c>
      <c r="U94" s="5"/>
    </row>
    <row r="95" spans="2:21" ht="15.75" x14ac:dyDescent="0.25">
      <c r="B95" s="5"/>
      <c r="C95" s="645" t="s">
        <v>54</v>
      </c>
      <c r="D95" s="5">
        <v>498</v>
      </c>
      <c r="E95" s="5">
        <v>924</v>
      </c>
      <c r="F95" s="5">
        <v>2486</v>
      </c>
      <c r="G95" s="5">
        <v>561</v>
      </c>
      <c r="H95" s="5">
        <v>457</v>
      </c>
      <c r="I95" s="5">
        <v>1463</v>
      </c>
      <c r="J95" s="5">
        <v>4022</v>
      </c>
      <c r="K95" s="5">
        <v>372</v>
      </c>
      <c r="L95" s="5">
        <v>261</v>
      </c>
      <c r="M95" s="5">
        <v>1782</v>
      </c>
      <c r="N95" s="5">
        <v>391</v>
      </c>
      <c r="O95" s="5">
        <v>1792</v>
      </c>
      <c r="P95" s="5">
        <v>125</v>
      </c>
      <c r="Q95" s="5">
        <v>1032</v>
      </c>
      <c r="R95" s="5">
        <v>445</v>
      </c>
      <c r="S95" s="5">
        <v>11123</v>
      </c>
      <c r="T95" s="35">
        <v>27734</v>
      </c>
      <c r="U95" s="5"/>
    </row>
    <row r="96" spans="2:21" ht="15.75" x14ac:dyDescent="0.25">
      <c r="D96" s="5"/>
      <c r="E96" s="5"/>
      <c r="F96" s="5"/>
      <c r="G96" s="5"/>
      <c r="H96" s="5"/>
      <c r="I96" s="5"/>
      <c r="J96" s="5"/>
      <c r="K96" s="5"/>
      <c r="L96" s="5"/>
      <c r="M96" s="5"/>
      <c r="N96" s="5"/>
      <c r="O96" s="5"/>
      <c r="P96" s="5"/>
      <c r="Q96" s="5"/>
      <c r="R96" s="5"/>
      <c r="S96" s="5"/>
      <c r="T96" s="35"/>
      <c r="U96" s="5"/>
    </row>
    <row r="97" spans="2:21" ht="15.75" x14ac:dyDescent="0.25">
      <c r="D97" s="5"/>
      <c r="E97" s="5"/>
      <c r="F97" s="5"/>
      <c r="G97" s="5"/>
      <c r="H97" s="5"/>
      <c r="I97" s="5"/>
      <c r="J97" s="5"/>
      <c r="K97" s="5"/>
      <c r="L97" s="5"/>
      <c r="M97" s="5"/>
      <c r="N97" s="5"/>
      <c r="O97" s="5"/>
      <c r="P97" s="5"/>
      <c r="Q97" s="5"/>
      <c r="R97" s="5"/>
      <c r="S97" s="5"/>
      <c r="T97" s="35"/>
      <c r="U97" s="5"/>
    </row>
    <row r="98" spans="2:21" ht="15.75" x14ac:dyDescent="0.25">
      <c r="B98" s="5">
        <v>2008</v>
      </c>
      <c r="C98" s="5" t="s">
        <v>332</v>
      </c>
      <c r="D98" s="5" t="s">
        <v>8</v>
      </c>
      <c r="E98" s="5" t="s">
        <v>9</v>
      </c>
      <c r="F98" s="5" t="s">
        <v>10</v>
      </c>
      <c r="G98" s="5" t="s">
        <v>11</v>
      </c>
      <c r="H98" s="5" t="s">
        <v>12</v>
      </c>
      <c r="I98" s="5" t="s">
        <v>13</v>
      </c>
      <c r="J98" s="5" t="s">
        <v>14</v>
      </c>
      <c r="K98" s="5" t="s">
        <v>15</v>
      </c>
      <c r="L98" s="5" t="s">
        <v>16</v>
      </c>
      <c r="M98" s="5" t="s">
        <v>17</v>
      </c>
      <c r="N98" s="5" t="s">
        <v>18</v>
      </c>
      <c r="O98" s="5" t="s">
        <v>19</v>
      </c>
      <c r="P98" s="5" t="s">
        <v>20</v>
      </c>
      <c r="Q98" s="5" t="s">
        <v>21</v>
      </c>
      <c r="R98" s="5" t="s">
        <v>22</v>
      </c>
      <c r="S98" s="5" t="s">
        <v>23</v>
      </c>
      <c r="T98" s="35" t="s">
        <v>24</v>
      </c>
      <c r="U98" s="5"/>
    </row>
    <row r="99" spans="2:21" ht="15.75" x14ac:dyDescent="0.25">
      <c r="B99" s="5"/>
      <c r="C99" s="5" t="s">
        <v>3</v>
      </c>
      <c r="D99" s="1">
        <v>30</v>
      </c>
      <c r="E99" s="1">
        <v>67</v>
      </c>
      <c r="F99" s="1">
        <v>214</v>
      </c>
      <c r="G99" s="1">
        <v>33</v>
      </c>
      <c r="H99" s="1">
        <v>28</v>
      </c>
      <c r="I99" s="1">
        <v>118</v>
      </c>
      <c r="J99" s="1">
        <v>399</v>
      </c>
      <c r="K99" s="1">
        <v>13</v>
      </c>
      <c r="L99" s="1">
        <v>11</v>
      </c>
      <c r="M99" s="1">
        <v>156</v>
      </c>
      <c r="N99" s="1">
        <v>27</v>
      </c>
      <c r="O99" s="1">
        <v>135</v>
      </c>
      <c r="P99" s="1">
        <v>3</v>
      </c>
      <c r="Q99" s="1">
        <v>77</v>
      </c>
      <c r="R99" s="1">
        <v>35</v>
      </c>
      <c r="S99" s="1">
        <v>710</v>
      </c>
      <c r="T99" s="35">
        <v>2056</v>
      </c>
      <c r="U99" s="5"/>
    </row>
    <row r="100" spans="2:21" ht="15.75" x14ac:dyDescent="0.25">
      <c r="B100" s="5"/>
      <c r="C100" s="5" t="s">
        <v>4</v>
      </c>
      <c r="D100" s="1">
        <v>366</v>
      </c>
      <c r="E100" s="1">
        <v>669</v>
      </c>
      <c r="F100" s="1">
        <v>1843</v>
      </c>
      <c r="G100" s="1">
        <v>399</v>
      </c>
      <c r="H100" s="1">
        <v>318</v>
      </c>
      <c r="I100" s="1">
        <v>1069</v>
      </c>
      <c r="J100" s="1">
        <v>3035</v>
      </c>
      <c r="K100" s="1">
        <v>248</v>
      </c>
      <c r="L100" s="1">
        <v>186</v>
      </c>
      <c r="M100" s="1">
        <v>1381</v>
      </c>
      <c r="N100" s="1">
        <v>288</v>
      </c>
      <c r="O100" s="1">
        <v>1293</v>
      </c>
      <c r="P100" s="1">
        <v>79</v>
      </c>
      <c r="Q100" s="1">
        <v>758</v>
      </c>
      <c r="R100" s="1">
        <v>309</v>
      </c>
      <c r="S100" s="1">
        <v>8380</v>
      </c>
      <c r="T100" s="35">
        <v>20621</v>
      </c>
      <c r="U100" s="5"/>
    </row>
    <row r="101" spans="2:21" ht="15.75" x14ac:dyDescent="0.25">
      <c r="B101" s="5"/>
      <c r="C101" s="5" t="s">
        <v>5</v>
      </c>
      <c r="D101" s="1">
        <v>57</v>
      </c>
      <c r="E101" s="1">
        <v>97</v>
      </c>
      <c r="F101" s="1">
        <v>231</v>
      </c>
      <c r="G101" s="1">
        <v>59</v>
      </c>
      <c r="H101" s="1">
        <v>60</v>
      </c>
      <c r="I101" s="1">
        <v>138</v>
      </c>
      <c r="J101" s="1">
        <v>287</v>
      </c>
      <c r="K101" s="1">
        <v>48</v>
      </c>
      <c r="L101" s="1">
        <v>35</v>
      </c>
      <c r="M101" s="1">
        <v>147</v>
      </c>
      <c r="N101" s="1">
        <v>47</v>
      </c>
      <c r="O101" s="1">
        <v>154</v>
      </c>
      <c r="P101" s="1">
        <v>11</v>
      </c>
      <c r="Q101" s="1">
        <v>111</v>
      </c>
      <c r="R101" s="1">
        <v>48</v>
      </c>
      <c r="S101" s="1">
        <v>975</v>
      </c>
      <c r="T101" s="35">
        <v>2505</v>
      </c>
      <c r="U101" s="5"/>
    </row>
    <row r="102" spans="2:21" ht="15.75" x14ac:dyDescent="0.25">
      <c r="B102" s="5"/>
      <c r="C102" s="5" t="s">
        <v>6</v>
      </c>
      <c r="D102" s="1">
        <v>53</v>
      </c>
      <c r="E102" s="1">
        <v>57</v>
      </c>
      <c r="F102" s="1">
        <v>130</v>
      </c>
      <c r="G102" s="1">
        <v>57</v>
      </c>
      <c r="H102" s="1">
        <v>35</v>
      </c>
      <c r="I102" s="1">
        <v>91</v>
      </c>
      <c r="J102" s="1">
        <v>136</v>
      </c>
      <c r="K102" s="1">
        <v>35</v>
      </c>
      <c r="L102" s="1">
        <v>20</v>
      </c>
      <c r="M102" s="1">
        <v>76</v>
      </c>
      <c r="N102" s="1">
        <v>21</v>
      </c>
      <c r="O102" s="1">
        <v>130</v>
      </c>
      <c r="P102" s="1">
        <v>14</v>
      </c>
      <c r="Q102" s="1">
        <v>63</v>
      </c>
      <c r="R102" s="1">
        <v>45</v>
      </c>
      <c r="S102" s="1">
        <v>629</v>
      </c>
      <c r="T102" s="35">
        <v>1592</v>
      </c>
      <c r="U102" s="5"/>
    </row>
    <row r="103" spans="2:21" ht="15.75" x14ac:dyDescent="0.25">
      <c r="B103" s="5"/>
      <c r="C103" s="5" t="s">
        <v>7</v>
      </c>
      <c r="D103" s="1">
        <v>12</v>
      </c>
      <c r="E103" s="1">
        <v>31</v>
      </c>
      <c r="F103" s="1">
        <v>65</v>
      </c>
      <c r="G103" s="1">
        <v>28</v>
      </c>
      <c r="H103" s="1">
        <v>15</v>
      </c>
      <c r="I103" s="1">
        <v>24</v>
      </c>
      <c r="J103" s="1">
        <v>60</v>
      </c>
      <c r="K103" s="1">
        <v>16</v>
      </c>
      <c r="L103" s="1">
        <v>10</v>
      </c>
      <c r="M103" s="1">
        <v>23</v>
      </c>
      <c r="N103" s="1">
        <v>4</v>
      </c>
      <c r="O103" s="1">
        <v>41</v>
      </c>
      <c r="P103" s="1">
        <v>8</v>
      </c>
      <c r="Q103" s="1">
        <v>22</v>
      </c>
      <c r="R103" s="1">
        <v>12</v>
      </c>
      <c r="S103" s="1">
        <v>311</v>
      </c>
      <c r="T103" s="35">
        <v>682</v>
      </c>
      <c r="U103" s="5"/>
    </row>
    <row r="104" spans="2:21" ht="15.75" x14ac:dyDescent="0.25">
      <c r="B104" s="5"/>
      <c r="C104" s="5"/>
      <c r="T104" s="35"/>
      <c r="U104" s="5"/>
    </row>
    <row r="105" spans="2:21" ht="15.75" x14ac:dyDescent="0.25">
      <c r="B105" s="5"/>
      <c r="C105" s="645" t="s">
        <v>67</v>
      </c>
      <c r="D105" s="1">
        <v>415</v>
      </c>
      <c r="E105" s="1">
        <v>749</v>
      </c>
      <c r="F105" s="1">
        <v>2061</v>
      </c>
      <c r="G105" s="1">
        <v>452</v>
      </c>
      <c r="H105" s="1">
        <v>367</v>
      </c>
      <c r="I105" s="1">
        <v>1192</v>
      </c>
      <c r="J105" s="1">
        <v>3319</v>
      </c>
      <c r="K105" s="1">
        <v>281</v>
      </c>
      <c r="L105" s="1">
        <v>214</v>
      </c>
      <c r="M105" s="1">
        <v>1529</v>
      </c>
      <c r="N105" s="1">
        <v>332</v>
      </c>
      <c r="O105" s="1">
        <v>1424</v>
      </c>
      <c r="P105" s="1">
        <v>88</v>
      </c>
      <c r="Q105" s="1">
        <v>851</v>
      </c>
      <c r="R105" s="1">
        <v>349</v>
      </c>
      <c r="S105" s="1">
        <v>9208</v>
      </c>
      <c r="T105" s="35">
        <v>22831</v>
      </c>
      <c r="U105" s="5"/>
    </row>
    <row r="106" spans="2:21" ht="15.75" x14ac:dyDescent="0.25">
      <c r="B106" s="5"/>
      <c r="C106" s="645" t="s">
        <v>147</v>
      </c>
      <c r="D106" s="1">
        <v>47</v>
      </c>
      <c r="E106" s="1">
        <v>104</v>
      </c>
      <c r="F106" s="1">
        <v>320</v>
      </c>
      <c r="G106" s="1">
        <v>66</v>
      </c>
      <c r="H106" s="1">
        <v>45</v>
      </c>
      <c r="I106" s="1">
        <v>167</v>
      </c>
      <c r="J106" s="1">
        <v>516</v>
      </c>
      <c r="K106" s="1">
        <v>29</v>
      </c>
      <c r="L106" s="1">
        <v>35</v>
      </c>
      <c r="M106" s="1">
        <v>292</v>
      </c>
      <c r="N106" s="1">
        <v>51</v>
      </c>
      <c r="O106" s="1">
        <v>203</v>
      </c>
      <c r="P106" s="1">
        <v>13</v>
      </c>
      <c r="Q106" s="1">
        <v>133</v>
      </c>
      <c r="R106" s="1">
        <v>50</v>
      </c>
      <c r="S106" s="1">
        <v>1140</v>
      </c>
      <c r="T106" s="35">
        <v>3211</v>
      </c>
      <c r="U106" s="5"/>
    </row>
    <row r="107" spans="2:21" ht="15.75" x14ac:dyDescent="0.25">
      <c r="B107" s="5"/>
      <c r="C107" s="645" t="s">
        <v>54</v>
      </c>
      <c r="D107" s="5">
        <v>518</v>
      </c>
      <c r="E107" s="5">
        <v>921</v>
      </c>
      <c r="F107" s="5">
        <v>2483</v>
      </c>
      <c r="G107" s="5">
        <v>576</v>
      </c>
      <c r="H107" s="5">
        <v>456</v>
      </c>
      <c r="I107" s="5">
        <v>1440</v>
      </c>
      <c r="J107" s="5">
        <v>3917</v>
      </c>
      <c r="K107" s="5">
        <v>360</v>
      </c>
      <c r="L107" s="5">
        <v>262</v>
      </c>
      <c r="M107" s="5">
        <v>1783</v>
      </c>
      <c r="N107" s="5">
        <v>387</v>
      </c>
      <c r="O107" s="5">
        <v>1753</v>
      </c>
      <c r="P107" s="5">
        <v>115</v>
      </c>
      <c r="Q107" s="5">
        <v>1031</v>
      </c>
      <c r="R107" s="5">
        <v>449</v>
      </c>
      <c r="S107" s="5">
        <v>11005</v>
      </c>
      <c r="T107" s="35">
        <v>27456</v>
      </c>
      <c r="U107" s="5"/>
    </row>
    <row r="108" spans="2:21" ht="15.75" x14ac:dyDescent="0.25">
      <c r="D108" s="5"/>
      <c r="E108" s="5"/>
      <c r="F108" s="5"/>
      <c r="G108" s="5"/>
      <c r="H108" s="5"/>
      <c r="I108" s="5"/>
      <c r="J108" s="5"/>
      <c r="K108" s="5"/>
      <c r="L108" s="5"/>
      <c r="M108" s="5"/>
      <c r="N108" s="5"/>
      <c r="O108" s="5"/>
      <c r="P108" s="5"/>
      <c r="Q108" s="5"/>
      <c r="R108" s="5"/>
      <c r="S108" s="5"/>
      <c r="T108" s="35"/>
      <c r="U108" s="5"/>
    </row>
    <row r="109" spans="2:21" ht="15.75" x14ac:dyDescent="0.25">
      <c r="D109" s="5"/>
      <c r="E109" s="5"/>
      <c r="F109" s="5"/>
      <c r="G109" s="5"/>
      <c r="H109" s="5"/>
      <c r="I109" s="5"/>
      <c r="J109" s="5"/>
      <c r="K109" s="5"/>
      <c r="L109" s="5"/>
      <c r="M109" s="5"/>
      <c r="N109" s="5"/>
      <c r="O109" s="5"/>
      <c r="P109" s="5"/>
      <c r="Q109" s="5"/>
      <c r="R109" s="5"/>
      <c r="S109" s="5"/>
      <c r="T109" s="35"/>
      <c r="U109" s="5"/>
    </row>
    <row r="110" spans="2:21" ht="15.75" x14ac:dyDescent="0.25">
      <c r="B110" s="5">
        <v>2007</v>
      </c>
      <c r="C110" s="5" t="s">
        <v>332</v>
      </c>
      <c r="D110" s="5" t="s">
        <v>8</v>
      </c>
      <c r="E110" s="5" t="s">
        <v>9</v>
      </c>
      <c r="F110" s="5" t="s">
        <v>10</v>
      </c>
      <c r="G110" s="5" t="s">
        <v>11</v>
      </c>
      <c r="H110" s="5" t="s">
        <v>12</v>
      </c>
      <c r="I110" s="5" t="s">
        <v>13</v>
      </c>
      <c r="J110" s="5" t="s">
        <v>14</v>
      </c>
      <c r="K110" s="5" t="s">
        <v>15</v>
      </c>
      <c r="L110" s="5" t="s">
        <v>16</v>
      </c>
      <c r="M110" s="5" t="s">
        <v>17</v>
      </c>
      <c r="N110" s="5" t="s">
        <v>18</v>
      </c>
      <c r="O110" s="5" t="s">
        <v>19</v>
      </c>
      <c r="P110" s="5" t="s">
        <v>20</v>
      </c>
      <c r="Q110" s="5" t="s">
        <v>21</v>
      </c>
      <c r="R110" s="5" t="s">
        <v>22</v>
      </c>
      <c r="S110" s="5" t="s">
        <v>23</v>
      </c>
      <c r="T110" s="35" t="s">
        <v>24</v>
      </c>
      <c r="U110" s="5"/>
    </row>
    <row r="111" spans="2:21" ht="15.75" x14ac:dyDescent="0.25">
      <c r="B111" s="5"/>
      <c r="C111" s="5" t="s">
        <v>3</v>
      </c>
      <c r="T111" s="35"/>
      <c r="U111" s="5"/>
    </row>
    <row r="112" spans="2:21" ht="15.75" x14ac:dyDescent="0.25">
      <c r="B112" s="5"/>
      <c r="C112" s="5" t="s">
        <v>4</v>
      </c>
      <c r="T112" s="35"/>
      <c r="U112" s="5"/>
    </row>
    <row r="113" spans="2:21" ht="15.75" x14ac:dyDescent="0.25">
      <c r="B113" s="5"/>
      <c r="C113" s="5" t="s">
        <v>5</v>
      </c>
      <c r="T113" s="35"/>
      <c r="U113" s="5"/>
    </row>
    <row r="114" spans="2:21" ht="15.75" x14ac:dyDescent="0.25">
      <c r="B114" s="5"/>
      <c r="C114" s="5" t="s">
        <v>6</v>
      </c>
      <c r="T114" s="35"/>
      <c r="U114" s="5"/>
    </row>
    <row r="115" spans="2:21" ht="15.75" x14ac:dyDescent="0.25">
      <c r="B115" s="5"/>
      <c r="C115" s="5" t="s">
        <v>7</v>
      </c>
      <c r="T115" s="35"/>
      <c r="U115" s="5"/>
    </row>
    <row r="116" spans="2:21" ht="15.75" x14ac:dyDescent="0.25">
      <c r="B116" s="5"/>
      <c r="C116" s="5"/>
      <c r="T116" s="35"/>
      <c r="U116" s="5"/>
    </row>
    <row r="117" spans="2:21" ht="15.75" x14ac:dyDescent="0.25">
      <c r="B117" s="5"/>
      <c r="C117" s="645" t="s">
        <v>67</v>
      </c>
      <c r="T117" s="35"/>
      <c r="U117" s="5"/>
    </row>
    <row r="118" spans="2:21" ht="15.75" x14ac:dyDescent="0.25">
      <c r="B118" s="5"/>
      <c r="C118" s="645" t="s">
        <v>147</v>
      </c>
      <c r="T118" s="35"/>
      <c r="U118" s="5"/>
    </row>
    <row r="119" spans="2:21" ht="15.75" x14ac:dyDescent="0.25">
      <c r="B119" s="5"/>
      <c r="C119" s="645" t="s">
        <v>54</v>
      </c>
      <c r="D119" s="5">
        <v>510</v>
      </c>
      <c r="E119" s="5">
        <v>923</v>
      </c>
      <c r="F119" s="5">
        <v>2457</v>
      </c>
      <c r="G119" s="5">
        <v>582</v>
      </c>
      <c r="H119" s="5">
        <v>443</v>
      </c>
      <c r="I119" s="5">
        <v>1409</v>
      </c>
      <c r="J119" s="5">
        <v>3774</v>
      </c>
      <c r="K119" s="5">
        <v>366</v>
      </c>
      <c r="L119" s="5">
        <v>284</v>
      </c>
      <c r="M119" s="5">
        <v>1773</v>
      </c>
      <c r="N119" s="5">
        <v>387</v>
      </c>
      <c r="O119" s="5">
        <v>1731</v>
      </c>
      <c r="P119" s="5">
        <v>116</v>
      </c>
      <c r="Q119" s="5">
        <v>1052</v>
      </c>
      <c r="R119" s="5">
        <v>444</v>
      </c>
      <c r="S119" s="5">
        <v>10902</v>
      </c>
      <c r="T119" s="35">
        <v>27153</v>
      </c>
      <c r="U119" s="5"/>
    </row>
    <row r="120" spans="2:21" ht="15.75" x14ac:dyDescent="0.25">
      <c r="D120" s="5"/>
      <c r="E120" s="5"/>
      <c r="F120" s="5"/>
      <c r="G120" s="5"/>
      <c r="H120" s="5"/>
      <c r="I120" s="5"/>
      <c r="J120" s="5"/>
      <c r="K120" s="5"/>
      <c r="L120" s="5"/>
      <c r="M120" s="5"/>
      <c r="N120" s="5"/>
      <c r="O120" s="5"/>
      <c r="P120" s="5"/>
      <c r="Q120" s="5"/>
      <c r="R120" s="5"/>
      <c r="S120" s="5"/>
      <c r="T120" s="35"/>
      <c r="U120" s="5"/>
    </row>
    <row r="121" spans="2:21" ht="15.75" x14ac:dyDescent="0.25">
      <c r="B121" s="5">
        <v>2006</v>
      </c>
      <c r="C121" s="5" t="s">
        <v>332</v>
      </c>
      <c r="D121" s="5" t="s">
        <v>8</v>
      </c>
      <c r="E121" s="5" t="s">
        <v>9</v>
      </c>
      <c r="F121" s="5" t="s">
        <v>10</v>
      </c>
      <c r="G121" s="5" t="s">
        <v>11</v>
      </c>
      <c r="H121" s="5" t="s">
        <v>12</v>
      </c>
      <c r="I121" s="5" t="s">
        <v>13</v>
      </c>
      <c r="J121" s="5" t="s">
        <v>14</v>
      </c>
      <c r="K121" s="5" t="s">
        <v>15</v>
      </c>
      <c r="L121" s="5" t="s">
        <v>16</v>
      </c>
      <c r="M121" s="5" t="s">
        <v>17</v>
      </c>
      <c r="N121" s="5" t="s">
        <v>18</v>
      </c>
      <c r="O121" s="5" t="s">
        <v>19</v>
      </c>
      <c r="P121" s="5" t="s">
        <v>20</v>
      </c>
      <c r="Q121" s="5" t="s">
        <v>21</v>
      </c>
      <c r="R121" s="5" t="s">
        <v>22</v>
      </c>
      <c r="S121" s="5" t="s">
        <v>23</v>
      </c>
      <c r="T121" s="35" t="s">
        <v>24</v>
      </c>
      <c r="U121" s="5"/>
    </row>
    <row r="122" spans="2:21" ht="15.75" x14ac:dyDescent="0.25">
      <c r="B122" s="5"/>
      <c r="C122" s="5" t="s">
        <v>3</v>
      </c>
      <c r="T122" s="35"/>
      <c r="U122" s="5"/>
    </row>
    <row r="123" spans="2:21" ht="15.75" x14ac:dyDescent="0.25">
      <c r="B123" s="5"/>
      <c r="C123" s="5" t="s">
        <v>4</v>
      </c>
      <c r="T123" s="35"/>
      <c r="U123" s="5"/>
    </row>
    <row r="124" spans="2:21" ht="15.75" x14ac:dyDescent="0.25">
      <c r="B124" s="5"/>
      <c r="C124" s="5" t="s">
        <v>5</v>
      </c>
      <c r="T124" s="35"/>
      <c r="U124" s="5"/>
    </row>
    <row r="125" spans="2:21" ht="15.75" x14ac:dyDescent="0.25">
      <c r="B125" s="5"/>
      <c r="C125" s="5" t="s">
        <v>6</v>
      </c>
      <c r="T125" s="35"/>
      <c r="U125" s="5"/>
    </row>
    <row r="126" spans="2:21" ht="15.75" x14ac:dyDescent="0.25">
      <c r="B126" s="5"/>
      <c r="C126" s="5" t="s">
        <v>7</v>
      </c>
      <c r="T126" s="35"/>
      <c r="U126" s="5"/>
    </row>
    <row r="127" spans="2:21" ht="15.75" x14ac:dyDescent="0.25">
      <c r="B127" s="5"/>
      <c r="C127" s="5"/>
      <c r="T127" s="35"/>
      <c r="U127" s="5"/>
    </row>
    <row r="128" spans="2:21" ht="15.75" x14ac:dyDescent="0.25">
      <c r="B128" s="5"/>
      <c r="C128" s="645" t="s">
        <v>67</v>
      </c>
      <c r="T128" s="35"/>
      <c r="U128" s="5"/>
    </row>
    <row r="129" spans="1:22" ht="15.75" x14ac:dyDescent="0.25">
      <c r="B129" s="5"/>
      <c r="C129" s="645" t="s">
        <v>147</v>
      </c>
      <c r="T129" s="35"/>
      <c r="U129" s="5"/>
    </row>
    <row r="130" spans="1:22" ht="15.75" x14ac:dyDescent="0.25">
      <c r="B130" s="5"/>
      <c r="C130" s="645" t="s">
        <v>54</v>
      </c>
      <c r="D130" s="1248">
        <v>520</v>
      </c>
      <c r="E130" s="1248">
        <v>929</v>
      </c>
      <c r="F130" s="1248">
        <v>2464</v>
      </c>
      <c r="G130" s="1248">
        <v>583</v>
      </c>
      <c r="H130" s="1248">
        <v>448</v>
      </c>
      <c r="I130" s="1248">
        <v>1423</v>
      </c>
      <c r="J130" s="1248">
        <v>3664</v>
      </c>
      <c r="K130" s="1248">
        <v>359</v>
      </c>
      <c r="L130" s="1248">
        <v>298</v>
      </c>
      <c r="M130" s="1248">
        <v>1731</v>
      </c>
      <c r="N130" s="1248">
        <v>387</v>
      </c>
      <c r="O130" s="1248">
        <v>1706</v>
      </c>
      <c r="P130" s="1248">
        <v>120</v>
      </c>
      <c r="Q130" s="1248">
        <v>1033</v>
      </c>
      <c r="R130" s="1248">
        <v>434</v>
      </c>
      <c r="S130" s="1248">
        <v>10824</v>
      </c>
      <c r="T130" s="1248">
        <v>26923</v>
      </c>
      <c r="U130" s="5"/>
      <c r="V130" s="5">
        <v>510</v>
      </c>
    </row>
    <row r="131" spans="1:22" ht="15.75" x14ac:dyDescent="0.25">
      <c r="V131" s="5">
        <v>923</v>
      </c>
    </row>
    <row r="132" spans="1:22" ht="15.75" x14ac:dyDescent="0.25">
      <c r="V132" s="5">
        <v>2457</v>
      </c>
    </row>
    <row r="133" spans="1:22" ht="15.75" x14ac:dyDescent="0.25">
      <c r="V133" s="5">
        <v>582</v>
      </c>
    </row>
    <row r="134" spans="1:22" ht="15.75" x14ac:dyDescent="0.25">
      <c r="V134" s="5">
        <v>443</v>
      </c>
    </row>
    <row r="135" spans="1:22" ht="15.75" x14ac:dyDescent="0.25">
      <c r="V135" s="5">
        <v>1409</v>
      </c>
    </row>
    <row r="136" spans="1:22" ht="15.75" x14ac:dyDescent="0.25">
      <c r="V136" s="5">
        <v>3774</v>
      </c>
    </row>
    <row r="137" spans="1:22" ht="15.75" x14ac:dyDescent="0.25">
      <c r="V137" s="5">
        <v>366</v>
      </c>
    </row>
    <row r="138" spans="1:22" ht="16.5" thickBot="1" x14ac:dyDescent="0.3">
      <c r="V138" s="5">
        <v>284</v>
      </c>
    </row>
    <row r="139" spans="1:22" ht="15.75" x14ac:dyDescent="0.25">
      <c r="A139" s="672"/>
      <c r="B139" s="330"/>
      <c r="C139" s="330"/>
      <c r="D139" s="330"/>
      <c r="E139" s="330"/>
      <c r="F139" s="330"/>
      <c r="G139" s="330"/>
      <c r="H139" s="330"/>
      <c r="I139" s="330"/>
      <c r="J139" s="330"/>
      <c r="K139" s="330"/>
      <c r="L139" s="330"/>
      <c r="M139" s="330"/>
      <c r="N139" s="330"/>
      <c r="O139" s="330"/>
      <c r="P139" s="330"/>
      <c r="Q139" s="330"/>
      <c r="R139" s="330"/>
      <c r="S139" s="330"/>
      <c r="T139" s="330"/>
      <c r="U139" s="672"/>
      <c r="V139" s="5">
        <v>1773</v>
      </c>
    </row>
    <row r="140" spans="1:22" ht="17.25" thickBot="1" x14ac:dyDescent="0.3">
      <c r="A140" s="673"/>
      <c r="B140" s="671" t="s">
        <v>342</v>
      </c>
      <c r="C140" s="333"/>
      <c r="D140" s="333"/>
      <c r="E140" s="333"/>
      <c r="F140" s="333"/>
      <c r="G140" s="333"/>
      <c r="H140" s="333"/>
      <c r="I140" s="333"/>
      <c r="J140" s="333"/>
      <c r="K140" s="333"/>
      <c r="L140" s="333"/>
      <c r="M140" s="333"/>
      <c r="N140" s="333"/>
      <c r="O140" s="333"/>
      <c r="P140" s="333"/>
      <c r="Q140" s="333"/>
      <c r="R140" s="333"/>
      <c r="S140" s="333"/>
      <c r="T140" s="333"/>
      <c r="U140" s="673"/>
      <c r="V140" s="5">
        <v>387</v>
      </c>
    </row>
    <row r="141" spans="1:22" ht="15.75" x14ac:dyDescent="0.25">
      <c r="A141" s="673"/>
      <c r="U141" s="673"/>
      <c r="V141" s="5">
        <v>1731</v>
      </c>
    </row>
    <row r="142" spans="1:22" ht="15.75" x14ac:dyDescent="0.25">
      <c r="A142" s="673"/>
      <c r="B142" s="5">
        <v>2015</v>
      </c>
      <c r="C142" s="5" t="s">
        <v>332</v>
      </c>
      <c r="D142" s="5" t="s">
        <v>8</v>
      </c>
      <c r="E142" s="5" t="s">
        <v>9</v>
      </c>
      <c r="F142" s="5" t="s">
        <v>10</v>
      </c>
      <c r="G142" s="5" t="s">
        <v>11</v>
      </c>
      <c r="H142" s="5" t="s">
        <v>12</v>
      </c>
      <c r="I142" s="5" t="s">
        <v>13</v>
      </c>
      <c r="J142" s="5" t="s">
        <v>14</v>
      </c>
      <c r="K142" s="5" t="s">
        <v>15</v>
      </c>
      <c r="L142" s="5" t="s">
        <v>16</v>
      </c>
      <c r="M142" s="5" t="s">
        <v>17</v>
      </c>
      <c r="N142" s="5" t="s">
        <v>18</v>
      </c>
      <c r="O142" s="5" t="s">
        <v>19</v>
      </c>
      <c r="P142" s="5" t="s">
        <v>20</v>
      </c>
      <c r="Q142" s="5" t="s">
        <v>21</v>
      </c>
      <c r="R142" s="5" t="s">
        <v>22</v>
      </c>
      <c r="S142" s="5" t="s">
        <v>23</v>
      </c>
      <c r="T142" s="35" t="s">
        <v>24</v>
      </c>
      <c r="U142" s="673"/>
      <c r="V142" s="5">
        <v>116</v>
      </c>
    </row>
    <row r="143" spans="1:22" ht="15.75" x14ac:dyDescent="0.25">
      <c r="A143" s="673"/>
      <c r="C143" s="5" t="s">
        <v>3</v>
      </c>
      <c r="D143" s="1">
        <v>15</v>
      </c>
      <c r="E143" s="1">
        <v>61</v>
      </c>
      <c r="F143" s="1">
        <v>215</v>
      </c>
      <c r="G143" s="1">
        <v>25</v>
      </c>
      <c r="H143" s="1">
        <v>35</v>
      </c>
      <c r="I143" s="1">
        <v>120</v>
      </c>
      <c r="J143" s="1">
        <v>487</v>
      </c>
      <c r="K143" s="1">
        <v>11</v>
      </c>
      <c r="L143" s="1">
        <v>10</v>
      </c>
      <c r="M143" s="1">
        <v>176</v>
      </c>
      <c r="N143" s="1">
        <v>32</v>
      </c>
      <c r="O143" s="1">
        <v>131</v>
      </c>
      <c r="P143" s="1">
        <v>1</v>
      </c>
      <c r="Q143" s="1">
        <v>67</v>
      </c>
      <c r="R143" s="1">
        <v>24</v>
      </c>
      <c r="S143" s="1">
        <v>710</v>
      </c>
      <c r="T143" s="35">
        <v>2120</v>
      </c>
      <c r="U143" s="673"/>
      <c r="V143" s="5">
        <v>1052</v>
      </c>
    </row>
    <row r="144" spans="1:22" ht="15.75" x14ac:dyDescent="0.25">
      <c r="A144" s="673"/>
      <c r="C144" s="5" t="s">
        <v>4</v>
      </c>
      <c r="D144" s="1">
        <v>305</v>
      </c>
      <c r="E144" s="1">
        <v>641</v>
      </c>
      <c r="F144" s="1">
        <v>1809</v>
      </c>
      <c r="G144" s="1">
        <v>366</v>
      </c>
      <c r="H144" s="1">
        <v>350</v>
      </c>
      <c r="I144" s="1">
        <v>1096</v>
      </c>
      <c r="J144" s="1">
        <v>3494</v>
      </c>
      <c r="K144" s="1">
        <v>210</v>
      </c>
      <c r="L144" s="1">
        <v>148</v>
      </c>
      <c r="M144" s="1">
        <v>1448</v>
      </c>
      <c r="N144" s="1">
        <v>271</v>
      </c>
      <c r="O144" s="1">
        <v>1291</v>
      </c>
      <c r="P144" s="1">
        <v>57</v>
      </c>
      <c r="Q144" s="1">
        <v>719</v>
      </c>
      <c r="R144" s="1">
        <v>277</v>
      </c>
      <c r="S144" s="1">
        <v>8333</v>
      </c>
      <c r="T144" s="35">
        <v>20815</v>
      </c>
      <c r="U144" s="673"/>
      <c r="V144" s="5">
        <v>444</v>
      </c>
    </row>
    <row r="145" spans="1:22" ht="15.75" x14ac:dyDescent="0.25">
      <c r="A145" s="673"/>
      <c r="C145" s="5" t="s">
        <v>5</v>
      </c>
      <c r="D145" s="1">
        <v>90</v>
      </c>
      <c r="E145" s="1">
        <v>134</v>
      </c>
      <c r="F145" s="1">
        <v>297</v>
      </c>
      <c r="G145" s="1">
        <v>94</v>
      </c>
      <c r="H145" s="1">
        <v>54</v>
      </c>
      <c r="I145" s="1">
        <v>191</v>
      </c>
      <c r="J145" s="1">
        <v>415</v>
      </c>
      <c r="K145" s="1">
        <v>40</v>
      </c>
      <c r="L145" s="1">
        <v>54</v>
      </c>
      <c r="M145" s="1">
        <v>206</v>
      </c>
      <c r="N145" s="1">
        <v>63</v>
      </c>
      <c r="O145" s="1">
        <v>228</v>
      </c>
      <c r="P145" s="1">
        <v>16</v>
      </c>
      <c r="Q145" s="1">
        <v>150</v>
      </c>
      <c r="R145" s="1">
        <v>65</v>
      </c>
      <c r="S145" s="1">
        <v>1408</v>
      </c>
      <c r="T145" s="35">
        <v>3505</v>
      </c>
      <c r="U145" s="673"/>
      <c r="V145" s="5">
        <v>10902</v>
      </c>
    </row>
    <row r="146" spans="1:22" ht="15.75" x14ac:dyDescent="0.25">
      <c r="A146" s="673"/>
      <c r="C146" s="5" t="s">
        <v>6</v>
      </c>
      <c r="D146" s="1">
        <v>39</v>
      </c>
      <c r="E146" s="1">
        <v>57</v>
      </c>
      <c r="F146" s="1">
        <v>159</v>
      </c>
      <c r="G146" s="1">
        <v>45</v>
      </c>
      <c r="H146" s="1">
        <v>37</v>
      </c>
      <c r="I146" s="1">
        <v>87</v>
      </c>
      <c r="J146" s="1">
        <v>178</v>
      </c>
      <c r="K146" s="1">
        <v>39</v>
      </c>
      <c r="L146" s="1">
        <v>23</v>
      </c>
      <c r="M146" s="1">
        <v>88</v>
      </c>
      <c r="N146" s="1">
        <v>37</v>
      </c>
      <c r="O146" s="1">
        <v>124</v>
      </c>
      <c r="P146" s="1">
        <v>9</v>
      </c>
      <c r="Q146" s="1">
        <v>68</v>
      </c>
      <c r="R146" s="1">
        <v>53</v>
      </c>
      <c r="S146" s="1">
        <v>744</v>
      </c>
      <c r="T146" s="35">
        <v>1787</v>
      </c>
      <c r="U146" s="673"/>
      <c r="V146" s="35">
        <v>27153</v>
      </c>
    </row>
    <row r="147" spans="1:22" ht="15.75" x14ac:dyDescent="0.25">
      <c r="A147" s="673"/>
      <c r="C147" s="5" t="s">
        <v>7</v>
      </c>
      <c r="D147" s="1">
        <v>18</v>
      </c>
      <c r="E147" s="1">
        <v>35</v>
      </c>
      <c r="F147" s="1">
        <v>60</v>
      </c>
      <c r="G147" s="1">
        <v>32</v>
      </c>
      <c r="H147" s="1">
        <v>21</v>
      </c>
      <c r="I147" s="1">
        <v>39</v>
      </c>
      <c r="J147" s="1">
        <v>52</v>
      </c>
      <c r="K147" s="1">
        <v>20</v>
      </c>
      <c r="L147" s="1">
        <v>11</v>
      </c>
      <c r="M147" s="1">
        <v>31</v>
      </c>
      <c r="N147" s="1">
        <v>14</v>
      </c>
      <c r="O147" s="1">
        <v>55</v>
      </c>
      <c r="P147" s="1">
        <v>10</v>
      </c>
      <c r="Q147" s="1">
        <v>24</v>
      </c>
      <c r="R147" s="1">
        <v>17</v>
      </c>
      <c r="S147" s="1">
        <v>311</v>
      </c>
      <c r="T147" s="35">
        <v>750</v>
      </c>
      <c r="U147" s="673"/>
    </row>
    <row r="148" spans="1:22" ht="15.75" x14ac:dyDescent="0.25">
      <c r="A148" s="673"/>
      <c r="C148" s="5"/>
      <c r="T148" s="35"/>
      <c r="U148" s="673"/>
    </row>
    <row r="149" spans="1:22" ht="15.75" x14ac:dyDescent="0.25">
      <c r="A149" s="673"/>
      <c r="C149" s="645" t="s">
        <v>67</v>
      </c>
      <c r="D149" s="1">
        <v>369</v>
      </c>
      <c r="E149" s="1">
        <v>744</v>
      </c>
      <c r="F149" s="1">
        <v>2074</v>
      </c>
      <c r="G149" s="1">
        <v>435</v>
      </c>
      <c r="H149" s="1">
        <v>386</v>
      </c>
      <c r="I149" s="1">
        <v>1260</v>
      </c>
      <c r="J149" s="1">
        <v>3932</v>
      </c>
      <c r="K149" s="1">
        <v>243</v>
      </c>
      <c r="L149" s="1">
        <v>185</v>
      </c>
      <c r="M149" s="1">
        <v>1634</v>
      </c>
      <c r="N149" s="1">
        <v>325</v>
      </c>
      <c r="O149" s="1">
        <v>1483</v>
      </c>
      <c r="P149" s="1">
        <v>65</v>
      </c>
      <c r="Q149" s="1">
        <v>839</v>
      </c>
      <c r="R149" s="1">
        <v>327</v>
      </c>
      <c r="S149" s="1">
        <v>9484</v>
      </c>
      <c r="T149" s="1">
        <v>23785</v>
      </c>
      <c r="U149" s="673"/>
    </row>
    <row r="150" spans="1:22" ht="15.75" x14ac:dyDescent="0.25">
      <c r="A150" s="673"/>
      <c r="C150" s="645" t="s">
        <v>147</v>
      </c>
      <c r="D150" s="1">
        <v>36</v>
      </c>
      <c r="E150" s="1">
        <v>89</v>
      </c>
      <c r="F150" s="1">
        <v>299</v>
      </c>
      <c r="G150" s="1">
        <v>56</v>
      </c>
      <c r="H150" s="1">
        <v>49</v>
      </c>
      <c r="I150" s="1">
        <v>186</v>
      </c>
      <c r="J150" s="1">
        <v>655</v>
      </c>
      <c r="K150" s="1">
        <v>19</v>
      </c>
      <c r="L150" s="1">
        <v>20</v>
      </c>
      <c r="M150" s="1">
        <v>244</v>
      </c>
      <c r="N150" s="1">
        <v>46</v>
      </c>
      <c r="O150" s="1">
        <v>219</v>
      </c>
      <c r="P150" s="1">
        <v>1</v>
      </c>
      <c r="Q150" s="1">
        <v>122</v>
      </c>
      <c r="R150" s="1">
        <v>49</v>
      </c>
      <c r="S150" s="1">
        <v>1084</v>
      </c>
      <c r="T150" s="1">
        <v>3174</v>
      </c>
      <c r="U150" s="673"/>
    </row>
    <row r="151" spans="1:22" ht="15.75" x14ac:dyDescent="0.25">
      <c r="A151" s="673"/>
      <c r="C151" s="645" t="s">
        <v>54</v>
      </c>
      <c r="D151" s="5">
        <v>467</v>
      </c>
      <c r="E151" s="5">
        <v>928</v>
      </c>
      <c r="F151" s="5">
        <v>2540</v>
      </c>
      <c r="G151" s="5">
        <v>562</v>
      </c>
      <c r="H151" s="5">
        <v>497</v>
      </c>
      <c r="I151" s="5">
        <v>1533</v>
      </c>
      <c r="J151" s="5">
        <v>4626</v>
      </c>
      <c r="K151" s="5">
        <v>320</v>
      </c>
      <c r="L151" s="5">
        <v>246</v>
      </c>
      <c r="M151" s="5">
        <v>1949</v>
      </c>
      <c r="N151" s="5">
        <v>417</v>
      </c>
      <c r="O151" s="5">
        <v>1829</v>
      </c>
      <c r="P151" s="5">
        <v>93</v>
      </c>
      <c r="Q151" s="5">
        <v>1028</v>
      </c>
      <c r="R151" s="5">
        <v>436</v>
      </c>
      <c r="S151" s="5">
        <v>11506</v>
      </c>
      <c r="T151" s="5">
        <v>28977</v>
      </c>
      <c r="U151" s="673">
        <v>28977</v>
      </c>
    </row>
    <row r="152" spans="1:22" ht="15.75" x14ac:dyDescent="0.25">
      <c r="A152" s="673"/>
      <c r="C152" s="5"/>
      <c r="D152" s="5"/>
      <c r="E152" s="5"/>
      <c r="F152" s="5"/>
      <c r="G152" s="5"/>
      <c r="H152" s="5"/>
      <c r="I152" s="5"/>
      <c r="J152" s="5"/>
      <c r="K152" s="5"/>
      <c r="L152" s="5"/>
      <c r="M152" s="5"/>
      <c r="N152" s="5"/>
      <c r="O152" s="5"/>
      <c r="P152" s="5"/>
      <c r="Q152" s="5"/>
      <c r="R152" s="5"/>
      <c r="S152" s="5"/>
      <c r="T152" s="35"/>
      <c r="U152" s="673"/>
    </row>
    <row r="153" spans="1:22" ht="15.75" x14ac:dyDescent="0.25">
      <c r="A153" s="673"/>
      <c r="C153" s="678" t="s">
        <v>25</v>
      </c>
      <c r="D153" s="679">
        <v>261</v>
      </c>
      <c r="E153" s="679">
        <v>545</v>
      </c>
      <c r="F153" s="679">
        <v>1480</v>
      </c>
      <c r="G153" s="679">
        <v>300</v>
      </c>
      <c r="H153" s="679">
        <v>295</v>
      </c>
      <c r="I153" s="679">
        <v>886</v>
      </c>
      <c r="J153" s="679">
        <v>2798</v>
      </c>
      <c r="K153" s="679">
        <v>188</v>
      </c>
      <c r="L153" s="679">
        <v>121</v>
      </c>
      <c r="M153" s="679">
        <v>1161</v>
      </c>
      <c r="N153" s="679">
        <v>212</v>
      </c>
      <c r="O153" s="679">
        <v>1048</v>
      </c>
      <c r="P153" s="679">
        <v>56</v>
      </c>
      <c r="Q153" s="679">
        <v>587</v>
      </c>
      <c r="R153" s="679">
        <v>222</v>
      </c>
      <c r="S153" s="679">
        <v>7087</v>
      </c>
      <c r="T153" s="680">
        <v>17247</v>
      </c>
      <c r="U153" s="673"/>
    </row>
    <row r="154" spans="1:22" ht="15.75" x14ac:dyDescent="0.25">
      <c r="A154" s="673"/>
      <c r="C154" s="678" t="s">
        <v>26</v>
      </c>
      <c r="D154" s="679">
        <v>253</v>
      </c>
      <c r="E154" s="679">
        <v>531</v>
      </c>
      <c r="F154" s="679">
        <v>1431</v>
      </c>
      <c r="G154" s="679">
        <v>287</v>
      </c>
      <c r="H154" s="679">
        <v>289</v>
      </c>
      <c r="I154" s="679">
        <v>859</v>
      </c>
      <c r="J154" s="679">
        <v>2721</v>
      </c>
      <c r="K154" s="679">
        <v>184</v>
      </c>
      <c r="L154" s="679">
        <v>117</v>
      </c>
      <c r="M154" s="679">
        <v>1114</v>
      </c>
      <c r="N154" s="679">
        <v>206</v>
      </c>
      <c r="O154" s="679">
        <v>1012</v>
      </c>
      <c r="P154" s="679">
        <v>54</v>
      </c>
      <c r="Q154" s="679">
        <v>568</v>
      </c>
      <c r="R154" s="679">
        <v>217</v>
      </c>
      <c r="S154" s="679">
        <v>6783</v>
      </c>
      <c r="T154" s="680">
        <v>16626</v>
      </c>
      <c r="U154" s="673"/>
    </row>
    <row r="155" spans="1:22" ht="15.75" x14ac:dyDescent="0.25">
      <c r="A155" s="673"/>
      <c r="C155" s="670"/>
      <c r="D155" s="670"/>
      <c r="E155" s="670"/>
      <c r="F155" s="670"/>
      <c r="G155" s="670"/>
      <c r="H155" s="670"/>
      <c r="I155" s="670"/>
      <c r="J155" s="670"/>
      <c r="K155" s="670"/>
      <c r="L155" s="670"/>
      <c r="M155" s="670"/>
      <c r="N155" s="670"/>
      <c r="O155" s="670"/>
      <c r="P155" s="670"/>
      <c r="Q155" s="670"/>
      <c r="R155" s="670"/>
      <c r="S155" s="670"/>
      <c r="T155" s="677"/>
      <c r="U155" s="673"/>
    </row>
    <row r="156" spans="1:22" ht="15.75" x14ac:dyDescent="0.25">
      <c r="A156" s="673"/>
      <c r="B156" s="5">
        <v>2016</v>
      </c>
      <c r="C156" s="5" t="s">
        <v>332</v>
      </c>
      <c r="D156" s="5" t="s">
        <v>8</v>
      </c>
      <c r="E156" s="5" t="s">
        <v>9</v>
      </c>
      <c r="F156" s="5" t="s">
        <v>10</v>
      </c>
      <c r="G156" s="5" t="s">
        <v>11</v>
      </c>
      <c r="H156" s="5" t="s">
        <v>12</v>
      </c>
      <c r="I156" s="5" t="s">
        <v>13</v>
      </c>
      <c r="J156" s="5" t="s">
        <v>14</v>
      </c>
      <c r="K156" s="5" t="s">
        <v>15</v>
      </c>
      <c r="L156" s="5" t="s">
        <v>16</v>
      </c>
      <c r="M156" s="5" t="s">
        <v>17</v>
      </c>
      <c r="N156" s="5" t="s">
        <v>18</v>
      </c>
      <c r="O156" s="5" t="s">
        <v>19</v>
      </c>
      <c r="P156" s="5" t="s">
        <v>20</v>
      </c>
      <c r="Q156" s="5" t="s">
        <v>21</v>
      </c>
      <c r="R156" s="5" t="s">
        <v>22</v>
      </c>
      <c r="S156" s="5" t="s">
        <v>23</v>
      </c>
      <c r="T156" s="35" t="s">
        <v>24</v>
      </c>
      <c r="U156" s="673"/>
    </row>
    <row r="157" spans="1:22" ht="15.75" x14ac:dyDescent="0.25">
      <c r="A157" s="673"/>
      <c r="C157" s="5" t="s">
        <v>3</v>
      </c>
      <c r="D157" s="1">
        <v>16</v>
      </c>
      <c r="E157" s="1">
        <v>60</v>
      </c>
      <c r="F157" s="1">
        <v>214</v>
      </c>
      <c r="G157" s="1">
        <v>28</v>
      </c>
      <c r="H157" s="1">
        <v>36</v>
      </c>
      <c r="I157" s="1">
        <v>120</v>
      </c>
      <c r="J157" s="1">
        <v>492</v>
      </c>
      <c r="K157" s="1">
        <v>11</v>
      </c>
      <c r="L157" s="1">
        <v>10</v>
      </c>
      <c r="M157" s="1">
        <v>181</v>
      </c>
      <c r="N157" s="1">
        <v>33</v>
      </c>
      <c r="O157" s="1">
        <v>136</v>
      </c>
      <c r="P157" s="1">
        <v>1</v>
      </c>
      <c r="Q157" s="1">
        <v>62</v>
      </c>
      <c r="R157" s="1">
        <v>23</v>
      </c>
      <c r="S157" s="1">
        <v>719</v>
      </c>
      <c r="T157" s="35">
        <v>2142</v>
      </c>
      <c r="U157" s="673"/>
    </row>
    <row r="158" spans="1:22" ht="15.75" x14ac:dyDescent="0.25">
      <c r="A158" s="673"/>
      <c r="C158" s="5" t="s">
        <v>4</v>
      </c>
      <c r="D158" s="1">
        <v>300</v>
      </c>
      <c r="E158" s="1">
        <v>635</v>
      </c>
      <c r="F158" s="1">
        <v>1805</v>
      </c>
      <c r="G158" s="1">
        <v>363</v>
      </c>
      <c r="H158" s="1">
        <v>352</v>
      </c>
      <c r="I158" s="1">
        <v>1100</v>
      </c>
      <c r="J158" s="1">
        <v>3555</v>
      </c>
      <c r="K158" s="1">
        <v>203</v>
      </c>
      <c r="L158" s="1">
        <v>143</v>
      </c>
      <c r="M158" s="1">
        <v>1439</v>
      </c>
      <c r="N158" s="1">
        <v>269</v>
      </c>
      <c r="O158" s="1">
        <v>1284</v>
      </c>
      <c r="P158" s="1">
        <v>47</v>
      </c>
      <c r="Q158" s="1">
        <v>711</v>
      </c>
      <c r="R158" s="1">
        <v>280</v>
      </c>
      <c r="S158" s="1">
        <v>8310</v>
      </c>
      <c r="T158" s="35">
        <v>20796</v>
      </c>
      <c r="U158" s="673"/>
    </row>
    <row r="159" spans="1:22" ht="15.75" x14ac:dyDescent="0.25">
      <c r="A159" s="673"/>
      <c r="C159" s="5" t="s">
        <v>5</v>
      </c>
      <c r="D159" s="1">
        <v>91</v>
      </c>
      <c r="E159" s="1">
        <v>138</v>
      </c>
      <c r="F159" s="1">
        <v>298</v>
      </c>
      <c r="G159" s="1">
        <v>96</v>
      </c>
      <c r="H159" s="1">
        <v>52</v>
      </c>
      <c r="I159" s="1">
        <v>191</v>
      </c>
      <c r="J159" s="1">
        <v>431</v>
      </c>
      <c r="K159" s="1">
        <v>48</v>
      </c>
      <c r="L159" s="1">
        <v>51</v>
      </c>
      <c r="M159" s="1">
        <v>215</v>
      </c>
      <c r="N159" s="1">
        <v>66</v>
      </c>
      <c r="O159" s="1">
        <v>233</v>
      </c>
      <c r="P159" s="1">
        <v>17</v>
      </c>
      <c r="Q159" s="1">
        <v>149</v>
      </c>
      <c r="R159" s="1">
        <v>66</v>
      </c>
      <c r="S159" s="1">
        <v>1443</v>
      </c>
      <c r="T159" s="35">
        <v>3585</v>
      </c>
      <c r="U159" s="673"/>
    </row>
    <row r="160" spans="1:22" ht="15.75" x14ac:dyDescent="0.25">
      <c r="A160" s="673"/>
      <c r="C160" s="5" t="s">
        <v>6</v>
      </c>
      <c r="D160" s="1">
        <v>38</v>
      </c>
      <c r="E160" s="1">
        <v>66</v>
      </c>
      <c r="F160" s="1">
        <v>167</v>
      </c>
      <c r="G160" s="1">
        <v>50</v>
      </c>
      <c r="H160" s="1">
        <v>42</v>
      </c>
      <c r="I160" s="1">
        <v>84</v>
      </c>
      <c r="J160" s="1">
        <v>192</v>
      </c>
      <c r="K160" s="1">
        <v>36</v>
      </c>
      <c r="L160" s="1">
        <v>25</v>
      </c>
      <c r="M160" s="1">
        <v>98</v>
      </c>
      <c r="N160" s="1">
        <v>35</v>
      </c>
      <c r="O160" s="1">
        <v>117</v>
      </c>
      <c r="P160" s="1">
        <v>10</v>
      </c>
      <c r="Q160" s="1">
        <v>76</v>
      </c>
      <c r="R160" s="1">
        <v>53</v>
      </c>
      <c r="S160" s="1">
        <v>761</v>
      </c>
      <c r="T160" s="35">
        <v>1850</v>
      </c>
      <c r="U160" s="673"/>
    </row>
    <row r="161" spans="1:21" ht="15.75" x14ac:dyDescent="0.25">
      <c r="A161" s="673"/>
      <c r="C161" s="5" t="s">
        <v>7</v>
      </c>
      <c r="D161" s="1">
        <v>21</v>
      </c>
      <c r="E161" s="1">
        <v>34</v>
      </c>
      <c r="F161" s="1">
        <v>59</v>
      </c>
      <c r="G161" s="1">
        <v>30</v>
      </c>
      <c r="H161" s="1">
        <v>18</v>
      </c>
      <c r="I161" s="1">
        <v>38</v>
      </c>
      <c r="J161" s="1">
        <v>50</v>
      </c>
      <c r="K161" s="1">
        <v>20</v>
      </c>
      <c r="L161" s="1">
        <v>13</v>
      </c>
      <c r="M161" s="1">
        <v>29</v>
      </c>
      <c r="N161" s="1">
        <v>17</v>
      </c>
      <c r="O161" s="1">
        <v>59</v>
      </c>
      <c r="P161" s="1">
        <v>8</v>
      </c>
      <c r="Q161" s="1">
        <v>26</v>
      </c>
      <c r="R161" s="1">
        <v>20</v>
      </c>
      <c r="S161" s="1">
        <v>313</v>
      </c>
      <c r="T161" s="35">
        <v>755</v>
      </c>
      <c r="U161" s="673"/>
    </row>
    <row r="162" spans="1:21" ht="15.75" x14ac:dyDescent="0.25">
      <c r="A162" s="673"/>
      <c r="C162" s="5"/>
      <c r="T162" s="35"/>
      <c r="U162" s="673"/>
    </row>
    <row r="163" spans="1:21" ht="15.75" x14ac:dyDescent="0.25">
      <c r="A163" s="673"/>
      <c r="C163" s="645" t="s">
        <v>67</v>
      </c>
      <c r="D163" s="1">
        <v>360</v>
      </c>
      <c r="E163" s="1">
        <v>745</v>
      </c>
      <c r="F163" s="1">
        <v>2063</v>
      </c>
      <c r="G163" s="1">
        <v>439</v>
      </c>
      <c r="H163" s="1">
        <v>388</v>
      </c>
      <c r="I163" s="1">
        <v>1265</v>
      </c>
      <c r="J163" s="1">
        <v>3986</v>
      </c>
      <c r="K163" s="1">
        <v>241</v>
      </c>
      <c r="L163" s="1">
        <v>183</v>
      </c>
      <c r="M163" s="1">
        <v>1624</v>
      </c>
      <c r="N163" s="1">
        <v>319</v>
      </c>
      <c r="O163" s="1">
        <v>1471</v>
      </c>
      <c r="P163" s="1">
        <v>55</v>
      </c>
      <c r="Q163" s="1">
        <v>831</v>
      </c>
      <c r="R163" s="1">
        <v>328</v>
      </c>
      <c r="S163" s="1">
        <v>9487</v>
      </c>
      <c r="T163" s="1">
        <v>23785</v>
      </c>
      <c r="U163" s="673"/>
    </row>
    <row r="164" spans="1:21" ht="15.75" x14ac:dyDescent="0.25">
      <c r="A164" s="673"/>
      <c r="C164" s="645" t="s">
        <v>147</v>
      </c>
      <c r="D164" s="1">
        <v>35</v>
      </c>
      <c r="E164" s="1">
        <v>86</v>
      </c>
      <c r="F164" s="1">
        <v>299</v>
      </c>
      <c r="G164" s="1">
        <v>48</v>
      </c>
      <c r="H164" s="1">
        <v>50</v>
      </c>
      <c r="I164" s="1">
        <v>187</v>
      </c>
      <c r="J164" s="1">
        <v>688</v>
      </c>
      <c r="K164" s="1">
        <v>20</v>
      </c>
      <c r="L164" s="1">
        <v>19</v>
      </c>
      <c r="M164" s="1">
        <v>245</v>
      </c>
      <c r="N164" s="1">
        <v>47</v>
      </c>
      <c r="O164" s="1">
        <v>212</v>
      </c>
      <c r="P164" s="1">
        <v>0</v>
      </c>
      <c r="Q164" s="1">
        <v>115</v>
      </c>
      <c r="R164" s="1">
        <v>49</v>
      </c>
      <c r="S164" s="1">
        <v>1098</v>
      </c>
      <c r="T164" s="1">
        <v>3198</v>
      </c>
      <c r="U164" s="673"/>
    </row>
    <row r="165" spans="1:21" ht="15.75" x14ac:dyDescent="0.25">
      <c r="A165" s="673"/>
      <c r="C165" s="645" t="s">
        <v>54</v>
      </c>
      <c r="D165" s="5">
        <v>466</v>
      </c>
      <c r="E165" s="5">
        <v>933</v>
      </c>
      <c r="F165" s="5">
        <v>2543</v>
      </c>
      <c r="G165" s="5">
        <v>567</v>
      </c>
      <c r="H165" s="5">
        <v>500</v>
      </c>
      <c r="I165" s="5">
        <v>1533</v>
      </c>
      <c r="J165" s="5">
        <v>4720</v>
      </c>
      <c r="K165" s="5">
        <v>318</v>
      </c>
      <c r="L165" s="5">
        <v>242</v>
      </c>
      <c r="M165" s="5">
        <v>1962</v>
      </c>
      <c r="N165" s="5">
        <v>420</v>
      </c>
      <c r="O165" s="5">
        <v>1829</v>
      </c>
      <c r="P165" s="5">
        <v>83</v>
      </c>
      <c r="Q165" s="5">
        <v>1024</v>
      </c>
      <c r="R165" s="5">
        <v>442</v>
      </c>
      <c r="S165" s="5">
        <v>11546</v>
      </c>
      <c r="T165" s="5">
        <v>29128</v>
      </c>
      <c r="U165" s="673">
        <v>29128</v>
      </c>
    </row>
    <row r="166" spans="1:21" ht="15.75" x14ac:dyDescent="0.25">
      <c r="A166" s="673"/>
      <c r="C166" s="5"/>
      <c r="D166" s="5"/>
      <c r="E166" s="5"/>
      <c r="F166" s="5"/>
      <c r="G166" s="5"/>
      <c r="H166" s="5"/>
      <c r="I166" s="5"/>
      <c r="J166" s="5"/>
      <c r="K166" s="5"/>
      <c r="L166" s="5"/>
      <c r="M166" s="5"/>
      <c r="N166" s="5"/>
      <c r="O166" s="5"/>
      <c r="P166" s="5"/>
      <c r="Q166" s="5"/>
      <c r="R166" s="5"/>
      <c r="S166" s="5"/>
      <c r="T166" s="35"/>
      <c r="U166" s="673"/>
    </row>
    <row r="167" spans="1:21" ht="15.75" x14ac:dyDescent="0.25">
      <c r="A167" s="673"/>
      <c r="C167" s="678" t="s">
        <v>25</v>
      </c>
      <c r="D167" s="1">
        <v>259</v>
      </c>
      <c r="E167" s="1">
        <v>539</v>
      </c>
      <c r="F167" s="1">
        <v>1477</v>
      </c>
      <c r="G167" s="1">
        <v>300</v>
      </c>
      <c r="H167" s="1">
        <v>297</v>
      </c>
      <c r="I167" s="1">
        <v>893</v>
      </c>
      <c r="J167" s="1">
        <v>2851</v>
      </c>
      <c r="K167" s="1">
        <v>181</v>
      </c>
      <c r="L167" s="1">
        <v>117</v>
      </c>
      <c r="M167" s="1">
        <v>1169</v>
      </c>
      <c r="N167" s="1">
        <v>216</v>
      </c>
      <c r="O167" s="1">
        <v>1043</v>
      </c>
      <c r="P167" s="1">
        <v>46</v>
      </c>
      <c r="Q167" s="1">
        <v>577</v>
      </c>
      <c r="R167" s="1">
        <v>227</v>
      </c>
      <c r="S167" s="1">
        <v>7083</v>
      </c>
      <c r="T167" s="1">
        <v>17275</v>
      </c>
      <c r="U167" s="673"/>
    </row>
    <row r="168" spans="1:21" ht="15.75" x14ac:dyDescent="0.25">
      <c r="A168" s="673"/>
      <c r="C168" s="678" t="s">
        <v>26</v>
      </c>
      <c r="D168" s="1">
        <v>252</v>
      </c>
      <c r="E168" s="1">
        <v>526</v>
      </c>
      <c r="F168" s="1">
        <v>1430</v>
      </c>
      <c r="G168" s="1">
        <v>288</v>
      </c>
      <c r="H168" s="1">
        <v>293</v>
      </c>
      <c r="I168" s="1">
        <v>858</v>
      </c>
      <c r="J168" s="1">
        <v>2762</v>
      </c>
      <c r="K168" s="1">
        <v>177</v>
      </c>
      <c r="L168" s="1">
        <v>116</v>
      </c>
      <c r="M168" s="1">
        <v>1115</v>
      </c>
      <c r="N168" s="1">
        <v>203</v>
      </c>
      <c r="O168" s="1">
        <v>1010</v>
      </c>
      <c r="P168" s="1">
        <v>45</v>
      </c>
      <c r="Q168" s="1">
        <v>558</v>
      </c>
      <c r="R168" s="1">
        <v>219</v>
      </c>
      <c r="S168" s="1">
        <v>6786</v>
      </c>
      <c r="T168" s="1">
        <v>16638</v>
      </c>
      <c r="U168" s="673"/>
    </row>
    <row r="169" spans="1:21" ht="15.75" x14ac:dyDescent="0.25">
      <c r="A169" s="673"/>
      <c r="C169" s="678"/>
      <c r="U169" s="673"/>
    </row>
    <row r="170" spans="1:21" ht="15.75" x14ac:dyDescent="0.25">
      <c r="A170" s="673"/>
      <c r="B170" s="5">
        <v>2017</v>
      </c>
      <c r="C170" s="5" t="s">
        <v>332</v>
      </c>
      <c r="D170" s="5" t="s">
        <v>8</v>
      </c>
      <c r="E170" s="5" t="s">
        <v>9</v>
      </c>
      <c r="F170" s="5" t="s">
        <v>10</v>
      </c>
      <c r="G170" s="5" t="s">
        <v>11</v>
      </c>
      <c r="H170" s="5" t="s">
        <v>12</v>
      </c>
      <c r="I170" s="5" t="s">
        <v>13</v>
      </c>
      <c r="J170" s="5" t="s">
        <v>14</v>
      </c>
      <c r="K170" s="5" t="s">
        <v>15</v>
      </c>
      <c r="L170" s="5" t="s">
        <v>16</v>
      </c>
      <c r="M170" s="5" t="s">
        <v>17</v>
      </c>
      <c r="N170" s="5" t="s">
        <v>18</v>
      </c>
      <c r="O170" s="5" t="s">
        <v>19</v>
      </c>
      <c r="P170" s="5" t="s">
        <v>20</v>
      </c>
      <c r="Q170" s="5" t="s">
        <v>21</v>
      </c>
      <c r="R170" s="5" t="s">
        <v>22</v>
      </c>
      <c r="S170" s="5" t="s">
        <v>23</v>
      </c>
      <c r="T170" s="35" t="s">
        <v>24</v>
      </c>
      <c r="U170" s="673"/>
    </row>
    <row r="171" spans="1:21" ht="15.75" x14ac:dyDescent="0.25">
      <c r="A171" s="673"/>
      <c r="C171" s="5" t="s">
        <v>3</v>
      </c>
      <c r="D171" s="1">
        <v>16</v>
      </c>
      <c r="E171" s="1">
        <v>61</v>
      </c>
      <c r="F171" s="1">
        <v>215</v>
      </c>
      <c r="G171" s="1">
        <v>29</v>
      </c>
      <c r="H171" s="1">
        <v>36</v>
      </c>
      <c r="I171" s="1">
        <v>124</v>
      </c>
      <c r="J171" s="1">
        <v>494</v>
      </c>
      <c r="K171" s="1">
        <v>11</v>
      </c>
      <c r="L171" s="1">
        <v>10</v>
      </c>
      <c r="M171" s="1">
        <v>180</v>
      </c>
      <c r="N171" s="1">
        <v>29</v>
      </c>
      <c r="O171" s="1">
        <v>137</v>
      </c>
      <c r="P171" s="1">
        <v>1</v>
      </c>
      <c r="Q171" s="1">
        <v>71</v>
      </c>
      <c r="R171" s="1">
        <v>23</v>
      </c>
      <c r="S171" s="1">
        <v>708</v>
      </c>
      <c r="T171" s="35">
        <v>2145</v>
      </c>
      <c r="U171" s="673"/>
    </row>
    <row r="172" spans="1:21" ht="15.75" x14ac:dyDescent="0.25">
      <c r="A172" s="673"/>
      <c r="C172" s="5" t="s">
        <v>4</v>
      </c>
      <c r="D172" s="1">
        <v>296</v>
      </c>
      <c r="E172" s="1">
        <v>635</v>
      </c>
      <c r="F172" s="1">
        <v>1811</v>
      </c>
      <c r="G172" s="1">
        <v>370</v>
      </c>
      <c r="H172" s="1">
        <v>356</v>
      </c>
      <c r="I172" s="1">
        <v>1092</v>
      </c>
      <c r="J172" s="1">
        <v>3618</v>
      </c>
      <c r="K172" s="1">
        <v>204</v>
      </c>
      <c r="L172" s="1">
        <v>137</v>
      </c>
      <c r="M172" s="1">
        <v>1446</v>
      </c>
      <c r="N172" s="1">
        <v>273</v>
      </c>
      <c r="O172" s="1">
        <v>1279</v>
      </c>
      <c r="P172" s="1">
        <v>44</v>
      </c>
      <c r="Q172" s="1">
        <v>704</v>
      </c>
      <c r="R172" s="1">
        <v>272</v>
      </c>
      <c r="S172" s="1">
        <v>8306</v>
      </c>
      <c r="T172" s="35">
        <v>20843</v>
      </c>
      <c r="U172" s="673"/>
    </row>
    <row r="173" spans="1:21" ht="15.75" x14ac:dyDescent="0.25">
      <c r="A173" s="673"/>
      <c r="C173" s="5" t="s">
        <v>5</v>
      </c>
      <c r="D173" s="1">
        <v>93</v>
      </c>
      <c r="E173" s="1">
        <v>140</v>
      </c>
      <c r="F173" s="1">
        <v>300</v>
      </c>
      <c r="G173" s="1">
        <v>101</v>
      </c>
      <c r="H173" s="1">
        <v>52</v>
      </c>
      <c r="I173" s="1">
        <v>200</v>
      </c>
      <c r="J173" s="1">
        <v>438</v>
      </c>
      <c r="K173" s="1">
        <v>51</v>
      </c>
      <c r="L173" s="1">
        <v>56</v>
      </c>
      <c r="M173" s="1">
        <v>219</v>
      </c>
      <c r="N173" s="1">
        <v>64</v>
      </c>
      <c r="O173" s="1">
        <v>243</v>
      </c>
      <c r="P173" s="1">
        <v>17</v>
      </c>
      <c r="Q173" s="1">
        <v>153</v>
      </c>
      <c r="R173" s="1">
        <v>74</v>
      </c>
      <c r="S173" s="1">
        <v>1494</v>
      </c>
      <c r="T173" s="35">
        <v>3695</v>
      </c>
      <c r="U173" s="673"/>
    </row>
    <row r="174" spans="1:21" ht="15.75" x14ac:dyDescent="0.25">
      <c r="A174" s="673"/>
      <c r="C174" s="5" t="s">
        <v>6</v>
      </c>
      <c r="D174" s="1">
        <v>40</v>
      </c>
      <c r="E174" s="1">
        <v>71</v>
      </c>
      <c r="F174" s="1">
        <v>175</v>
      </c>
      <c r="G174" s="1">
        <v>46</v>
      </c>
      <c r="H174" s="1">
        <v>49</v>
      </c>
      <c r="I174" s="1">
        <v>90</v>
      </c>
      <c r="J174" s="1">
        <v>199</v>
      </c>
      <c r="K174" s="1">
        <v>36</v>
      </c>
      <c r="L174" s="1">
        <v>25</v>
      </c>
      <c r="M174" s="1">
        <v>98</v>
      </c>
      <c r="N174" s="1">
        <v>40</v>
      </c>
      <c r="O174" s="1">
        <v>116</v>
      </c>
      <c r="P174" s="1">
        <v>10</v>
      </c>
      <c r="Q174" s="1">
        <v>75</v>
      </c>
      <c r="R174" s="1">
        <v>52</v>
      </c>
      <c r="S174" s="1">
        <v>787</v>
      </c>
      <c r="T174" s="35">
        <v>1909</v>
      </c>
      <c r="U174" s="673"/>
    </row>
    <row r="175" spans="1:21" ht="15.75" x14ac:dyDescent="0.25">
      <c r="A175" s="673"/>
      <c r="C175" s="5" t="s">
        <v>7</v>
      </c>
      <c r="D175" s="1">
        <v>21</v>
      </c>
      <c r="E175" s="1">
        <v>29</v>
      </c>
      <c r="F175" s="1">
        <v>60</v>
      </c>
      <c r="G175" s="1">
        <v>36</v>
      </c>
      <c r="H175" s="1">
        <v>18</v>
      </c>
      <c r="I175" s="1">
        <v>36</v>
      </c>
      <c r="J175" s="1">
        <v>54</v>
      </c>
      <c r="K175" s="1">
        <v>19</v>
      </c>
      <c r="L175" s="1">
        <v>10</v>
      </c>
      <c r="M175" s="1">
        <v>26</v>
      </c>
      <c r="N175" s="1">
        <v>14</v>
      </c>
      <c r="O175" s="1">
        <v>63</v>
      </c>
      <c r="P175" s="1">
        <v>7</v>
      </c>
      <c r="Q175" s="1">
        <v>30</v>
      </c>
      <c r="R175" s="1">
        <v>19</v>
      </c>
      <c r="S175" s="1">
        <v>320</v>
      </c>
      <c r="T175" s="35">
        <v>762</v>
      </c>
      <c r="U175" s="673"/>
    </row>
    <row r="176" spans="1:21" ht="15.75" x14ac:dyDescent="0.25">
      <c r="A176" s="673"/>
      <c r="C176" s="5"/>
      <c r="T176" s="35"/>
      <c r="U176" s="673"/>
    </row>
    <row r="177" spans="1:21" ht="15.75" x14ac:dyDescent="0.25">
      <c r="A177" s="673"/>
      <c r="C177" s="645" t="s">
        <v>67</v>
      </c>
      <c r="D177" s="1">
        <v>354</v>
      </c>
      <c r="E177" s="1">
        <v>750</v>
      </c>
      <c r="F177" s="1">
        <v>2073</v>
      </c>
      <c r="G177" s="1">
        <v>445</v>
      </c>
      <c r="H177" s="1">
        <v>396</v>
      </c>
      <c r="I177" s="1">
        <v>1264</v>
      </c>
      <c r="J177" s="1">
        <v>4039</v>
      </c>
      <c r="K177" s="1">
        <v>243</v>
      </c>
      <c r="L177" s="1">
        <v>174</v>
      </c>
      <c r="M177" s="1">
        <v>1632</v>
      </c>
      <c r="N177" s="1">
        <v>319</v>
      </c>
      <c r="O177" s="1">
        <v>1479</v>
      </c>
      <c r="P177" s="1">
        <v>52</v>
      </c>
      <c r="Q177" s="1">
        <v>821</v>
      </c>
      <c r="R177" s="1">
        <v>328</v>
      </c>
      <c r="S177" s="1">
        <v>9463</v>
      </c>
      <c r="T177" s="1">
        <v>23832</v>
      </c>
      <c r="U177" s="673"/>
    </row>
    <row r="178" spans="1:21" ht="15.75" x14ac:dyDescent="0.25">
      <c r="A178" s="673"/>
      <c r="C178" s="645" t="s">
        <v>147</v>
      </c>
      <c r="D178" s="1">
        <v>31</v>
      </c>
      <c r="E178" s="1">
        <v>90</v>
      </c>
      <c r="F178" s="1">
        <v>306</v>
      </c>
      <c r="G178" s="1">
        <v>46</v>
      </c>
      <c r="H178" s="1">
        <v>47</v>
      </c>
      <c r="I178" s="1">
        <v>195</v>
      </c>
      <c r="J178" s="1">
        <v>696</v>
      </c>
      <c r="K178" s="1">
        <v>21</v>
      </c>
      <c r="L178" s="1">
        <v>17</v>
      </c>
      <c r="M178" s="1">
        <v>236</v>
      </c>
      <c r="N178" s="1">
        <v>48</v>
      </c>
      <c r="O178" s="1">
        <v>213</v>
      </c>
      <c r="P178" s="1">
        <v>0</v>
      </c>
      <c r="Q178" s="1">
        <v>123</v>
      </c>
      <c r="R178" s="1">
        <v>42</v>
      </c>
      <c r="S178" s="1">
        <v>1118</v>
      </c>
      <c r="T178" s="1">
        <v>3229</v>
      </c>
      <c r="U178" s="673"/>
    </row>
    <row r="179" spans="1:21" ht="15.75" x14ac:dyDescent="0.25">
      <c r="A179" s="673"/>
      <c r="C179" s="645" t="s">
        <v>54</v>
      </c>
      <c r="D179" s="5">
        <v>466</v>
      </c>
      <c r="E179" s="5">
        <v>936</v>
      </c>
      <c r="F179" s="5">
        <v>2561</v>
      </c>
      <c r="G179" s="5">
        <v>582</v>
      </c>
      <c r="H179" s="5">
        <v>511</v>
      </c>
      <c r="I179" s="5">
        <v>1542</v>
      </c>
      <c r="J179" s="5">
        <v>4803</v>
      </c>
      <c r="K179" s="5">
        <v>321</v>
      </c>
      <c r="L179" s="5">
        <v>238</v>
      </c>
      <c r="M179" s="5">
        <v>1969</v>
      </c>
      <c r="N179" s="5">
        <v>420</v>
      </c>
      <c r="O179" s="5">
        <v>1838</v>
      </c>
      <c r="P179" s="5">
        <v>79</v>
      </c>
      <c r="Q179" s="5">
        <v>1033</v>
      </c>
      <c r="R179" s="5">
        <v>440</v>
      </c>
      <c r="S179" s="5">
        <v>11615</v>
      </c>
      <c r="T179" s="5">
        <v>29354</v>
      </c>
      <c r="U179" s="673">
        <v>29354</v>
      </c>
    </row>
    <row r="180" spans="1:21" ht="15.75" x14ac:dyDescent="0.25">
      <c r="A180" s="673"/>
      <c r="C180" s="5"/>
      <c r="D180" s="5"/>
      <c r="E180" s="5"/>
      <c r="F180" s="5"/>
      <c r="G180" s="5"/>
      <c r="H180" s="5"/>
      <c r="I180" s="5"/>
      <c r="J180" s="5"/>
      <c r="K180" s="5"/>
      <c r="L180" s="5"/>
      <c r="M180" s="5"/>
      <c r="N180" s="5"/>
      <c r="O180" s="5"/>
      <c r="P180" s="5"/>
      <c r="Q180" s="5"/>
      <c r="R180" s="5"/>
      <c r="S180" s="5"/>
      <c r="T180" s="35"/>
      <c r="U180" s="673"/>
    </row>
    <row r="181" spans="1:21" ht="15.75" x14ac:dyDescent="0.25">
      <c r="A181" s="673"/>
      <c r="C181" s="678" t="s">
        <v>25</v>
      </c>
      <c r="D181" s="1">
        <v>260</v>
      </c>
      <c r="E181" s="1">
        <v>538</v>
      </c>
      <c r="F181" s="1">
        <v>1485</v>
      </c>
      <c r="G181" s="1">
        <v>307</v>
      </c>
      <c r="H181" s="1">
        <v>302</v>
      </c>
      <c r="I181" s="1">
        <v>891</v>
      </c>
      <c r="J181" s="1">
        <v>2880</v>
      </c>
      <c r="K181" s="1">
        <v>182</v>
      </c>
      <c r="L181" s="1">
        <v>116</v>
      </c>
      <c r="M181" s="1">
        <v>1175</v>
      </c>
      <c r="N181" s="1">
        <v>220</v>
      </c>
      <c r="O181" s="1">
        <v>1042</v>
      </c>
      <c r="P181" s="1">
        <v>42</v>
      </c>
      <c r="Q181" s="1">
        <v>578</v>
      </c>
      <c r="R181" s="1">
        <v>219</v>
      </c>
      <c r="S181" s="1">
        <v>7066</v>
      </c>
      <c r="T181" s="1">
        <v>17303</v>
      </c>
      <c r="U181" s="673"/>
    </row>
    <row r="182" spans="1:21" ht="15.75" x14ac:dyDescent="0.25">
      <c r="A182" s="673"/>
      <c r="C182" s="678" t="s">
        <v>26</v>
      </c>
      <c r="D182" s="1">
        <v>251</v>
      </c>
      <c r="E182" s="1">
        <v>525</v>
      </c>
      <c r="F182" s="1">
        <v>1430</v>
      </c>
      <c r="G182" s="1">
        <v>296</v>
      </c>
      <c r="H182" s="1">
        <v>292</v>
      </c>
      <c r="I182" s="1">
        <v>851</v>
      </c>
      <c r="J182" s="1">
        <v>2790</v>
      </c>
      <c r="K182" s="1">
        <v>176</v>
      </c>
      <c r="L182" s="1">
        <v>109</v>
      </c>
      <c r="M182" s="1">
        <v>1126</v>
      </c>
      <c r="N182" s="1">
        <v>208</v>
      </c>
      <c r="O182" s="1">
        <v>1007</v>
      </c>
      <c r="P182" s="1">
        <v>42</v>
      </c>
      <c r="Q182" s="1">
        <v>557</v>
      </c>
      <c r="R182" s="1">
        <v>210</v>
      </c>
      <c r="S182" s="1">
        <v>6784</v>
      </c>
      <c r="T182" s="1">
        <v>16654</v>
      </c>
      <c r="U182" s="673"/>
    </row>
    <row r="183" spans="1:21" ht="15.75" x14ac:dyDescent="0.25">
      <c r="A183" s="673"/>
      <c r="C183" s="678"/>
      <c r="U183" s="673"/>
    </row>
    <row r="184" spans="1:21" ht="15.75" x14ac:dyDescent="0.25">
      <c r="A184" s="673"/>
      <c r="B184" s="5">
        <v>2018</v>
      </c>
      <c r="C184" s="5" t="s">
        <v>332</v>
      </c>
      <c r="D184" s="5" t="s">
        <v>8</v>
      </c>
      <c r="E184" s="5" t="s">
        <v>9</v>
      </c>
      <c r="F184" s="5" t="s">
        <v>10</v>
      </c>
      <c r="G184" s="5" t="s">
        <v>11</v>
      </c>
      <c r="H184" s="5" t="s">
        <v>12</v>
      </c>
      <c r="I184" s="5" t="s">
        <v>13</v>
      </c>
      <c r="J184" s="5" t="s">
        <v>14</v>
      </c>
      <c r="K184" s="5" t="s">
        <v>15</v>
      </c>
      <c r="L184" s="5" t="s">
        <v>16</v>
      </c>
      <c r="M184" s="5" t="s">
        <v>17</v>
      </c>
      <c r="N184" s="5" t="s">
        <v>18</v>
      </c>
      <c r="O184" s="5" t="s">
        <v>19</v>
      </c>
      <c r="P184" s="5" t="s">
        <v>20</v>
      </c>
      <c r="Q184" s="5" t="s">
        <v>21</v>
      </c>
      <c r="R184" s="5" t="s">
        <v>22</v>
      </c>
      <c r="S184" s="5" t="s">
        <v>23</v>
      </c>
      <c r="T184" s="35" t="s">
        <v>24</v>
      </c>
      <c r="U184" s="673"/>
    </row>
    <row r="185" spans="1:21" ht="15.75" x14ac:dyDescent="0.25">
      <c r="A185" s="673"/>
      <c r="C185" s="5" t="s">
        <v>3</v>
      </c>
      <c r="D185" s="1">
        <v>16</v>
      </c>
      <c r="E185" s="1">
        <v>58</v>
      </c>
      <c r="F185" s="1">
        <v>215</v>
      </c>
      <c r="G185" s="1">
        <v>28</v>
      </c>
      <c r="H185" s="1">
        <v>37</v>
      </c>
      <c r="I185" s="1">
        <v>114</v>
      </c>
      <c r="J185" s="1">
        <v>502</v>
      </c>
      <c r="K185" s="1">
        <v>12</v>
      </c>
      <c r="L185" s="1">
        <v>12</v>
      </c>
      <c r="M185" s="1">
        <v>189</v>
      </c>
      <c r="N185" s="1">
        <v>30</v>
      </c>
      <c r="O185" s="1">
        <v>141</v>
      </c>
      <c r="P185" s="1">
        <v>0</v>
      </c>
      <c r="Q185" s="1">
        <v>71</v>
      </c>
      <c r="R185" s="1">
        <v>26</v>
      </c>
      <c r="S185" s="1">
        <v>708</v>
      </c>
      <c r="T185" s="35">
        <v>2159</v>
      </c>
      <c r="U185" s="673"/>
    </row>
    <row r="186" spans="1:21" ht="15.75" x14ac:dyDescent="0.25">
      <c r="A186" s="673"/>
      <c r="C186" s="5" t="s">
        <v>4</v>
      </c>
      <c r="D186" s="1">
        <v>298</v>
      </c>
      <c r="E186" s="1">
        <v>640</v>
      </c>
      <c r="F186" s="1">
        <v>1794</v>
      </c>
      <c r="G186" s="1">
        <v>363</v>
      </c>
      <c r="H186" s="1">
        <v>352</v>
      </c>
      <c r="I186" s="1">
        <v>1109</v>
      </c>
      <c r="J186" s="1">
        <v>3669</v>
      </c>
      <c r="K186" s="1">
        <v>198</v>
      </c>
      <c r="L186" s="1">
        <v>136</v>
      </c>
      <c r="M186" s="1">
        <v>1442</v>
      </c>
      <c r="N186" s="1">
        <v>269</v>
      </c>
      <c r="O186" s="1">
        <v>1274</v>
      </c>
      <c r="P186" s="1">
        <v>35</v>
      </c>
      <c r="Q186" s="1">
        <v>707</v>
      </c>
      <c r="R186" s="1">
        <v>268</v>
      </c>
      <c r="S186" s="1">
        <v>8304</v>
      </c>
      <c r="T186" s="35">
        <v>20858</v>
      </c>
      <c r="U186" s="673"/>
    </row>
    <row r="187" spans="1:21" ht="15.75" x14ac:dyDescent="0.25">
      <c r="A187" s="673"/>
      <c r="C187" s="5" t="s">
        <v>5</v>
      </c>
      <c r="D187" s="1">
        <v>95</v>
      </c>
      <c r="E187" s="1">
        <v>142</v>
      </c>
      <c r="F187" s="1">
        <v>326</v>
      </c>
      <c r="G187" s="1">
        <v>99</v>
      </c>
      <c r="H187" s="1">
        <v>58</v>
      </c>
      <c r="I187" s="1">
        <v>205</v>
      </c>
      <c r="J187" s="1">
        <v>460</v>
      </c>
      <c r="K187" s="1">
        <v>58</v>
      </c>
      <c r="L187" s="1">
        <v>56</v>
      </c>
      <c r="M187" s="1">
        <v>220</v>
      </c>
      <c r="N187" s="1">
        <v>69</v>
      </c>
      <c r="O187" s="1">
        <v>255</v>
      </c>
      <c r="P187" s="1">
        <v>20</v>
      </c>
      <c r="Q187" s="1">
        <v>157</v>
      </c>
      <c r="R187" s="1">
        <v>81</v>
      </c>
      <c r="S187" s="1">
        <v>1522</v>
      </c>
      <c r="T187" s="35">
        <v>3823</v>
      </c>
      <c r="U187" s="673"/>
    </row>
    <row r="188" spans="1:21" ht="15.75" x14ac:dyDescent="0.25">
      <c r="A188" s="673"/>
      <c r="C188" s="5" t="s">
        <v>6</v>
      </c>
      <c r="D188" s="1">
        <v>43</v>
      </c>
      <c r="E188" s="1">
        <v>77</v>
      </c>
      <c r="F188" s="1">
        <v>179</v>
      </c>
      <c r="G188" s="1">
        <v>52</v>
      </c>
      <c r="H188" s="1">
        <v>49</v>
      </c>
      <c r="I188" s="1">
        <v>94</v>
      </c>
      <c r="J188" s="1">
        <v>208</v>
      </c>
      <c r="K188" s="1">
        <v>37</v>
      </c>
      <c r="L188" s="1">
        <v>27</v>
      </c>
      <c r="M188" s="1">
        <v>105</v>
      </c>
      <c r="N188" s="1">
        <v>44</v>
      </c>
      <c r="O188" s="1">
        <v>117</v>
      </c>
      <c r="P188" s="1">
        <v>9</v>
      </c>
      <c r="Q188" s="1">
        <v>80</v>
      </c>
      <c r="R188" s="1">
        <v>45</v>
      </c>
      <c r="S188" s="1">
        <v>826</v>
      </c>
      <c r="T188" s="35">
        <v>1992</v>
      </c>
      <c r="U188" s="673"/>
    </row>
    <row r="189" spans="1:21" ht="15.75" x14ac:dyDescent="0.25">
      <c r="A189" s="673"/>
      <c r="C189" s="5" t="s">
        <v>7</v>
      </c>
      <c r="D189" s="1">
        <v>20</v>
      </c>
      <c r="E189" s="1">
        <v>24</v>
      </c>
      <c r="F189" s="1">
        <v>57</v>
      </c>
      <c r="G189" s="1">
        <v>28</v>
      </c>
      <c r="H189" s="1">
        <v>14</v>
      </c>
      <c r="I189" s="1">
        <v>39</v>
      </c>
      <c r="J189" s="1">
        <v>56</v>
      </c>
      <c r="K189" s="1">
        <v>20</v>
      </c>
      <c r="L189" s="1">
        <v>11</v>
      </c>
      <c r="M189" s="1">
        <v>29</v>
      </c>
      <c r="N189" s="1">
        <v>15</v>
      </c>
      <c r="O189" s="1">
        <v>65</v>
      </c>
      <c r="P189" s="1">
        <v>6</v>
      </c>
      <c r="Q189" s="1">
        <v>26</v>
      </c>
      <c r="R189" s="1">
        <v>23</v>
      </c>
      <c r="S189" s="1">
        <v>320</v>
      </c>
      <c r="T189" s="35">
        <v>753</v>
      </c>
      <c r="U189" s="673"/>
    </row>
    <row r="190" spans="1:21" ht="15.75" x14ac:dyDescent="0.25">
      <c r="A190" s="673"/>
      <c r="C190" s="5"/>
      <c r="T190" s="35"/>
      <c r="U190" s="673"/>
    </row>
    <row r="191" spans="1:21" ht="15.75" x14ac:dyDescent="0.25">
      <c r="A191" s="673"/>
      <c r="C191" s="645" t="s">
        <v>67</v>
      </c>
      <c r="D191" s="1">
        <v>355</v>
      </c>
      <c r="E191" s="1">
        <v>747</v>
      </c>
      <c r="F191" s="1">
        <v>2063</v>
      </c>
      <c r="G191" s="1">
        <v>437</v>
      </c>
      <c r="H191" s="1">
        <v>399</v>
      </c>
      <c r="I191" s="1">
        <v>1271</v>
      </c>
      <c r="J191" s="1">
        <v>4105</v>
      </c>
      <c r="K191" s="1">
        <v>244</v>
      </c>
      <c r="L191" s="1">
        <v>173</v>
      </c>
      <c r="M191" s="1">
        <v>1638</v>
      </c>
      <c r="N191" s="1">
        <v>320</v>
      </c>
      <c r="O191" s="1">
        <v>1475</v>
      </c>
      <c r="P191" s="1">
        <v>47</v>
      </c>
      <c r="Q191" s="1">
        <v>823</v>
      </c>
      <c r="R191" s="1">
        <v>335</v>
      </c>
      <c r="S191" s="1">
        <v>9441</v>
      </c>
      <c r="T191" s="1">
        <v>23873</v>
      </c>
      <c r="U191" s="673"/>
    </row>
    <row r="192" spans="1:21" ht="15.75" x14ac:dyDescent="0.25">
      <c r="A192" s="673"/>
      <c r="C192" s="645" t="s">
        <v>147</v>
      </c>
      <c r="D192" s="1">
        <v>33</v>
      </c>
      <c r="E192" s="1">
        <v>93</v>
      </c>
      <c r="F192" s="1">
        <v>307</v>
      </c>
      <c r="G192" s="1">
        <v>44</v>
      </c>
      <c r="H192" s="1">
        <v>48</v>
      </c>
      <c r="I192" s="1">
        <v>195</v>
      </c>
      <c r="J192" s="1">
        <v>724</v>
      </c>
      <c r="K192" s="1">
        <v>21</v>
      </c>
      <c r="L192" s="1">
        <v>17</v>
      </c>
      <c r="M192" s="1">
        <v>239</v>
      </c>
      <c r="N192" s="1">
        <v>55</v>
      </c>
      <c r="O192" s="1">
        <v>221</v>
      </c>
      <c r="P192" s="1">
        <v>0</v>
      </c>
      <c r="Q192" s="1">
        <v>122</v>
      </c>
      <c r="R192" s="1">
        <v>41</v>
      </c>
      <c r="S192" s="1">
        <v>1113</v>
      </c>
      <c r="T192" s="1">
        <v>3273</v>
      </c>
      <c r="U192" s="673"/>
    </row>
    <row r="193" spans="1:21" ht="15.75" x14ac:dyDescent="0.25">
      <c r="A193" s="673"/>
      <c r="C193" s="645" t="s">
        <v>54</v>
      </c>
      <c r="D193" s="1">
        <v>472</v>
      </c>
      <c r="E193" s="1">
        <v>941</v>
      </c>
      <c r="F193" s="1">
        <v>2571</v>
      </c>
      <c r="G193" s="1">
        <v>570</v>
      </c>
      <c r="H193" s="1">
        <v>510</v>
      </c>
      <c r="I193" s="1">
        <v>1561</v>
      </c>
      <c r="J193" s="1">
        <v>4895</v>
      </c>
      <c r="K193" s="1">
        <v>325</v>
      </c>
      <c r="L193" s="1">
        <v>242</v>
      </c>
      <c r="M193" s="1">
        <v>1985</v>
      </c>
      <c r="N193" s="1">
        <v>427</v>
      </c>
      <c r="O193" s="1">
        <v>1852</v>
      </c>
      <c r="P193" s="1">
        <v>70</v>
      </c>
      <c r="Q193" s="1">
        <v>1041</v>
      </c>
      <c r="R193" s="1">
        <v>443</v>
      </c>
      <c r="S193" s="1">
        <v>11680</v>
      </c>
      <c r="T193" s="1">
        <v>29585</v>
      </c>
      <c r="U193" s="673">
        <v>29585</v>
      </c>
    </row>
    <row r="194" spans="1:21" ht="15.75" x14ac:dyDescent="0.25">
      <c r="A194" s="673"/>
      <c r="C194" s="5"/>
      <c r="D194" s="5"/>
      <c r="E194" s="5"/>
      <c r="F194" s="5"/>
      <c r="G194" s="5"/>
      <c r="H194" s="5"/>
      <c r="I194" s="5"/>
      <c r="J194" s="5"/>
      <c r="K194" s="5"/>
      <c r="L194" s="5"/>
      <c r="M194" s="5"/>
      <c r="N194" s="5"/>
      <c r="O194" s="5"/>
      <c r="P194" s="5"/>
      <c r="Q194" s="5"/>
      <c r="R194" s="5"/>
      <c r="S194" s="5"/>
      <c r="T194" s="35"/>
      <c r="U194" s="673"/>
    </row>
    <row r="195" spans="1:21" ht="15.75" x14ac:dyDescent="0.25">
      <c r="A195" s="673"/>
      <c r="C195" s="678" t="s">
        <v>25</v>
      </c>
      <c r="D195" s="1">
        <v>259</v>
      </c>
      <c r="E195" s="1">
        <v>541</v>
      </c>
      <c r="F195" s="1">
        <v>1464</v>
      </c>
      <c r="G195" s="1">
        <v>306</v>
      </c>
      <c r="H195" s="1">
        <v>299</v>
      </c>
      <c r="I195" s="1">
        <v>892</v>
      </c>
      <c r="J195" s="1">
        <v>2906</v>
      </c>
      <c r="K195" s="1">
        <v>174</v>
      </c>
      <c r="L195" s="1">
        <v>115</v>
      </c>
      <c r="M195" s="1">
        <v>1184</v>
      </c>
      <c r="N195" s="1">
        <v>213</v>
      </c>
      <c r="O195" s="1">
        <v>1041</v>
      </c>
      <c r="P195" s="1">
        <v>35</v>
      </c>
      <c r="Q195" s="1">
        <v>579</v>
      </c>
      <c r="R195" s="1">
        <v>216</v>
      </c>
      <c r="S195" s="1">
        <v>7058</v>
      </c>
      <c r="T195" s="1">
        <v>17282</v>
      </c>
      <c r="U195" s="673"/>
    </row>
    <row r="196" spans="1:21" ht="15.75" x14ac:dyDescent="0.25">
      <c r="A196" s="673"/>
      <c r="C196" s="678" t="s">
        <v>26</v>
      </c>
      <c r="D196" s="1">
        <v>252</v>
      </c>
      <c r="E196" s="1">
        <v>528</v>
      </c>
      <c r="F196" s="1">
        <v>1414</v>
      </c>
      <c r="G196" s="1">
        <v>290</v>
      </c>
      <c r="H196" s="1">
        <v>289</v>
      </c>
      <c r="I196" s="1">
        <v>860</v>
      </c>
      <c r="J196" s="1">
        <v>2825</v>
      </c>
      <c r="K196" s="1">
        <v>172</v>
      </c>
      <c r="L196" s="1">
        <v>109</v>
      </c>
      <c r="M196" s="1">
        <v>1140</v>
      </c>
      <c r="N196" s="1">
        <v>204</v>
      </c>
      <c r="O196" s="1">
        <v>1000</v>
      </c>
      <c r="P196" s="1">
        <v>34</v>
      </c>
      <c r="Q196" s="1">
        <v>561</v>
      </c>
      <c r="R196" s="1">
        <v>211</v>
      </c>
      <c r="S196" s="1">
        <v>6781</v>
      </c>
      <c r="T196" s="1">
        <v>16670</v>
      </c>
      <c r="U196" s="673"/>
    </row>
    <row r="197" spans="1:21" x14ac:dyDescent="0.2">
      <c r="A197" s="673"/>
      <c r="U197" s="673"/>
    </row>
    <row r="198" spans="1:21" ht="15.75" x14ac:dyDescent="0.25">
      <c r="A198" s="673"/>
      <c r="B198" s="5">
        <v>2019</v>
      </c>
      <c r="C198" s="5" t="s">
        <v>332</v>
      </c>
      <c r="D198" s="5" t="s">
        <v>8</v>
      </c>
      <c r="E198" s="5" t="s">
        <v>9</v>
      </c>
      <c r="F198" s="5" t="s">
        <v>10</v>
      </c>
      <c r="G198" s="5" t="s">
        <v>11</v>
      </c>
      <c r="H198" s="5" t="s">
        <v>12</v>
      </c>
      <c r="I198" s="5" t="s">
        <v>13</v>
      </c>
      <c r="J198" s="5" t="s">
        <v>14</v>
      </c>
      <c r="K198" s="5" t="s">
        <v>15</v>
      </c>
      <c r="L198" s="5" t="s">
        <v>16</v>
      </c>
      <c r="M198" s="5" t="s">
        <v>17</v>
      </c>
      <c r="N198" s="5" t="s">
        <v>18</v>
      </c>
      <c r="O198" s="5" t="s">
        <v>19</v>
      </c>
      <c r="P198" s="5" t="s">
        <v>20</v>
      </c>
      <c r="Q198" s="5" t="s">
        <v>21</v>
      </c>
      <c r="R198" s="5" t="s">
        <v>22</v>
      </c>
      <c r="S198" s="5" t="s">
        <v>23</v>
      </c>
      <c r="T198" s="35" t="s">
        <v>24</v>
      </c>
      <c r="U198" s="673"/>
    </row>
    <row r="199" spans="1:21" ht="15.75" x14ac:dyDescent="0.25">
      <c r="A199" s="673"/>
      <c r="C199" s="5" t="s">
        <v>3</v>
      </c>
      <c r="D199" s="1">
        <v>16</v>
      </c>
      <c r="E199" s="1">
        <v>55</v>
      </c>
      <c r="F199" s="1">
        <v>218</v>
      </c>
      <c r="G199" s="1">
        <v>30</v>
      </c>
      <c r="H199" s="1">
        <v>38</v>
      </c>
      <c r="I199" s="1">
        <v>116</v>
      </c>
      <c r="J199" s="1">
        <v>506</v>
      </c>
      <c r="K199" s="1">
        <v>11</v>
      </c>
      <c r="L199" s="1">
        <v>13</v>
      </c>
      <c r="M199" s="1">
        <v>185</v>
      </c>
      <c r="N199" s="1">
        <v>28</v>
      </c>
      <c r="O199" s="1">
        <v>137</v>
      </c>
      <c r="P199" s="1">
        <v>0</v>
      </c>
      <c r="Q199" s="1">
        <v>71</v>
      </c>
      <c r="R199" s="1">
        <v>26</v>
      </c>
      <c r="S199" s="1">
        <v>715</v>
      </c>
      <c r="T199" s="35">
        <v>2165</v>
      </c>
      <c r="U199" s="673"/>
    </row>
    <row r="200" spans="1:21" ht="15.75" x14ac:dyDescent="0.25">
      <c r="A200" s="673"/>
      <c r="C200" s="5" t="s">
        <v>4</v>
      </c>
      <c r="D200" s="1">
        <v>292</v>
      </c>
      <c r="E200" s="1">
        <v>638</v>
      </c>
      <c r="F200" s="1">
        <v>1791</v>
      </c>
      <c r="G200" s="1">
        <v>363</v>
      </c>
      <c r="H200" s="1">
        <v>360</v>
      </c>
      <c r="I200" s="1">
        <v>1123</v>
      </c>
      <c r="J200" s="1">
        <v>3730</v>
      </c>
      <c r="K200" s="1">
        <v>195</v>
      </c>
      <c r="L200" s="1">
        <v>133</v>
      </c>
      <c r="M200" s="1">
        <v>1454</v>
      </c>
      <c r="N200" s="1">
        <v>281</v>
      </c>
      <c r="O200" s="1">
        <v>1282</v>
      </c>
      <c r="P200" s="1">
        <v>30</v>
      </c>
      <c r="Q200" s="1">
        <v>699</v>
      </c>
      <c r="R200" s="1">
        <v>266</v>
      </c>
      <c r="S200" s="1">
        <v>8307</v>
      </c>
      <c r="T200" s="35">
        <v>20944</v>
      </c>
      <c r="U200" s="673"/>
    </row>
    <row r="201" spans="1:21" ht="15.75" x14ac:dyDescent="0.25">
      <c r="A201" s="673"/>
      <c r="C201" s="5" t="s">
        <v>5</v>
      </c>
      <c r="D201" s="1">
        <v>92</v>
      </c>
      <c r="E201" s="1">
        <v>148</v>
      </c>
      <c r="F201" s="1">
        <v>335</v>
      </c>
      <c r="G201" s="1">
        <v>105</v>
      </c>
      <c r="H201" s="1">
        <v>57</v>
      </c>
      <c r="I201" s="1">
        <v>207</v>
      </c>
      <c r="J201" s="1">
        <v>473</v>
      </c>
      <c r="K201" s="1">
        <v>64</v>
      </c>
      <c r="L201" s="1">
        <v>56</v>
      </c>
      <c r="M201" s="1">
        <v>223</v>
      </c>
      <c r="N201" s="1">
        <v>71</v>
      </c>
      <c r="O201" s="1">
        <v>255</v>
      </c>
      <c r="P201" s="1">
        <v>19</v>
      </c>
      <c r="Q201" s="1">
        <v>160</v>
      </c>
      <c r="R201" s="1">
        <v>79</v>
      </c>
      <c r="S201" s="1">
        <v>1544</v>
      </c>
      <c r="T201" s="35">
        <v>3888</v>
      </c>
      <c r="U201" s="673"/>
    </row>
    <row r="202" spans="1:21" ht="15.75" x14ac:dyDescent="0.25">
      <c r="A202" s="673"/>
      <c r="C202" s="5" t="s">
        <v>6</v>
      </c>
      <c r="D202" s="1">
        <v>48</v>
      </c>
      <c r="E202" s="1">
        <v>76</v>
      </c>
      <c r="F202" s="1">
        <v>189</v>
      </c>
      <c r="G202" s="1">
        <v>53</v>
      </c>
      <c r="H202" s="1">
        <v>52</v>
      </c>
      <c r="I202" s="1">
        <v>99</v>
      </c>
      <c r="J202" s="1">
        <v>214</v>
      </c>
      <c r="K202" s="1">
        <v>39</v>
      </c>
      <c r="L202" s="1">
        <v>28</v>
      </c>
      <c r="M202" s="1">
        <v>120</v>
      </c>
      <c r="N202" s="1">
        <v>46</v>
      </c>
      <c r="O202" s="1">
        <v>127</v>
      </c>
      <c r="P202" s="1">
        <v>10</v>
      </c>
      <c r="Q202" s="1">
        <v>81</v>
      </c>
      <c r="R202" s="1">
        <v>47</v>
      </c>
      <c r="S202" s="1">
        <v>863</v>
      </c>
      <c r="T202" s="35">
        <v>2092</v>
      </c>
      <c r="U202" s="673"/>
    </row>
    <row r="203" spans="1:21" ht="15.75" x14ac:dyDescent="0.25">
      <c r="A203" s="673"/>
      <c r="C203" s="5" t="s">
        <v>7</v>
      </c>
      <c r="D203" s="1">
        <v>20</v>
      </c>
      <c r="E203" s="1">
        <v>28</v>
      </c>
      <c r="F203" s="1">
        <v>62</v>
      </c>
      <c r="G203" s="1">
        <v>26</v>
      </c>
      <c r="H203" s="1">
        <v>13</v>
      </c>
      <c r="I203" s="1">
        <v>36</v>
      </c>
      <c r="J203" s="1">
        <v>61</v>
      </c>
      <c r="K203" s="1">
        <v>16</v>
      </c>
      <c r="L203" s="1">
        <v>13</v>
      </c>
      <c r="M203" s="1">
        <v>30</v>
      </c>
      <c r="N203" s="1">
        <v>12</v>
      </c>
      <c r="O203" s="1">
        <v>68</v>
      </c>
      <c r="P203" s="1">
        <v>6</v>
      </c>
      <c r="Q203" s="1">
        <v>28</v>
      </c>
      <c r="R203" s="1">
        <v>25</v>
      </c>
      <c r="S203" s="1">
        <v>327</v>
      </c>
      <c r="T203" s="35">
        <v>771</v>
      </c>
      <c r="U203" s="673"/>
    </row>
    <row r="204" spans="1:21" ht="15.75" x14ac:dyDescent="0.25">
      <c r="A204" s="673"/>
      <c r="C204" s="5"/>
      <c r="T204" s="35"/>
      <c r="U204" s="673"/>
    </row>
    <row r="205" spans="1:21" ht="15.75" x14ac:dyDescent="0.25">
      <c r="A205" s="673"/>
      <c r="C205" s="645" t="s">
        <v>67</v>
      </c>
      <c r="D205" s="1">
        <v>353</v>
      </c>
      <c r="E205" s="1">
        <v>746</v>
      </c>
      <c r="F205" s="1">
        <v>2064</v>
      </c>
      <c r="G205" s="1">
        <v>437</v>
      </c>
      <c r="H205" s="1">
        <v>408</v>
      </c>
      <c r="I205" s="1">
        <v>1281</v>
      </c>
      <c r="J205" s="1">
        <v>4162</v>
      </c>
      <c r="K205" s="1">
        <v>245</v>
      </c>
      <c r="L205" s="1">
        <v>171</v>
      </c>
      <c r="M205" s="1">
        <v>1658</v>
      </c>
      <c r="N205" s="1">
        <v>331</v>
      </c>
      <c r="O205" s="1">
        <v>1481</v>
      </c>
      <c r="P205" s="1">
        <v>43</v>
      </c>
      <c r="Q205" s="1">
        <v>815</v>
      </c>
      <c r="R205" s="1">
        <v>329</v>
      </c>
      <c r="S205" s="1">
        <v>9441</v>
      </c>
      <c r="T205" s="1">
        <v>23965</v>
      </c>
      <c r="U205" s="673"/>
    </row>
    <row r="206" spans="1:21" ht="15.75" x14ac:dyDescent="0.25">
      <c r="A206" s="673"/>
      <c r="C206" s="645" t="s">
        <v>147</v>
      </c>
      <c r="D206" s="1">
        <v>28</v>
      </c>
      <c r="E206" s="1">
        <v>95</v>
      </c>
      <c r="F206" s="1">
        <v>306</v>
      </c>
      <c r="G206" s="1">
        <v>46</v>
      </c>
      <c r="H206" s="1">
        <v>50</v>
      </c>
      <c r="I206" s="1">
        <v>200</v>
      </c>
      <c r="J206" s="1">
        <v>735</v>
      </c>
      <c r="K206" s="1">
        <v>20</v>
      </c>
      <c r="L206" s="1">
        <v>15</v>
      </c>
      <c r="M206" s="1">
        <v>251</v>
      </c>
      <c r="N206" s="1">
        <v>61</v>
      </c>
      <c r="O206" s="1">
        <v>219</v>
      </c>
      <c r="P206" s="1">
        <v>0</v>
      </c>
      <c r="Q206" s="1">
        <v>126</v>
      </c>
      <c r="R206" s="1">
        <v>41</v>
      </c>
      <c r="S206" s="1">
        <v>1115</v>
      </c>
      <c r="T206" s="1">
        <v>3308</v>
      </c>
      <c r="U206" s="673"/>
    </row>
    <row r="207" spans="1:21" ht="15.75" x14ac:dyDescent="0.25">
      <c r="A207" s="673"/>
      <c r="C207" s="645" t="s">
        <v>54</v>
      </c>
      <c r="D207" s="1">
        <v>468</v>
      </c>
      <c r="E207" s="1">
        <v>945</v>
      </c>
      <c r="F207" s="1">
        <v>2595</v>
      </c>
      <c r="G207" s="1">
        <v>577</v>
      </c>
      <c r="H207" s="1">
        <v>520</v>
      </c>
      <c r="I207" s="1">
        <v>1581</v>
      </c>
      <c r="J207" s="1">
        <v>4984</v>
      </c>
      <c r="K207" s="1">
        <v>325</v>
      </c>
      <c r="L207" s="1">
        <v>243</v>
      </c>
      <c r="M207" s="1">
        <v>2012</v>
      </c>
      <c r="N207" s="1">
        <v>438</v>
      </c>
      <c r="O207" s="1">
        <v>1869</v>
      </c>
      <c r="P207" s="1">
        <v>65</v>
      </c>
      <c r="Q207" s="1">
        <v>1039</v>
      </c>
      <c r="R207" s="1">
        <v>443</v>
      </c>
      <c r="S207" s="1">
        <v>11756</v>
      </c>
      <c r="T207" s="1">
        <v>29860</v>
      </c>
      <c r="U207" s="673">
        <v>29860</v>
      </c>
    </row>
    <row r="208" spans="1:21" ht="15.75" x14ac:dyDescent="0.25">
      <c r="A208" s="673"/>
      <c r="C208" s="5"/>
      <c r="D208" s="5"/>
      <c r="E208" s="5"/>
      <c r="F208" s="5"/>
      <c r="G208" s="5"/>
      <c r="H208" s="5"/>
      <c r="I208" s="5"/>
      <c r="J208" s="5"/>
      <c r="K208" s="5"/>
      <c r="L208" s="5"/>
      <c r="M208" s="5"/>
      <c r="N208" s="5"/>
      <c r="O208" s="5"/>
      <c r="P208" s="5"/>
      <c r="Q208" s="5"/>
      <c r="R208" s="5"/>
      <c r="S208" s="5"/>
      <c r="T208" s="35"/>
      <c r="U208" s="673"/>
    </row>
    <row r="209" spans="1:21" ht="15.75" x14ac:dyDescent="0.25">
      <c r="A209" s="673"/>
      <c r="C209" s="678" t="s">
        <v>25</v>
      </c>
      <c r="D209" s="1">
        <v>259</v>
      </c>
      <c r="E209" s="1">
        <v>535</v>
      </c>
      <c r="F209" s="1">
        <v>1458</v>
      </c>
      <c r="G209" s="1">
        <v>310</v>
      </c>
      <c r="H209" s="1">
        <v>307</v>
      </c>
      <c r="I209" s="1">
        <v>904</v>
      </c>
      <c r="J209" s="1">
        <v>2955</v>
      </c>
      <c r="K209" s="1">
        <v>171</v>
      </c>
      <c r="L209" s="1">
        <v>116</v>
      </c>
      <c r="M209" s="1">
        <v>1189</v>
      </c>
      <c r="N209" s="1">
        <v>218</v>
      </c>
      <c r="O209" s="1">
        <v>1041</v>
      </c>
      <c r="P209" s="1">
        <v>30</v>
      </c>
      <c r="Q209" s="1">
        <v>565</v>
      </c>
      <c r="R209" s="1">
        <v>220</v>
      </c>
      <c r="S209" s="1">
        <v>7052</v>
      </c>
      <c r="T209" s="1">
        <v>17330</v>
      </c>
      <c r="U209" s="673"/>
    </row>
    <row r="210" spans="1:21" ht="15.75" x14ac:dyDescent="0.25">
      <c r="A210" s="673"/>
      <c r="C210" s="678" t="s">
        <v>26</v>
      </c>
      <c r="D210" s="1">
        <v>253</v>
      </c>
      <c r="E210" s="1">
        <v>518</v>
      </c>
      <c r="F210" s="1">
        <v>1411</v>
      </c>
      <c r="G210" s="1">
        <v>292</v>
      </c>
      <c r="H210" s="1">
        <v>297</v>
      </c>
      <c r="I210" s="1">
        <v>873</v>
      </c>
      <c r="J210" s="1">
        <v>2861</v>
      </c>
      <c r="K210" s="1">
        <v>168</v>
      </c>
      <c r="L210" s="1">
        <v>112</v>
      </c>
      <c r="M210" s="1">
        <v>1148</v>
      </c>
      <c r="N210" s="1">
        <v>213</v>
      </c>
      <c r="O210" s="1">
        <v>1003</v>
      </c>
      <c r="P210" s="1">
        <v>30</v>
      </c>
      <c r="Q210" s="1">
        <v>555</v>
      </c>
      <c r="R210" s="1">
        <v>208</v>
      </c>
      <c r="S210" s="1">
        <v>6785</v>
      </c>
      <c r="T210" s="1">
        <v>16727</v>
      </c>
      <c r="U210" s="673"/>
    </row>
    <row r="211" spans="1:21" x14ac:dyDescent="0.2">
      <c r="A211" s="673"/>
      <c r="U211" s="673"/>
    </row>
    <row r="212" spans="1:21" ht="15.75" x14ac:dyDescent="0.25">
      <c r="A212" s="673"/>
      <c r="B212" s="5">
        <v>2020</v>
      </c>
      <c r="C212" s="5" t="s">
        <v>332</v>
      </c>
      <c r="D212" s="5" t="s">
        <v>8</v>
      </c>
      <c r="E212" s="5" t="s">
        <v>9</v>
      </c>
      <c r="F212" s="5" t="s">
        <v>10</v>
      </c>
      <c r="G212" s="5" t="s">
        <v>11</v>
      </c>
      <c r="H212" s="5" t="s">
        <v>12</v>
      </c>
      <c r="I212" s="5" t="s">
        <v>13</v>
      </c>
      <c r="J212" s="5" t="s">
        <v>14</v>
      </c>
      <c r="K212" s="5" t="s">
        <v>15</v>
      </c>
      <c r="L212" s="5" t="s">
        <v>16</v>
      </c>
      <c r="M212" s="5" t="s">
        <v>17</v>
      </c>
      <c r="N212" s="5" t="s">
        <v>18</v>
      </c>
      <c r="O212" s="5" t="s">
        <v>19</v>
      </c>
      <c r="P212" s="5" t="s">
        <v>20</v>
      </c>
      <c r="Q212" s="5" t="s">
        <v>21</v>
      </c>
      <c r="R212" s="5" t="s">
        <v>22</v>
      </c>
      <c r="S212" s="5" t="s">
        <v>23</v>
      </c>
      <c r="T212" s="35" t="s">
        <v>24</v>
      </c>
      <c r="U212" s="673"/>
    </row>
    <row r="213" spans="1:21" ht="15.75" x14ac:dyDescent="0.25">
      <c r="A213" s="673"/>
      <c r="C213" s="5" t="s">
        <v>3</v>
      </c>
      <c r="D213" s="1">
        <v>18</v>
      </c>
      <c r="E213" s="1">
        <v>58</v>
      </c>
      <c r="F213" s="1">
        <v>225</v>
      </c>
      <c r="G213" s="1">
        <v>32</v>
      </c>
      <c r="H213" s="1">
        <v>36</v>
      </c>
      <c r="I213" s="1">
        <v>116</v>
      </c>
      <c r="J213" s="1">
        <v>520</v>
      </c>
      <c r="K213" s="1">
        <v>11</v>
      </c>
      <c r="L213" s="1">
        <v>13</v>
      </c>
      <c r="M213" s="1">
        <v>177</v>
      </c>
      <c r="N213" s="1">
        <v>26</v>
      </c>
      <c r="O213" s="1">
        <v>139</v>
      </c>
      <c r="P213" s="1">
        <v>0</v>
      </c>
      <c r="Q213" s="1">
        <v>68</v>
      </c>
      <c r="R213" s="1">
        <v>22</v>
      </c>
      <c r="S213" s="1">
        <v>718</v>
      </c>
      <c r="T213" s="35">
        <v>2179</v>
      </c>
      <c r="U213" s="673"/>
    </row>
    <row r="214" spans="1:21" ht="15.75" x14ac:dyDescent="0.25">
      <c r="A214" s="673"/>
      <c r="C214" s="5" t="s">
        <v>4</v>
      </c>
      <c r="D214" s="1">
        <v>291</v>
      </c>
      <c r="E214" s="1">
        <v>632</v>
      </c>
      <c r="F214" s="1">
        <v>1799</v>
      </c>
      <c r="G214" s="1">
        <v>357</v>
      </c>
      <c r="H214" s="1">
        <v>359</v>
      </c>
      <c r="I214" s="1">
        <v>1129</v>
      </c>
      <c r="J214" s="1">
        <v>3791</v>
      </c>
      <c r="K214" s="1">
        <v>191</v>
      </c>
      <c r="L214" s="1">
        <v>137</v>
      </c>
      <c r="M214" s="1">
        <v>1460</v>
      </c>
      <c r="N214" s="1">
        <v>278</v>
      </c>
      <c r="O214" s="1">
        <v>1281</v>
      </c>
      <c r="P214" s="1">
        <v>30</v>
      </c>
      <c r="Q214" s="1">
        <v>703</v>
      </c>
      <c r="R214" s="1">
        <v>274</v>
      </c>
      <c r="S214" s="1">
        <v>8324</v>
      </c>
      <c r="T214" s="35">
        <v>21036</v>
      </c>
      <c r="U214" s="673"/>
    </row>
    <row r="215" spans="1:21" ht="15.75" x14ac:dyDescent="0.25">
      <c r="A215" s="673"/>
      <c r="C215" s="5" t="s">
        <v>5</v>
      </c>
      <c r="D215" s="1">
        <v>88</v>
      </c>
      <c r="E215" s="1">
        <v>143</v>
      </c>
      <c r="F215" s="1">
        <v>328</v>
      </c>
      <c r="G215" s="1">
        <v>110</v>
      </c>
      <c r="H215" s="1">
        <v>65</v>
      </c>
      <c r="I215" s="1">
        <v>211</v>
      </c>
      <c r="J215" s="1">
        <v>468</v>
      </c>
      <c r="K215" s="1">
        <v>65</v>
      </c>
      <c r="L215" s="1">
        <v>56</v>
      </c>
      <c r="M215" s="1">
        <v>232</v>
      </c>
      <c r="N215" s="1">
        <v>69</v>
      </c>
      <c r="O215" s="1">
        <v>252</v>
      </c>
      <c r="P215" s="1">
        <v>17</v>
      </c>
      <c r="Q215" s="1">
        <v>162</v>
      </c>
      <c r="R215" s="1">
        <v>76</v>
      </c>
      <c r="S215" s="1">
        <v>1545</v>
      </c>
      <c r="T215" s="35">
        <v>3887</v>
      </c>
      <c r="U215" s="673"/>
    </row>
    <row r="216" spans="1:21" ht="15.75" x14ac:dyDescent="0.25">
      <c r="A216" s="673"/>
      <c r="C216" s="5" t="s">
        <v>6</v>
      </c>
      <c r="D216" s="1">
        <v>57</v>
      </c>
      <c r="E216" s="1">
        <v>87</v>
      </c>
      <c r="F216" s="1">
        <v>201</v>
      </c>
      <c r="G216" s="1">
        <v>58</v>
      </c>
      <c r="H216" s="1">
        <v>48</v>
      </c>
      <c r="I216" s="1">
        <v>101</v>
      </c>
      <c r="J216" s="1">
        <v>240</v>
      </c>
      <c r="K216" s="1">
        <v>37</v>
      </c>
      <c r="L216" s="1">
        <v>27</v>
      </c>
      <c r="M216" s="1">
        <v>117</v>
      </c>
      <c r="N216" s="1">
        <v>51</v>
      </c>
      <c r="O216" s="1">
        <v>138</v>
      </c>
      <c r="P216" s="1">
        <v>12</v>
      </c>
      <c r="Q216" s="1">
        <v>81</v>
      </c>
      <c r="R216" s="1">
        <v>50</v>
      </c>
      <c r="S216" s="1">
        <v>899</v>
      </c>
      <c r="T216" s="35">
        <v>2204</v>
      </c>
      <c r="U216" s="673"/>
    </row>
    <row r="217" spans="1:21" ht="15.75" x14ac:dyDescent="0.25">
      <c r="A217" s="673"/>
      <c r="C217" s="5" t="s">
        <v>7</v>
      </c>
      <c r="D217" s="1">
        <v>19</v>
      </c>
      <c r="E217" s="1">
        <v>27</v>
      </c>
      <c r="F217" s="1">
        <v>59</v>
      </c>
      <c r="G217" s="1">
        <v>24</v>
      </c>
      <c r="H217" s="1">
        <v>17</v>
      </c>
      <c r="I217" s="1">
        <v>41</v>
      </c>
      <c r="J217" s="1">
        <v>60</v>
      </c>
      <c r="K217" s="1">
        <v>17</v>
      </c>
      <c r="L217" s="1">
        <v>11</v>
      </c>
      <c r="M217" s="1">
        <v>32</v>
      </c>
      <c r="N217" s="1">
        <v>12</v>
      </c>
      <c r="O217" s="1">
        <v>66</v>
      </c>
      <c r="P217" s="1">
        <v>3</v>
      </c>
      <c r="Q217" s="1">
        <v>30</v>
      </c>
      <c r="R217" s="1">
        <v>24</v>
      </c>
      <c r="S217" s="1">
        <v>337</v>
      </c>
      <c r="T217" s="35">
        <v>779</v>
      </c>
      <c r="U217" s="673"/>
    </row>
    <row r="218" spans="1:21" ht="15.75" x14ac:dyDescent="0.25">
      <c r="A218" s="673"/>
      <c r="C218" s="5"/>
      <c r="T218" s="35"/>
      <c r="U218" s="673"/>
    </row>
    <row r="219" spans="1:21" ht="15.75" x14ac:dyDescent="0.25">
      <c r="A219" s="673"/>
      <c r="C219" s="645" t="s">
        <v>67</v>
      </c>
      <c r="D219" s="1">
        <v>358</v>
      </c>
      <c r="E219" s="1">
        <v>736</v>
      </c>
      <c r="F219" s="1">
        <v>2061</v>
      </c>
      <c r="G219" s="1">
        <v>437</v>
      </c>
      <c r="H219" s="1">
        <v>416</v>
      </c>
      <c r="I219" s="1">
        <v>1291</v>
      </c>
      <c r="J219" s="1">
        <v>4230</v>
      </c>
      <c r="K219" s="1">
        <v>239</v>
      </c>
      <c r="L219" s="1">
        <v>174</v>
      </c>
      <c r="M219" s="1">
        <v>1662</v>
      </c>
      <c r="N219" s="1">
        <v>330</v>
      </c>
      <c r="O219" s="1">
        <v>1481</v>
      </c>
      <c r="P219" s="1">
        <v>42</v>
      </c>
      <c r="Q219" s="1">
        <v>812</v>
      </c>
      <c r="R219" s="1">
        <v>326</v>
      </c>
      <c r="S219" s="1">
        <v>9437</v>
      </c>
      <c r="T219" s="1">
        <v>24032</v>
      </c>
      <c r="U219" s="673"/>
    </row>
    <row r="220" spans="1:21" ht="15.75" x14ac:dyDescent="0.25">
      <c r="A220" s="673"/>
      <c r="C220" s="645" t="s">
        <v>147</v>
      </c>
      <c r="D220" s="1">
        <v>33</v>
      </c>
      <c r="E220" s="1">
        <v>94</v>
      </c>
      <c r="F220" s="1">
        <v>304</v>
      </c>
      <c r="G220" s="1">
        <v>44</v>
      </c>
      <c r="H220" s="1">
        <v>47</v>
      </c>
      <c r="I220" s="1">
        <v>198</v>
      </c>
      <c r="J220" s="1">
        <v>735</v>
      </c>
      <c r="K220" s="1">
        <v>23</v>
      </c>
      <c r="L220" s="1">
        <v>20</v>
      </c>
      <c r="M220" s="1">
        <v>262</v>
      </c>
      <c r="N220" s="1">
        <v>61</v>
      </c>
      <c r="O220" s="1">
        <v>215</v>
      </c>
      <c r="P220" s="1">
        <v>0</v>
      </c>
      <c r="Q220" s="1">
        <v>126</v>
      </c>
      <c r="R220" s="1">
        <v>46</v>
      </c>
      <c r="S220" s="1">
        <v>1111</v>
      </c>
      <c r="T220" s="1">
        <v>3319</v>
      </c>
      <c r="U220" s="673"/>
    </row>
    <row r="221" spans="1:21" ht="15.75" x14ac:dyDescent="0.25">
      <c r="A221" s="673"/>
      <c r="C221" s="645" t="s">
        <v>54</v>
      </c>
      <c r="D221" s="1">
        <v>473</v>
      </c>
      <c r="E221" s="1">
        <v>947</v>
      </c>
      <c r="F221" s="1">
        <v>2612</v>
      </c>
      <c r="G221" s="1">
        <v>581</v>
      </c>
      <c r="H221" s="1">
        <v>525</v>
      </c>
      <c r="I221" s="1">
        <v>1598</v>
      </c>
      <c r="J221" s="1">
        <v>5079</v>
      </c>
      <c r="K221" s="1">
        <v>321</v>
      </c>
      <c r="L221" s="1">
        <v>244</v>
      </c>
      <c r="M221" s="1">
        <v>2018</v>
      </c>
      <c r="N221" s="1">
        <v>436</v>
      </c>
      <c r="O221" s="1">
        <v>1876</v>
      </c>
      <c r="P221" s="1">
        <v>62</v>
      </c>
      <c r="Q221" s="1">
        <v>1044</v>
      </c>
      <c r="R221" s="1">
        <v>446</v>
      </c>
      <c r="S221" s="1">
        <v>11823</v>
      </c>
      <c r="T221" s="1">
        <v>30085</v>
      </c>
      <c r="U221" s="673">
        <v>30085</v>
      </c>
    </row>
    <row r="222" spans="1:21" ht="15.75" x14ac:dyDescent="0.25">
      <c r="A222" s="673"/>
      <c r="C222" s="5"/>
      <c r="D222" s="5"/>
      <c r="E222" s="5"/>
      <c r="F222" s="5"/>
      <c r="G222" s="5"/>
      <c r="H222" s="5"/>
      <c r="I222" s="5"/>
      <c r="J222" s="5"/>
      <c r="K222" s="5"/>
      <c r="L222" s="5"/>
      <c r="M222" s="5"/>
      <c r="N222" s="5"/>
      <c r="O222" s="5"/>
      <c r="P222" s="5"/>
      <c r="Q222" s="5"/>
      <c r="R222" s="5"/>
      <c r="S222" s="5"/>
      <c r="T222" s="35"/>
      <c r="U222" s="673"/>
    </row>
    <row r="223" spans="1:21" ht="15.75" x14ac:dyDescent="0.25">
      <c r="A223" s="673"/>
      <c r="C223" s="678" t="s">
        <v>25</v>
      </c>
      <c r="D223" s="1">
        <v>255</v>
      </c>
      <c r="E223" s="1">
        <v>533</v>
      </c>
      <c r="F223" s="1">
        <v>1466</v>
      </c>
      <c r="G223" s="1">
        <v>307</v>
      </c>
      <c r="H223" s="1">
        <v>306</v>
      </c>
      <c r="I223" s="1">
        <v>909</v>
      </c>
      <c r="J223" s="1">
        <v>2995</v>
      </c>
      <c r="K223" s="1">
        <v>168</v>
      </c>
      <c r="L223" s="1">
        <v>118</v>
      </c>
      <c r="M223" s="1">
        <v>1188</v>
      </c>
      <c r="N223" s="1">
        <v>213</v>
      </c>
      <c r="O223" s="1">
        <v>1041</v>
      </c>
      <c r="P223" s="1">
        <v>30</v>
      </c>
      <c r="Q223" s="1">
        <v>567</v>
      </c>
      <c r="R223" s="1">
        <v>226</v>
      </c>
      <c r="S223" s="1">
        <v>7065</v>
      </c>
      <c r="T223" s="1">
        <v>17387</v>
      </c>
      <c r="U223" s="673"/>
    </row>
    <row r="224" spans="1:21" ht="15.75" x14ac:dyDescent="0.25">
      <c r="A224" s="673"/>
      <c r="C224" s="678" t="s">
        <v>26</v>
      </c>
      <c r="D224" s="1">
        <v>250</v>
      </c>
      <c r="E224" s="1">
        <v>517</v>
      </c>
      <c r="F224" s="1">
        <v>1419</v>
      </c>
      <c r="G224" s="1">
        <v>295</v>
      </c>
      <c r="H224" s="1">
        <v>296</v>
      </c>
      <c r="I224" s="1">
        <v>876</v>
      </c>
      <c r="J224" s="1">
        <v>2904</v>
      </c>
      <c r="K224" s="1">
        <v>165</v>
      </c>
      <c r="L224" s="1">
        <v>114</v>
      </c>
      <c r="M224" s="1">
        <v>1148</v>
      </c>
      <c r="N224" s="1">
        <v>210</v>
      </c>
      <c r="O224" s="1">
        <v>1008</v>
      </c>
      <c r="P224" s="1">
        <v>30</v>
      </c>
      <c r="Q224" s="1">
        <v>553</v>
      </c>
      <c r="R224" s="1">
        <v>214</v>
      </c>
      <c r="S224" s="1">
        <v>6794</v>
      </c>
      <c r="T224" s="1">
        <v>16793</v>
      </c>
      <c r="U224" s="673"/>
    </row>
    <row r="225" spans="1:21" x14ac:dyDescent="0.2">
      <c r="A225" s="673"/>
      <c r="U225" s="673"/>
    </row>
    <row r="226" spans="1:21" ht="15.75" x14ac:dyDescent="0.25">
      <c r="A226" s="673"/>
      <c r="B226" s="5">
        <v>2021</v>
      </c>
      <c r="C226" s="5" t="s">
        <v>332</v>
      </c>
      <c r="D226" s="5" t="s">
        <v>8</v>
      </c>
      <c r="E226" s="5" t="s">
        <v>9</v>
      </c>
      <c r="F226" s="5" t="s">
        <v>10</v>
      </c>
      <c r="G226" s="5" t="s">
        <v>11</v>
      </c>
      <c r="H226" s="5" t="s">
        <v>12</v>
      </c>
      <c r="I226" s="5" t="s">
        <v>13</v>
      </c>
      <c r="J226" s="5" t="s">
        <v>14</v>
      </c>
      <c r="K226" s="5" t="s">
        <v>15</v>
      </c>
      <c r="L226" s="5" t="s">
        <v>16</v>
      </c>
      <c r="M226" s="5" t="s">
        <v>17</v>
      </c>
      <c r="N226" s="5" t="s">
        <v>18</v>
      </c>
      <c r="O226" s="5" t="s">
        <v>19</v>
      </c>
      <c r="P226" s="5" t="s">
        <v>20</v>
      </c>
      <c r="Q226" s="5" t="s">
        <v>21</v>
      </c>
      <c r="R226" s="5" t="s">
        <v>22</v>
      </c>
      <c r="S226" s="5" t="s">
        <v>23</v>
      </c>
      <c r="T226" s="35" t="s">
        <v>24</v>
      </c>
      <c r="U226" s="673"/>
    </row>
    <row r="227" spans="1:21" ht="15.75" x14ac:dyDescent="0.25">
      <c r="A227" s="673"/>
      <c r="C227" s="5" t="s">
        <v>3</v>
      </c>
      <c r="D227" s="1">
        <v>15</v>
      </c>
      <c r="E227" s="1">
        <v>59</v>
      </c>
      <c r="F227" s="1">
        <v>230</v>
      </c>
      <c r="G227" s="1">
        <v>31</v>
      </c>
      <c r="H227" s="1">
        <v>37</v>
      </c>
      <c r="I227" s="1">
        <v>115</v>
      </c>
      <c r="J227" s="1">
        <v>526</v>
      </c>
      <c r="K227" s="1">
        <v>11</v>
      </c>
      <c r="L227" s="1">
        <v>11</v>
      </c>
      <c r="M227" s="1">
        <v>173</v>
      </c>
      <c r="N227" s="1">
        <v>23</v>
      </c>
      <c r="O227" s="1">
        <v>138</v>
      </c>
      <c r="P227" s="1">
        <v>0</v>
      </c>
      <c r="Q227" s="1">
        <v>67</v>
      </c>
      <c r="R227" s="1">
        <v>21</v>
      </c>
      <c r="S227" s="1">
        <v>730</v>
      </c>
      <c r="T227" s="35">
        <v>2187</v>
      </c>
      <c r="U227" s="673"/>
    </row>
    <row r="228" spans="1:21" ht="15.75" x14ac:dyDescent="0.25">
      <c r="A228" s="673"/>
      <c r="C228" s="5" t="s">
        <v>4</v>
      </c>
      <c r="D228" s="1">
        <v>286</v>
      </c>
      <c r="E228" s="1">
        <v>634</v>
      </c>
      <c r="F228" s="1">
        <v>1807</v>
      </c>
      <c r="G228" s="1">
        <v>357</v>
      </c>
      <c r="H228" s="1">
        <v>361</v>
      </c>
      <c r="I228" s="1">
        <v>1133</v>
      </c>
      <c r="J228" s="1">
        <v>3844</v>
      </c>
      <c r="K228" s="1">
        <v>183</v>
      </c>
      <c r="L228" s="1">
        <v>133</v>
      </c>
      <c r="M228" s="1">
        <v>1481</v>
      </c>
      <c r="N228" s="1">
        <v>280</v>
      </c>
      <c r="O228" s="1">
        <v>1298</v>
      </c>
      <c r="P228" s="1">
        <v>28</v>
      </c>
      <c r="Q228" s="1">
        <v>705</v>
      </c>
      <c r="R228" s="1">
        <v>279</v>
      </c>
      <c r="S228" s="1">
        <v>8351</v>
      </c>
      <c r="T228" s="35">
        <v>21160</v>
      </c>
      <c r="U228" s="673"/>
    </row>
    <row r="229" spans="1:21" ht="15.75" x14ac:dyDescent="0.25">
      <c r="A229" s="673"/>
      <c r="C229" s="5" t="s">
        <v>5</v>
      </c>
      <c r="D229" s="1">
        <v>91</v>
      </c>
      <c r="E229" s="1">
        <v>149</v>
      </c>
      <c r="F229" s="1">
        <v>332</v>
      </c>
      <c r="G229" s="1">
        <v>107</v>
      </c>
      <c r="H229" s="1">
        <v>69</v>
      </c>
      <c r="I229" s="1">
        <v>202</v>
      </c>
      <c r="J229" s="1">
        <v>459</v>
      </c>
      <c r="K229" s="1">
        <v>73</v>
      </c>
      <c r="L229" s="1">
        <v>54</v>
      </c>
      <c r="M229" s="1">
        <v>226</v>
      </c>
      <c r="N229" s="1">
        <v>74</v>
      </c>
      <c r="O229" s="1">
        <v>255</v>
      </c>
      <c r="P229" s="1">
        <v>18</v>
      </c>
      <c r="Q229" s="1">
        <v>153</v>
      </c>
      <c r="R229" s="1">
        <v>78</v>
      </c>
      <c r="S229" s="1">
        <v>1503</v>
      </c>
      <c r="T229" s="35">
        <v>3843</v>
      </c>
      <c r="U229" s="673"/>
    </row>
    <row r="230" spans="1:21" ht="15.75" x14ac:dyDescent="0.25">
      <c r="A230" s="673"/>
      <c r="C230" s="5" t="s">
        <v>6</v>
      </c>
      <c r="D230" s="1">
        <v>60</v>
      </c>
      <c r="E230" s="1">
        <v>89</v>
      </c>
      <c r="F230" s="1">
        <v>208</v>
      </c>
      <c r="G230" s="1">
        <v>64</v>
      </c>
      <c r="H230" s="1">
        <v>48</v>
      </c>
      <c r="I230" s="1">
        <v>117</v>
      </c>
      <c r="J230" s="1">
        <v>263</v>
      </c>
      <c r="K230" s="1">
        <v>35</v>
      </c>
      <c r="L230" s="1">
        <v>32</v>
      </c>
      <c r="M230" s="1">
        <v>127</v>
      </c>
      <c r="N230" s="1">
        <v>52</v>
      </c>
      <c r="O230" s="1">
        <v>148</v>
      </c>
      <c r="P230" s="1">
        <v>14</v>
      </c>
      <c r="Q230" s="1">
        <v>98</v>
      </c>
      <c r="R230" s="1">
        <v>52</v>
      </c>
      <c r="S230" s="1">
        <v>967</v>
      </c>
      <c r="T230" s="35">
        <v>2374</v>
      </c>
      <c r="U230" s="673"/>
    </row>
    <row r="231" spans="1:21" ht="15.75" x14ac:dyDescent="0.25">
      <c r="A231" s="673"/>
      <c r="C231" s="5" t="s">
        <v>7</v>
      </c>
      <c r="D231" s="1">
        <v>17</v>
      </c>
      <c r="E231" s="1">
        <v>28</v>
      </c>
      <c r="F231" s="1">
        <v>59</v>
      </c>
      <c r="G231" s="1">
        <v>23</v>
      </c>
      <c r="H231" s="1">
        <v>17</v>
      </c>
      <c r="I231" s="1">
        <v>35</v>
      </c>
      <c r="J231" s="1">
        <v>65</v>
      </c>
      <c r="K231" s="1">
        <v>19</v>
      </c>
      <c r="L231" s="1">
        <v>11</v>
      </c>
      <c r="M231" s="1">
        <v>37</v>
      </c>
      <c r="N231" s="1">
        <v>12</v>
      </c>
      <c r="O231" s="1">
        <v>61</v>
      </c>
      <c r="P231" s="1">
        <v>2</v>
      </c>
      <c r="Q231" s="1">
        <v>28</v>
      </c>
      <c r="R231" s="1">
        <v>26</v>
      </c>
      <c r="S231" s="1">
        <v>348</v>
      </c>
      <c r="T231" s="35">
        <v>788</v>
      </c>
      <c r="U231" s="673"/>
    </row>
    <row r="232" spans="1:21" ht="15.75" x14ac:dyDescent="0.25">
      <c r="A232" s="673"/>
      <c r="C232" s="5"/>
      <c r="T232" s="35"/>
      <c r="U232" s="673"/>
    </row>
    <row r="233" spans="1:21" ht="15.75" x14ac:dyDescent="0.25">
      <c r="A233" s="673"/>
      <c r="C233" s="645" t="s">
        <v>67</v>
      </c>
      <c r="D233" s="1">
        <v>349</v>
      </c>
      <c r="E233" s="1">
        <v>744</v>
      </c>
      <c r="F233" s="1">
        <v>2072</v>
      </c>
      <c r="G233" s="1">
        <v>430</v>
      </c>
      <c r="H233" s="1">
        <v>425</v>
      </c>
      <c r="I233" s="1">
        <v>1290</v>
      </c>
      <c r="J233" s="1">
        <v>4290</v>
      </c>
      <c r="K233" s="1">
        <v>238</v>
      </c>
      <c r="L233" s="1">
        <v>172</v>
      </c>
      <c r="M233" s="1">
        <v>1677</v>
      </c>
      <c r="N233" s="1">
        <v>335</v>
      </c>
      <c r="O233" s="1">
        <v>1493</v>
      </c>
      <c r="P233" s="1">
        <v>42</v>
      </c>
      <c r="Q233" s="1">
        <v>819</v>
      </c>
      <c r="R233" s="1">
        <v>332</v>
      </c>
      <c r="S233" s="1">
        <v>9470</v>
      </c>
      <c r="T233" s="1">
        <v>24178</v>
      </c>
      <c r="U233" s="673"/>
    </row>
    <row r="234" spans="1:21" ht="15.75" x14ac:dyDescent="0.25">
      <c r="A234" s="673"/>
      <c r="C234" s="645" t="s">
        <v>147</v>
      </c>
      <c r="D234" s="1">
        <v>31</v>
      </c>
      <c r="E234" s="1">
        <v>94</v>
      </c>
      <c r="F234" s="1">
        <v>307</v>
      </c>
      <c r="G234" s="1">
        <v>45</v>
      </c>
      <c r="H234" s="1">
        <v>55</v>
      </c>
      <c r="I234" s="1">
        <v>193</v>
      </c>
      <c r="J234" s="1">
        <v>749</v>
      </c>
      <c r="K234" s="1">
        <v>22</v>
      </c>
      <c r="L234" s="1">
        <v>17</v>
      </c>
      <c r="M234" s="1">
        <v>269</v>
      </c>
      <c r="N234" s="1">
        <v>63</v>
      </c>
      <c r="O234" s="1">
        <v>219</v>
      </c>
      <c r="P234" s="1">
        <v>0</v>
      </c>
      <c r="Q234" s="1">
        <v>123</v>
      </c>
      <c r="R234" s="1">
        <v>48</v>
      </c>
      <c r="S234" s="1">
        <v>1106</v>
      </c>
      <c r="T234" s="1">
        <v>3341</v>
      </c>
      <c r="U234" s="673"/>
    </row>
    <row r="235" spans="1:21" ht="15.75" x14ac:dyDescent="0.25">
      <c r="A235" s="673"/>
      <c r="C235" s="645" t="s">
        <v>54</v>
      </c>
      <c r="D235" s="1">
        <v>469</v>
      </c>
      <c r="E235" s="1">
        <v>959</v>
      </c>
      <c r="F235" s="1">
        <v>2636</v>
      </c>
      <c r="G235" s="1">
        <v>582</v>
      </c>
      <c r="H235" s="1">
        <v>532</v>
      </c>
      <c r="I235" s="1">
        <v>1602</v>
      </c>
      <c r="J235" s="1">
        <v>5157</v>
      </c>
      <c r="K235" s="1">
        <v>321</v>
      </c>
      <c r="L235" s="1">
        <v>241</v>
      </c>
      <c r="M235" s="1">
        <v>2044</v>
      </c>
      <c r="N235" s="1">
        <v>441</v>
      </c>
      <c r="O235" s="1">
        <v>1900</v>
      </c>
      <c r="P235" s="1">
        <v>62</v>
      </c>
      <c r="Q235" s="1">
        <v>1051</v>
      </c>
      <c r="R235" s="1">
        <v>456</v>
      </c>
      <c r="S235" s="1">
        <v>11899</v>
      </c>
      <c r="T235" s="1">
        <v>30352</v>
      </c>
      <c r="U235" s="673">
        <v>30352</v>
      </c>
    </row>
    <row r="236" spans="1:21" ht="15.75" x14ac:dyDescent="0.25">
      <c r="A236" s="673"/>
      <c r="C236" s="5"/>
      <c r="D236" s="5"/>
      <c r="E236" s="5"/>
      <c r="F236" s="5"/>
      <c r="G236" s="5"/>
      <c r="H236" s="5"/>
      <c r="I236" s="5"/>
      <c r="J236" s="5"/>
      <c r="K236" s="5"/>
      <c r="L236" s="5"/>
      <c r="M236" s="5"/>
      <c r="N236" s="5"/>
      <c r="O236" s="5"/>
      <c r="P236" s="5"/>
      <c r="Q236" s="5"/>
      <c r="R236" s="5"/>
      <c r="S236" s="5"/>
      <c r="T236" s="35"/>
      <c r="U236" s="673"/>
    </row>
    <row r="237" spans="1:21" ht="15.75" x14ac:dyDescent="0.25">
      <c r="A237" s="673"/>
      <c r="C237" s="678" t="s">
        <v>25</v>
      </c>
      <c r="D237" s="1">
        <v>251</v>
      </c>
      <c r="E237" s="1">
        <v>533</v>
      </c>
      <c r="F237" s="1">
        <v>1473</v>
      </c>
      <c r="G237" s="1">
        <v>304</v>
      </c>
      <c r="H237" s="1">
        <v>304</v>
      </c>
      <c r="I237" s="1">
        <v>911</v>
      </c>
      <c r="J237" s="1">
        <v>3036</v>
      </c>
      <c r="K237" s="1">
        <v>161</v>
      </c>
      <c r="L237" s="1">
        <v>116</v>
      </c>
      <c r="M237" s="1">
        <v>1197</v>
      </c>
      <c r="N237" s="1">
        <v>212</v>
      </c>
      <c r="O237" s="1">
        <v>1058</v>
      </c>
      <c r="P237" s="1">
        <v>28</v>
      </c>
      <c r="Q237" s="1">
        <v>569</v>
      </c>
      <c r="R237" s="1">
        <v>228</v>
      </c>
      <c r="S237" s="1">
        <v>7097</v>
      </c>
      <c r="T237" s="1">
        <v>17478</v>
      </c>
      <c r="U237" s="673"/>
    </row>
    <row r="238" spans="1:21" ht="15.75" x14ac:dyDescent="0.25">
      <c r="A238" s="673"/>
      <c r="C238" s="678" t="s">
        <v>26</v>
      </c>
      <c r="D238" s="1">
        <v>245</v>
      </c>
      <c r="E238" s="1">
        <v>521</v>
      </c>
      <c r="F238" s="1">
        <v>1425</v>
      </c>
      <c r="G238" s="1">
        <v>296</v>
      </c>
      <c r="H238" s="1">
        <v>296</v>
      </c>
      <c r="I238" s="1">
        <v>878</v>
      </c>
      <c r="J238" s="1">
        <v>2943</v>
      </c>
      <c r="K238" s="1">
        <v>158</v>
      </c>
      <c r="L238" s="1">
        <v>113</v>
      </c>
      <c r="M238" s="1">
        <v>1160</v>
      </c>
      <c r="N238" s="1">
        <v>207</v>
      </c>
      <c r="O238" s="1">
        <v>1021</v>
      </c>
      <c r="P238" s="1">
        <v>28</v>
      </c>
      <c r="Q238" s="1">
        <v>551</v>
      </c>
      <c r="R238" s="1">
        <v>220</v>
      </c>
      <c r="S238" s="1">
        <v>6819</v>
      </c>
      <c r="T238" s="1">
        <v>16881</v>
      </c>
      <c r="U238" s="673"/>
    </row>
    <row r="239" spans="1:21" x14ac:dyDescent="0.2">
      <c r="A239" s="673"/>
      <c r="U239" s="673"/>
    </row>
    <row r="240" spans="1:21" ht="15.75" x14ac:dyDescent="0.25">
      <c r="A240" s="673"/>
      <c r="B240" s="5">
        <v>2022</v>
      </c>
      <c r="C240" s="5" t="s">
        <v>332</v>
      </c>
      <c r="D240" s="5" t="s">
        <v>8</v>
      </c>
      <c r="E240" s="5" t="s">
        <v>9</v>
      </c>
      <c r="F240" s="5" t="s">
        <v>10</v>
      </c>
      <c r="G240" s="5" t="s">
        <v>11</v>
      </c>
      <c r="H240" s="5" t="s">
        <v>12</v>
      </c>
      <c r="I240" s="5" t="s">
        <v>13</v>
      </c>
      <c r="J240" s="5" t="s">
        <v>14</v>
      </c>
      <c r="K240" s="5" t="s">
        <v>15</v>
      </c>
      <c r="L240" s="5" t="s">
        <v>16</v>
      </c>
      <c r="M240" s="5" t="s">
        <v>17</v>
      </c>
      <c r="N240" s="5" t="s">
        <v>18</v>
      </c>
      <c r="O240" s="5" t="s">
        <v>19</v>
      </c>
      <c r="P240" s="5" t="s">
        <v>20</v>
      </c>
      <c r="Q240" s="5" t="s">
        <v>21</v>
      </c>
      <c r="R240" s="5" t="s">
        <v>22</v>
      </c>
      <c r="S240" s="5" t="s">
        <v>23</v>
      </c>
      <c r="T240" s="35" t="s">
        <v>24</v>
      </c>
      <c r="U240" s="673"/>
    </row>
    <row r="241" spans="1:21" ht="15.75" x14ac:dyDescent="0.25">
      <c r="A241" s="673"/>
      <c r="C241" s="5" t="s">
        <v>3</v>
      </c>
      <c r="D241" s="1">
        <v>12</v>
      </c>
      <c r="E241" s="1">
        <v>57</v>
      </c>
      <c r="F241" s="1">
        <v>231</v>
      </c>
      <c r="G241" s="1">
        <v>31</v>
      </c>
      <c r="H241" s="1">
        <v>36</v>
      </c>
      <c r="I241" s="1">
        <v>116</v>
      </c>
      <c r="J241" s="1">
        <v>533</v>
      </c>
      <c r="K241" s="1">
        <v>10</v>
      </c>
      <c r="L241" s="1">
        <v>9</v>
      </c>
      <c r="M241" s="1">
        <v>174</v>
      </c>
      <c r="N241" s="1">
        <v>23</v>
      </c>
      <c r="O241" s="1">
        <v>138</v>
      </c>
      <c r="P241" s="1">
        <v>0</v>
      </c>
      <c r="Q241" s="1">
        <v>65</v>
      </c>
      <c r="R241" s="1">
        <v>19</v>
      </c>
      <c r="S241" s="1">
        <v>740</v>
      </c>
      <c r="T241" s="35">
        <v>2194</v>
      </c>
      <c r="U241" s="673"/>
    </row>
    <row r="242" spans="1:21" ht="15.75" x14ac:dyDescent="0.25">
      <c r="A242" s="673"/>
      <c r="C242" s="5" t="s">
        <v>4</v>
      </c>
      <c r="D242" s="1">
        <v>284</v>
      </c>
      <c r="E242" s="1">
        <v>632</v>
      </c>
      <c r="F242" s="1">
        <v>1812</v>
      </c>
      <c r="G242" s="1">
        <v>357</v>
      </c>
      <c r="H242" s="1">
        <v>358</v>
      </c>
      <c r="I242" s="1">
        <v>1156</v>
      </c>
      <c r="J242" s="1">
        <v>3897</v>
      </c>
      <c r="K242" s="1">
        <v>178</v>
      </c>
      <c r="L242" s="1">
        <v>136</v>
      </c>
      <c r="M242" s="1">
        <v>1490</v>
      </c>
      <c r="N242" s="1">
        <v>282</v>
      </c>
      <c r="O242" s="1">
        <v>1285</v>
      </c>
      <c r="P242" s="1">
        <v>27</v>
      </c>
      <c r="Q242" s="1">
        <v>690</v>
      </c>
      <c r="R242" s="1">
        <v>279</v>
      </c>
      <c r="S242" s="1">
        <v>8379</v>
      </c>
      <c r="T242" s="35">
        <v>21242</v>
      </c>
      <c r="U242" s="673"/>
    </row>
    <row r="243" spans="1:21" ht="15.75" x14ac:dyDescent="0.25">
      <c r="A243" s="673"/>
      <c r="C243" s="5" t="s">
        <v>5</v>
      </c>
      <c r="D243" s="1">
        <v>90</v>
      </c>
      <c r="E243" s="1">
        <v>151</v>
      </c>
      <c r="F243" s="1">
        <v>329</v>
      </c>
      <c r="G243" s="1">
        <v>114</v>
      </c>
      <c r="H243" s="1">
        <v>75</v>
      </c>
      <c r="I243" s="1">
        <v>195</v>
      </c>
      <c r="J243" s="1">
        <v>462</v>
      </c>
      <c r="K243" s="1">
        <v>77</v>
      </c>
      <c r="L243" s="1">
        <v>56</v>
      </c>
      <c r="M243" s="1">
        <v>224</v>
      </c>
      <c r="N243" s="1">
        <v>69</v>
      </c>
      <c r="O243" s="1">
        <v>255</v>
      </c>
      <c r="P243" s="1">
        <v>21</v>
      </c>
      <c r="Q243" s="1">
        <v>164</v>
      </c>
      <c r="R243" s="1">
        <v>82</v>
      </c>
      <c r="S243" s="1">
        <v>1463</v>
      </c>
      <c r="T243" s="35">
        <v>3827</v>
      </c>
      <c r="U243" s="673"/>
    </row>
    <row r="244" spans="1:21" ht="15.75" x14ac:dyDescent="0.25">
      <c r="A244" s="673"/>
      <c r="C244" s="5" t="s">
        <v>6</v>
      </c>
      <c r="D244" s="1">
        <v>63</v>
      </c>
      <c r="E244" s="1">
        <v>91</v>
      </c>
      <c r="F244" s="1">
        <v>219</v>
      </c>
      <c r="G244" s="1">
        <v>66</v>
      </c>
      <c r="H244" s="1">
        <v>51</v>
      </c>
      <c r="I244" s="1">
        <v>126</v>
      </c>
      <c r="J244" s="1">
        <v>275</v>
      </c>
      <c r="K244" s="1">
        <v>33</v>
      </c>
      <c r="L244" s="1">
        <v>33</v>
      </c>
      <c r="M244" s="1">
        <v>136</v>
      </c>
      <c r="N244" s="1">
        <v>58</v>
      </c>
      <c r="O244" s="1">
        <v>155</v>
      </c>
      <c r="P244" s="1">
        <v>13</v>
      </c>
      <c r="Q244" s="1">
        <v>106</v>
      </c>
      <c r="R244" s="1">
        <v>50</v>
      </c>
      <c r="S244" s="1">
        <v>1034</v>
      </c>
      <c r="T244" s="35">
        <v>2509</v>
      </c>
      <c r="U244" s="673"/>
    </row>
    <row r="245" spans="1:21" ht="15.75" x14ac:dyDescent="0.25">
      <c r="A245" s="673"/>
      <c r="C245" s="5" t="s">
        <v>7</v>
      </c>
      <c r="D245" s="1">
        <v>17</v>
      </c>
      <c r="E245" s="1">
        <v>31</v>
      </c>
      <c r="F245" s="1">
        <v>68</v>
      </c>
      <c r="G245" s="1">
        <v>25</v>
      </c>
      <c r="H245" s="1">
        <v>14</v>
      </c>
      <c r="I245" s="1">
        <v>34</v>
      </c>
      <c r="J245" s="1">
        <v>72</v>
      </c>
      <c r="K245" s="1">
        <v>19</v>
      </c>
      <c r="L245" s="1">
        <v>12</v>
      </c>
      <c r="M245" s="1">
        <v>33</v>
      </c>
      <c r="N245" s="1">
        <v>13</v>
      </c>
      <c r="O245" s="1">
        <v>66</v>
      </c>
      <c r="P245" s="1">
        <v>1</v>
      </c>
      <c r="Q245" s="1">
        <v>31</v>
      </c>
      <c r="R245" s="1">
        <v>26</v>
      </c>
      <c r="S245" s="1">
        <v>358</v>
      </c>
      <c r="T245" s="35">
        <v>820</v>
      </c>
      <c r="U245" s="673"/>
    </row>
    <row r="246" spans="1:21" ht="15.75" x14ac:dyDescent="0.25">
      <c r="A246" s="673"/>
      <c r="C246" s="5"/>
      <c r="T246" s="35"/>
      <c r="U246" s="673"/>
    </row>
    <row r="247" spans="1:21" ht="15.75" x14ac:dyDescent="0.25">
      <c r="A247" s="673"/>
      <c r="C247" s="645" t="s">
        <v>67</v>
      </c>
      <c r="D247" s="1">
        <v>346</v>
      </c>
      <c r="E247" s="1">
        <v>739</v>
      </c>
      <c r="F247" s="1">
        <v>2079</v>
      </c>
      <c r="G247" s="1">
        <v>432</v>
      </c>
      <c r="H247" s="1">
        <v>426</v>
      </c>
      <c r="I247" s="1">
        <v>1314</v>
      </c>
      <c r="J247" s="1">
        <v>4344</v>
      </c>
      <c r="K247" s="1">
        <v>231</v>
      </c>
      <c r="L247" s="1">
        <v>174</v>
      </c>
      <c r="M247" s="1">
        <v>1685</v>
      </c>
      <c r="N247" s="1">
        <v>335</v>
      </c>
      <c r="O247" s="1">
        <v>1485</v>
      </c>
      <c r="P247" s="1">
        <v>42</v>
      </c>
      <c r="Q247" s="1">
        <v>818</v>
      </c>
      <c r="R247" s="1">
        <v>333</v>
      </c>
      <c r="S247" s="1">
        <v>9483</v>
      </c>
      <c r="T247" s="1">
        <v>24266</v>
      </c>
      <c r="U247" s="673"/>
    </row>
    <row r="248" spans="1:21" ht="15.75" x14ac:dyDescent="0.25">
      <c r="A248" s="673"/>
      <c r="C248" s="645" t="s">
        <v>147</v>
      </c>
      <c r="D248" s="1">
        <v>31</v>
      </c>
      <c r="E248" s="1">
        <v>92</v>
      </c>
      <c r="F248" s="1">
        <v>307</v>
      </c>
      <c r="G248" s="1">
        <v>48</v>
      </c>
      <c r="H248" s="1">
        <v>52</v>
      </c>
      <c r="I248" s="1">
        <v>193</v>
      </c>
      <c r="J248" s="1">
        <v>751</v>
      </c>
      <c r="K248" s="1">
        <v>23</v>
      </c>
      <c r="L248" s="1">
        <v>19</v>
      </c>
      <c r="M248" s="1">
        <v>274</v>
      </c>
      <c r="N248" s="1">
        <v>65</v>
      </c>
      <c r="O248" s="1">
        <v>219</v>
      </c>
      <c r="P248" s="1">
        <v>0</v>
      </c>
      <c r="Q248" s="1">
        <v>115</v>
      </c>
      <c r="R248" s="1">
        <v>45</v>
      </c>
      <c r="S248" s="1">
        <v>1089</v>
      </c>
      <c r="T248" s="1">
        <v>3323</v>
      </c>
      <c r="U248" s="673"/>
    </row>
    <row r="249" spans="1:21" ht="15.75" x14ac:dyDescent="0.25">
      <c r="A249" s="673"/>
      <c r="C249" s="645" t="s">
        <v>54</v>
      </c>
      <c r="D249" s="1">
        <v>466</v>
      </c>
      <c r="E249" s="1">
        <v>962</v>
      </c>
      <c r="F249" s="1">
        <v>2659</v>
      </c>
      <c r="G249" s="1">
        <v>593</v>
      </c>
      <c r="H249" s="1">
        <v>534</v>
      </c>
      <c r="I249" s="1">
        <v>1627</v>
      </c>
      <c r="J249" s="1">
        <v>5239</v>
      </c>
      <c r="K249" s="1">
        <v>317</v>
      </c>
      <c r="L249" s="1">
        <v>246</v>
      </c>
      <c r="M249" s="1">
        <v>2057</v>
      </c>
      <c r="N249" s="1">
        <v>445</v>
      </c>
      <c r="O249" s="1">
        <v>1899</v>
      </c>
      <c r="P249" s="1">
        <v>62</v>
      </c>
      <c r="Q249" s="1">
        <v>1056</v>
      </c>
      <c r="R249" s="1">
        <v>456</v>
      </c>
      <c r="S249" s="1">
        <v>11974</v>
      </c>
      <c r="T249" s="1">
        <v>30592</v>
      </c>
      <c r="U249" s="673">
        <v>30592</v>
      </c>
    </row>
    <row r="250" spans="1:21" ht="15.75" x14ac:dyDescent="0.25">
      <c r="A250" s="673"/>
      <c r="C250" s="645"/>
      <c r="U250" s="673"/>
    </row>
    <row r="251" spans="1:21" ht="15.75" x14ac:dyDescent="0.25">
      <c r="A251" s="673"/>
      <c r="C251" s="678" t="s">
        <v>25</v>
      </c>
      <c r="D251" s="1">
        <v>247</v>
      </c>
      <c r="E251" s="1">
        <v>529</v>
      </c>
      <c r="F251" s="1">
        <v>1479</v>
      </c>
      <c r="G251" s="1">
        <v>305</v>
      </c>
      <c r="H251" s="1">
        <v>300</v>
      </c>
      <c r="I251" s="1">
        <v>932</v>
      </c>
      <c r="J251" s="1">
        <v>3088</v>
      </c>
      <c r="K251" s="1">
        <v>154</v>
      </c>
      <c r="L251" s="1">
        <v>114</v>
      </c>
      <c r="M251" s="1">
        <v>1203</v>
      </c>
      <c r="N251" s="1">
        <v>212</v>
      </c>
      <c r="O251" s="1">
        <v>1048</v>
      </c>
      <c r="P251" s="1">
        <v>27</v>
      </c>
      <c r="Q251" s="1">
        <v>556</v>
      </c>
      <c r="R251" s="1">
        <v>227</v>
      </c>
      <c r="S251" s="1">
        <v>7127</v>
      </c>
      <c r="T251" s="1">
        <v>17548</v>
      </c>
      <c r="U251" s="673"/>
    </row>
    <row r="252" spans="1:21" ht="16.5" thickBot="1" x14ac:dyDescent="0.3">
      <c r="A252" s="673"/>
      <c r="C252" s="678" t="s">
        <v>26</v>
      </c>
      <c r="D252" s="1">
        <v>240</v>
      </c>
      <c r="E252" s="1">
        <v>517</v>
      </c>
      <c r="F252" s="1">
        <v>1430</v>
      </c>
      <c r="G252" s="1">
        <v>296</v>
      </c>
      <c r="H252" s="1">
        <v>290</v>
      </c>
      <c r="I252" s="1">
        <v>894</v>
      </c>
      <c r="J252" s="1">
        <v>2977</v>
      </c>
      <c r="K252" s="1">
        <v>153</v>
      </c>
      <c r="L252" s="1">
        <v>113</v>
      </c>
      <c r="M252" s="1">
        <v>1168</v>
      </c>
      <c r="N252" s="1">
        <v>206</v>
      </c>
      <c r="O252" s="1">
        <v>1008</v>
      </c>
      <c r="P252" s="1">
        <v>27</v>
      </c>
      <c r="Q252" s="1">
        <v>538</v>
      </c>
      <c r="R252" s="1">
        <v>221</v>
      </c>
      <c r="S252" s="1">
        <v>6847</v>
      </c>
      <c r="T252" s="1">
        <v>16925</v>
      </c>
      <c r="U252" s="673"/>
    </row>
    <row r="253" spans="1:21" ht="16.5" thickBot="1" x14ac:dyDescent="0.3">
      <c r="A253" s="674"/>
      <c r="B253" s="675"/>
      <c r="C253" s="354"/>
      <c r="D253" s="354"/>
      <c r="E253" s="354"/>
      <c r="F253" s="354"/>
      <c r="G253" s="354"/>
      <c r="H253" s="354"/>
      <c r="I253" s="354"/>
      <c r="J253" s="354"/>
      <c r="K253" s="354"/>
      <c r="L253" s="354"/>
      <c r="M253" s="354"/>
      <c r="N253" s="354"/>
      <c r="O253" s="354"/>
      <c r="P253" s="354"/>
      <c r="Q253" s="354"/>
      <c r="R253" s="354"/>
      <c r="S253" s="354"/>
      <c r="T253" s="676"/>
      <c r="U253" s="674"/>
    </row>
  </sheetData>
  <pageMargins left="0.7" right="0.7" top="0.75" bottom="0.75" header="0.3" footer="0.3"/>
  <ignoredErrors>
    <ignoredError sqref="C36:C38 C105:C107 C149:C151 C163:C165 C177:C179 C191:C193 C205:C207 C219:C221 C233:C235 C247:C249 C100 C88 C76 C59:C60 C47:C48 C42 C31 C158" twoDigitTextYear="1"/>
    <ignoredError sqref="U8:U19 U5:U7" formulaRange="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39"/>
  <sheetViews>
    <sheetView topLeftCell="A4" workbookViewId="0">
      <selection activeCell="L23" sqref="L23:L38"/>
    </sheetView>
  </sheetViews>
  <sheetFormatPr defaultColWidth="8.88671875" defaultRowHeight="15" x14ac:dyDescent="0.2"/>
  <cols>
    <col min="1" max="1" width="12.77734375" style="1" customWidth="1"/>
    <col min="2" max="4" width="8.88671875" style="1"/>
    <col min="5" max="5" width="18.77734375" style="1" customWidth="1"/>
    <col min="6" max="16384" width="8.88671875" style="1"/>
  </cols>
  <sheetData>
    <row r="3" spans="1:9" x14ac:dyDescent="0.2">
      <c r="E3" s="1" t="s">
        <v>90</v>
      </c>
    </row>
    <row r="4" spans="1:9" ht="15.75" x14ac:dyDescent="0.25">
      <c r="A4" s="1" t="s">
        <v>87</v>
      </c>
      <c r="B4" s="1">
        <v>4480</v>
      </c>
      <c r="E4" s="1" t="s">
        <v>91</v>
      </c>
      <c r="F4" s="1">
        <v>20867</v>
      </c>
      <c r="H4" s="491">
        <v>40909</v>
      </c>
      <c r="I4" s="1" t="s">
        <v>232</v>
      </c>
    </row>
    <row r="5" spans="1:9" x14ac:dyDescent="0.2">
      <c r="A5" s="1" t="s">
        <v>88</v>
      </c>
      <c r="B5" s="1">
        <v>2358</v>
      </c>
    </row>
    <row r="8" spans="1:9" x14ac:dyDescent="0.2">
      <c r="E8" s="1" t="s">
        <v>89</v>
      </c>
      <c r="F8" s="218">
        <f>(B4+B5)*1000/F4</f>
        <v>327.6944457756266</v>
      </c>
    </row>
    <row r="22" spans="6:9" x14ac:dyDescent="0.2">
      <c r="G22" s="1" t="s">
        <v>736</v>
      </c>
      <c r="H22" s="1" t="s">
        <v>737</v>
      </c>
    </row>
    <row r="23" spans="6:9" x14ac:dyDescent="0.2">
      <c r="F23" s="1" t="s">
        <v>23</v>
      </c>
      <c r="G23" s="1">
        <v>10108176</v>
      </c>
      <c r="H23" s="1">
        <v>1086</v>
      </c>
      <c r="I23" s="22">
        <v>9307.7127071823197</v>
      </c>
    </row>
    <row r="24" spans="6:9" x14ac:dyDescent="0.2">
      <c r="F24" s="1" t="s">
        <v>14</v>
      </c>
      <c r="G24" s="1">
        <v>6350676</v>
      </c>
      <c r="H24" s="1">
        <v>604</v>
      </c>
      <c r="I24" s="22">
        <v>10514.364238410595</v>
      </c>
    </row>
    <row r="25" spans="6:9" ht="15.75" x14ac:dyDescent="0.25">
      <c r="F25" s="5" t="s">
        <v>247</v>
      </c>
      <c r="G25" s="5">
        <v>35881620</v>
      </c>
      <c r="H25" s="5">
        <v>3206</v>
      </c>
      <c r="I25" s="217">
        <v>11192.021210230818</v>
      </c>
    </row>
    <row r="26" spans="6:9" x14ac:dyDescent="0.2">
      <c r="F26" s="1" t="s">
        <v>13</v>
      </c>
      <c r="G26" s="1">
        <v>2210412</v>
      </c>
      <c r="H26" s="1">
        <v>196</v>
      </c>
      <c r="I26" s="22">
        <v>11277.612244897959</v>
      </c>
    </row>
    <row r="27" spans="6:9" x14ac:dyDescent="0.2">
      <c r="F27" s="1" t="s">
        <v>10</v>
      </c>
      <c r="G27" s="1">
        <v>3613212</v>
      </c>
      <c r="H27" s="1">
        <v>316</v>
      </c>
      <c r="I27" s="22">
        <v>11434.215189873417</v>
      </c>
    </row>
    <row r="28" spans="6:9" x14ac:dyDescent="0.2">
      <c r="F28" s="1" t="s">
        <v>19</v>
      </c>
      <c r="G28" s="1">
        <v>2520030</v>
      </c>
      <c r="H28" s="1">
        <v>220</v>
      </c>
      <c r="I28" s="22">
        <v>11454.681818181818</v>
      </c>
    </row>
    <row r="29" spans="6:9" x14ac:dyDescent="0.2">
      <c r="F29" s="1" t="s">
        <v>21</v>
      </c>
      <c r="G29" s="1">
        <v>1434864</v>
      </c>
      <c r="H29" s="1">
        <v>119</v>
      </c>
      <c r="I29" s="22">
        <v>12057.680672268907</v>
      </c>
    </row>
    <row r="30" spans="6:9" x14ac:dyDescent="0.2">
      <c r="F30" s="1" t="s">
        <v>9</v>
      </c>
      <c r="G30" s="1">
        <v>1192380</v>
      </c>
      <c r="H30" s="1">
        <v>93</v>
      </c>
      <c r="I30" s="22">
        <v>12821.290322580646</v>
      </c>
    </row>
    <row r="31" spans="6:9" x14ac:dyDescent="0.2">
      <c r="F31" s="1" t="s">
        <v>18</v>
      </c>
      <c r="G31" s="1">
        <v>705408</v>
      </c>
      <c r="H31" s="1">
        <v>55</v>
      </c>
      <c r="I31" s="22">
        <v>12825.6</v>
      </c>
    </row>
    <row r="32" spans="6:9" x14ac:dyDescent="0.2">
      <c r="F32" s="1" t="s">
        <v>17</v>
      </c>
      <c r="G32" s="1">
        <v>3412812</v>
      </c>
      <c r="H32" s="1">
        <v>262</v>
      </c>
      <c r="I32" s="22">
        <v>13026</v>
      </c>
    </row>
    <row r="33" spans="6:9" x14ac:dyDescent="0.2">
      <c r="F33" s="1" t="s">
        <v>22</v>
      </c>
      <c r="G33" s="1">
        <v>738474</v>
      </c>
      <c r="H33" s="1">
        <v>50</v>
      </c>
      <c r="I33" s="22">
        <v>14769.48</v>
      </c>
    </row>
    <row r="34" spans="6:9" x14ac:dyDescent="0.2">
      <c r="F34" s="1" t="s">
        <v>12</v>
      </c>
      <c r="G34" s="1">
        <v>816630</v>
      </c>
      <c r="H34" s="1">
        <v>53</v>
      </c>
      <c r="I34" s="22">
        <v>15408.113207547171</v>
      </c>
    </row>
    <row r="35" spans="6:9" x14ac:dyDescent="0.2">
      <c r="F35" s="1" t="s">
        <v>8</v>
      </c>
      <c r="G35" s="1">
        <v>704406</v>
      </c>
      <c r="H35" s="1">
        <v>43</v>
      </c>
      <c r="I35" s="22">
        <v>16381.534883720929</v>
      </c>
    </row>
    <row r="36" spans="6:9" x14ac:dyDescent="0.2">
      <c r="F36" s="1" t="s">
        <v>11</v>
      </c>
      <c r="G36" s="1">
        <v>988974</v>
      </c>
      <c r="H36" s="1">
        <v>58</v>
      </c>
      <c r="I36" s="22">
        <v>17051.275862068964</v>
      </c>
    </row>
    <row r="37" spans="6:9" x14ac:dyDescent="0.2">
      <c r="F37" s="1" t="s">
        <v>16</v>
      </c>
      <c r="G37" s="1">
        <v>495990</v>
      </c>
      <c r="H37" s="1">
        <v>26</v>
      </c>
      <c r="I37" s="22">
        <v>19076.538461538461</v>
      </c>
    </row>
    <row r="38" spans="6:9" x14ac:dyDescent="0.2">
      <c r="F38" s="1" t="s">
        <v>15</v>
      </c>
      <c r="G38" s="1">
        <v>502002</v>
      </c>
      <c r="H38" s="1">
        <v>22</v>
      </c>
      <c r="I38" s="22">
        <v>22818.272727272728</v>
      </c>
    </row>
    <row r="39" spans="6:9" x14ac:dyDescent="0.2">
      <c r="F39" s="1" t="s">
        <v>20</v>
      </c>
      <c r="G39" s="1">
        <v>87174</v>
      </c>
      <c r="H39" s="1">
        <v>3</v>
      </c>
      <c r="I39" s="22">
        <v>29058</v>
      </c>
    </row>
  </sheetData>
  <sortState ref="F23:I39">
    <sortCondition ref="I23"/>
  </sortState>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Q221"/>
  <sheetViews>
    <sheetView topLeftCell="A97" zoomScale="55" zoomScaleNormal="55" workbookViewId="0">
      <selection activeCell="C31" sqref="C31"/>
    </sheetView>
  </sheetViews>
  <sheetFormatPr defaultColWidth="8.88671875" defaultRowHeight="15" x14ac:dyDescent="0.2"/>
  <cols>
    <col min="1" max="6" width="9.109375" style="1" customWidth="1"/>
    <col min="7" max="17" width="8.88671875" style="1"/>
    <col min="18" max="18" width="6.44140625" style="1" customWidth="1"/>
    <col min="19" max="19" width="8.21875" style="1" customWidth="1"/>
    <col min="20" max="20" width="7" style="1" customWidth="1"/>
    <col min="21" max="21" width="7.21875" style="1" customWidth="1"/>
    <col min="22" max="40" width="8.88671875" style="1"/>
    <col min="41" max="41" width="7.109375" style="1" customWidth="1"/>
    <col min="42" max="42" width="3.77734375" style="1" customWidth="1"/>
    <col min="43" max="43" width="5.33203125" style="1" customWidth="1"/>
    <col min="44" max="16384" width="8.88671875" style="1"/>
  </cols>
  <sheetData>
    <row r="5" spans="1:22" ht="15.75" x14ac:dyDescent="0.25">
      <c r="C5" s="5" t="s">
        <v>8</v>
      </c>
      <c r="D5" s="5" t="s">
        <v>9</v>
      </c>
      <c r="E5" s="5" t="s">
        <v>10</v>
      </c>
      <c r="F5" s="5" t="s">
        <v>11</v>
      </c>
      <c r="G5" s="5" t="s">
        <v>12</v>
      </c>
      <c r="H5" s="5" t="s">
        <v>13</v>
      </c>
      <c r="I5" s="5" t="s">
        <v>14</v>
      </c>
      <c r="J5" s="5" t="s">
        <v>15</v>
      </c>
      <c r="K5" s="5" t="s">
        <v>16</v>
      </c>
      <c r="L5" s="5" t="s">
        <v>17</v>
      </c>
      <c r="M5" s="5" t="s">
        <v>18</v>
      </c>
      <c r="N5" s="5" t="s">
        <v>19</v>
      </c>
      <c r="O5" s="5" t="s">
        <v>20</v>
      </c>
      <c r="P5" s="5" t="s">
        <v>21</v>
      </c>
      <c r="Q5" s="5" t="s">
        <v>22</v>
      </c>
      <c r="R5" s="5"/>
      <c r="S5" s="5" t="s">
        <v>23</v>
      </c>
      <c r="U5" s="1" t="s">
        <v>24</v>
      </c>
      <c r="V5" s="24" t="s">
        <v>36</v>
      </c>
    </row>
    <row r="6" spans="1:22" ht="15.75" x14ac:dyDescent="0.25">
      <c r="A6" s="25" t="s">
        <v>316</v>
      </c>
      <c r="B6" s="5">
        <v>2013</v>
      </c>
      <c r="C6" s="1">
        <v>1020</v>
      </c>
      <c r="D6" s="1">
        <v>2566</v>
      </c>
      <c r="E6" s="1">
        <v>5880</v>
      </c>
      <c r="F6" s="1">
        <v>1509</v>
      </c>
      <c r="G6" s="1">
        <v>1469</v>
      </c>
      <c r="H6" s="1">
        <v>3629</v>
      </c>
      <c r="I6" s="1">
        <v>9387</v>
      </c>
      <c r="J6" s="1">
        <v>898</v>
      </c>
      <c r="K6" s="1">
        <v>846</v>
      </c>
      <c r="L6" s="1">
        <v>3720</v>
      </c>
      <c r="M6" s="1">
        <v>979</v>
      </c>
      <c r="N6" s="1">
        <v>3966</v>
      </c>
      <c r="O6" s="1">
        <v>313</v>
      </c>
      <c r="P6" s="1">
        <v>3143</v>
      </c>
      <c r="Q6" s="1">
        <v>1373</v>
      </c>
      <c r="S6" s="1">
        <v>27636</v>
      </c>
      <c r="U6" s="1">
        <f>SUM(C6:S6)</f>
        <v>68334</v>
      </c>
      <c r="V6" s="22">
        <v>68334</v>
      </c>
    </row>
    <row r="7" spans="1:22" ht="15.75" x14ac:dyDescent="0.25">
      <c r="B7" s="5">
        <v>2012</v>
      </c>
      <c r="C7" s="25">
        <v>1166</v>
      </c>
      <c r="D7" s="25">
        <v>2515</v>
      </c>
      <c r="E7" s="25">
        <v>5852</v>
      </c>
      <c r="F7" s="25">
        <v>1755</v>
      </c>
      <c r="G7" s="25">
        <v>1530</v>
      </c>
      <c r="H7" s="25">
        <v>3403</v>
      </c>
      <c r="I7" s="25">
        <v>9092</v>
      </c>
      <c r="J7" s="30">
        <v>1039</v>
      </c>
      <c r="K7" s="25">
        <v>871</v>
      </c>
      <c r="L7" s="25">
        <v>3803</v>
      </c>
      <c r="M7" s="25">
        <v>981</v>
      </c>
      <c r="N7" s="25">
        <v>3888</v>
      </c>
      <c r="O7" s="25">
        <v>393</v>
      </c>
      <c r="P7" s="25">
        <v>3555</v>
      </c>
      <c r="Q7" s="25">
        <v>1325</v>
      </c>
      <c r="R7" s="25"/>
      <c r="S7" s="25">
        <v>27656</v>
      </c>
      <c r="U7" s="1">
        <f>SUM(C7:S7)</f>
        <v>68824</v>
      </c>
      <c r="V7" s="22">
        <v>68824</v>
      </c>
    </row>
    <row r="8" spans="1:22" ht="15.75" x14ac:dyDescent="0.25">
      <c r="B8" s="5">
        <v>2011</v>
      </c>
      <c r="C8" s="26">
        <v>983</v>
      </c>
      <c r="D8" s="26">
        <v>2560</v>
      </c>
      <c r="E8" s="26">
        <v>5538</v>
      </c>
      <c r="F8" s="26">
        <v>1524</v>
      </c>
      <c r="G8" s="26">
        <v>1474</v>
      </c>
      <c r="H8" s="26">
        <v>3100</v>
      </c>
      <c r="I8" s="26">
        <v>8518</v>
      </c>
      <c r="J8" s="27">
        <v>928</v>
      </c>
      <c r="K8" s="26">
        <v>883</v>
      </c>
      <c r="L8" s="26">
        <v>3723</v>
      </c>
      <c r="M8" s="26">
        <v>798</v>
      </c>
      <c r="N8" s="26">
        <v>3605</v>
      </c>
      <c r="O8" s="26">
        <v>308</v>
      </c>
      <c r="P8" s="26">
        <v>3050</v>
      </c>
      <c r="Q8" s="26">
        <v>1136</v>
      </c>
      <c r="R8" s="26"/>
      <c r="S8" s="26">
        <v>26548</v>
      </c>
      <c r="U8" s="1">
        <f>SUM(C8:S8)</f>
        <v>64676</v>
      </c>
      <c r="V8" s="22">
        <v>64676</v>
      </c>
    </row>
    <row r="9" spans="1:22" ht="15.75" x14ac:dyDescent="0.25">
      <c r="B9" s="5">
        <v>2010</v>
      </c>
      <c r="C9" s="31">
        <v>994</v>
      </c>
      <c r="D9" s="31">
        <v>2324</v>
      </c>
      <c r="E9" s="31">
        <v>5040</v>
      </c>
      <c r="F9" s="31">
        <v>1447</v>
      </c>
      <c r="G9" s="31">
        <v>1442</v>
      </c>
      <c r="H9" s="31">
        <v>2979</v>
      </c>
      <c r="I9" s="31">
        <v>8457</v>
      </c>
      <c r="J9" s="32">
        <v>830</v>
      </c>
      <c r="K9" s="31">
        <v>813</v>
      </c>
      <c r="L9" s="31">
        <v>3037</v>
      </c>
      <c r="M9" s="31">
        <v>622</v>
      </c>
      <c r="N9" s="31">
        <v>3368</v>
      </c>
      <c r="O9" s="31">
        <v>285</v>
      </c>
      <c r="P9" s="31">
        <v>2893</v>
      </c>
      <c r="Q9" s="33">
        <v>1076</v>
      </c>
      <c r="R9" s="33"/>
      <c r="S9" s="33">
        <v>26408</v>
      </c>
      <c r="U9" s="1">
        <f>SUM(C9:S9)</f>
        <v>62015</v>
      </c>
      <c r="V9" s="22">
        <v>62015</v>
      </c>
    </row>
    <row r="10" spans="1:22" ht="15.75" x14ac:dyDescent="0.25">
      <c r="B10" s="5">
        <v>2009</v>
      </c>
      <c r="C10" s="25"/>
      <c r="D10" s="25"/>
      <c r="E10" s="25"/>
      <c r="F10" s="25"/>
      <c r="G10" s="25"/>
      <c r="H10" s="25"/>
      <c r="I10" s="25"/>
      <c r="J10" s="30"/>
      <c r="K10" s="25"/>
      <c r="L10" s="25"/>
      <c r="M10" s="25"/>
      <c r="N10" s="25"/>
      <c r="O10" s="25"/>
      <c r="P10" s="25"/>
      <c r="Q10" s="25"/>
      <c r="R10" s="25"/>
      <c r="S10" s="25"/>
    </row>
    <row r="11" spans="1:22" ht="15.75" x14ac:dyDescent="0.25">
      <c r="B11" s="5">
        <v>2008</v>
      </c>
      <c r="C11" s="28"/>
      <c r="D11" s="28"/>
      <c r="E11" s="28"/>
      <c r="F11" s="28"/>
      <c r="G11" s="28"/>
      <c r="H11" s="28"/>
      <c r="I11" s="28"/>
      <c r="J11" s="29"/>
      <c r="K11" s="28"/>
      <c r="L11" s="28"/>
      <c r="M11" s="28"/>
      <c r="N11" s="28"/>
      <c r="O11" s="28"/>
      <c r="P11" s="28"/>
      <c r="Q11" s="28"/>
      <c r="R11" s="28"/>
      <c r="S11" s="28"/>
    </row>
    <row r="15" spans="1:22" ht="15.75" x14ac:dyDescent="0.25">
      <c r="A15" s="1" t="s">
        <v>317</v>
      </c>
      <c r="C15" s="5" t="s">
        <v>8</v>
      </c>
      <c r="D15" s="5" t="s">
        <v>9</v>
      </c>
      <c r="E15" s="5" t="s">
        <v>10</v>
      </c>
      <c r="F15" s="5" t="s">
        <v>11</v>
      </c>
      <c r="G15" s="5" t="s">
        <v>12</v>
      </c>
      <c r="H15" s="5" t="s">
        <v>13</v>
      </c>
      <c r="I15" s="5" t="s">
        <v>14</v>
      </c>
      <c r="J15" s="5" t="s">
        <v>15</v>
      </c>
      <c r="K15" s="5" t="s">
        <v>16</v>
      </c>
      <c r="L15" s="5" t="s">
        <v>17</v>
      </c>
      <c r="M15" s="5" t="s">
        <v>18</v>
      </c>
      <c r="N15" s="5" t="s">
        <v>19</v>
      </c>
      <c r="O15" s="5" t="s">
        <v>20</v>
      </c>
      <c r="P15" s="5" t="s">
        <v>21</v>
      </c>
      <c r="Q15" s="5" t="s">
        <v>22</v>
      </c>
      <c r="R15" s="5"/>
      <c r="S15" s="5" t="s">
        <v>23</v>
      </c>
    </row>
    <row r="16" spans="1:22" ht="15.75" x14ac:dyDescent="0.25">
      <c r="A16" s="1" t="s">
        <v>37</v>
      </c>
      <c r="B16" s="5">
        <v>2013</v>
      </c>
      <c r="C16" s="1">
        <v>230</v>
      </c>
      <c r="D16" s="1">
        <v>918</v>
      </c>
      <c r="E16" s="1">
        <v>1443</v>
      </c>
      <c r="F16" s="1">
        <v>147</v>
      </c>
      <c r="G16" s="1">
        <v>651</v>
      </c>
      <c r="H16" s="1">
        <v>970</v>
      </c>
      <c r="I16" s="1">
        <v>2148</v>
      </c>
      <c r="J16" s="1">
        <v>105</v>
      </c>
      <c r="K16" s="1">
        <v>30</v>
      </c>
      <c r="L16" s="1">
        <v>1124</v>
      </c>
      <c r="M16" s="1">
        <v>152</v>
      </c>
      <c r="N16" s="1">
        <v>710</v>
      </c>
      <c r="O16" s="1">
        <v>2</v>
      </c>
      <c r="P16" s="1">
        <v>1070</v>
      </c>
      <c r="Q16" s="1">
        <v>87</v>
      </c>
      <c r="S16" s="1">
        <v>9424</v>
      </c>
      <c r="U16" s="1">
        <f>SUM(C16:S16)</f>
        <v>19211</v>
      </c>
      <c r="V16" s="1">
        <v>19213</v>
      </c>
    </row>
    <row r="17" spans="1:22" ht="15.75" x14ac:dyDescent="0.25">
      <c r="B17" s="5">
        <v>2012</v>
      </c>
      <c r="C17" s="1">
        <v>258</v>
      </c>
      <c r="D17" s="1">
        <v>853</v>
      </c>
      <c r="E17" s="1">
        <v>1457</v>
      </c>
      <c r="F17" s="1">
        <v>361</v>
      </c>
      <c r="G17" s="1">
        <v>584</v>
      </c>
      <c r="H17" s="1">
        <v>933</v>
      </c>
      <c r="I17" s="1">
        <v>2040</v>
      </c>
      <c r="J17" s="1">
        <v>113</v>
      </c>
      <c r="K17" s="1">
        <v>41</v>
      </c>
      <c r="L17" s="1">
        <v>1362</v>
      </c>
      <c r="M17" s="1">
        <v>214</v>
      </c>
      <c r="N17" s="1">
        <v>674</v>
      </c>
      <c r="O17" s="1">
        <v>4</v>
      </c>
      <c r="P17" s="1">
        <v>1133</v>
      </c>
      <c r="Q17" s="1">
        <v>344</v>
      </c>
      <c r="S17" s="1">
        <v>9063</v>
      </c>
      <c r="U17" s="1">
        <f t="shared" ref="U17:U27" si="0">SUM(C17:S17)</f>
        <v>19434</v>
      </c>
      <c r="V17" s="1">
        <v>19434</v>
      </c>
    </row>
    <row r="18" spans="1:22" ht="15.75" x14ac:dyDescent="0.25">
      <c r="B18" s="5">
        <v>2011</v>
      </c>
      <c r="C18" s="1">
        <v>211</v>
      </c>
      <c r="D18" s="1">
        <v>658</v>
      </c>
      <c r="E18" s="1">
        <v>1288</v>
      </c>
      <c r="F18" s="1">
        <v>269</v>
      </c>
      <c r="G18" s="1">
        <v>754</v>
      </c>
      <c r="H18" s="1">
        <v>805</v>
      </c>
      <c r="I18" s="1">
        <v>1853</v>
      </c>
      <c r="J18" s="1">
        <v>115</v>
      </c>
      <c r="K18" s="1">
        <v>57</v>
      </c>
      <c r="L18" s="1">
        <v>769</v>
      </c>
      <c r="M18" s="1">
        <v>192</v>
      </c>
      <c r="N18" s="1">
        <v>736</v>
      </c>
      <c r="O18" s="1">
        <v>19</v>
      </c>
      <c r="P18" s="1">
        <v>1093</v>
      </c>
      <c r="Q18" s="1">
        <v>129</v>
      </c>
      <c r="S18" s="1">
        <v>8268</v>
      </c>
      <c r="U18" s="1">
        <f t="shared" si="0"/>
        <v>17216</v>
      </c>
      <c r="V18" s="1">
        <v>17216</v>
      </c>
    </row>
    <row r="19" spans="1:22" ht="15.75" x14ac:dyDescent="0.25">
      <c r="B19" s="5">
        <v>2010</v>
      </c>
      <c r="C19" s="1">
        <v>220</v>
      </c>
      <c r="D19" s="1">
        <v>903</v>
      </c>
      <c r="E19" s="1">
        <v>1145</v>
      </c>
      <c r="F19" s="1">
        <v>142</v>
      </c>
      <c r="G19" s="1">
        <v>536</v>
      </c>
      <c r="H19" s="1">
        <v>855</v>
      </c>
      <c r="I19" s="1">
        <v>1891</v>
      </c>
      <c r="J19" s="1">
        <v>122</v>
      </c>
      <c r="K19" s="1">
        <v>38</v>
      </c>
      <c r="L19" s="1">
        <v>594</v>
      </c>
      <c r="M19" s="1">
        <v>112</v>
      </c>
      <c r="N19" s="1">
        <v>682</v>
      </c>
      <c r="O19" s="1">
        <v>12</v>
      </c>
      <c r="P19" s="1">
        <v>1265</v>
      </c>
      <c r="Q19" s="1">
        <v>216</v>
      </c>
      <c r="S19" s="1">
        <v>7999</v>
      </c>
      <c r="U19" s="1">
        <f t="shared" si="0"/>
        <v>16732</v>
      </c>
      <c r="V19" s="1">
        <v>16733</v>
      </c>
    </row>
    <row r="20" spans="1:22" ht="15.75" x14ac:dyDescent="0.25">
      <c r="B20" s="35" t="s">
        <v>38</v>
      </c>
    </row>
    <row r="21" spans="1:22" ht="15.75" x14ac:dyDescent="0.25">
      <c r="B21" s="35"/>
    </row>
    <row r="22" spans="1:22" ht="15.75" x14ac:dyDescent="0.25">
      <c r="B22" s="5"/>
    </row>
    <row r="23" spans="1:22" ht="15.75" x14ac:dyDescent="0.25">
      <c r="A23" s="1" t="s">
        <v>318</v>
      </c>
      <c r="B23" s="5"/>
      <c r="C23" s="5" t="s">
        <v>8</v>
      </c>
      <c r="D23" s="5" t="s">
        <v>9</v>
      </c>
      <c r="E23" s="5" t="s">
        <v>10</v>
      </c>
      <c r="F23" s="5" t="s">
        <v>11</v>
      </c>
      <c r="G23" s="5" t="s">
        <v>12</v>
      </c>
      <c r="H23" s="5" t="s">
        <v>13</v>
      </c>
      <c r="I23" s="5" t="s">
        <v>14</v>
      </c>
      <c r="J23" s="5" t="s">
        <v>15</v>
      </c>
      <c r="K23" s="5" t="s">
        <v>16</v>
      </c>
      <c r="L23" s="5" t="s">
        <v>17</v>
      </c>
      <c r="M23" s="5" t="s">
        <v>18</v>
      </c>
      <c r="N23" s="5" t="s">
        <v>19</v>
      </c>
      <c r="O23" s="5" t="s">
        <v>20</v>
      </c>
      <c r="P23" s="5" t="s">
        <v>21</v>
      </c>
      <c r="Q23" s="5" t="s">
        <v>22</v>
      </c>
      <c r="R23" s="5"/>
      <c r="S23" s="5" t="s">
        <v>23</v>
      </c>
    </row>
    <row r="24" spans="1:22" ht="15.75" x14ac:dyDescent="0.25">
      <c r="B24" s="5">
        <v>2013</v>
      </c>
      <c r="C24" s="1">
        <f t="shared" ref="C24:Q27" si="1">C6-C16</f>
        <v>790</v>
      </c>
      <c r="D24" s="1">
        <f t="shared" si="1"/>
        <v>1648</v>
      </c>
      <c r="E24" s="1">
        <f t="shared" si="1"/>
        <v>4437</v>
      </c>
      <c r="F24" s="1">
        <f t="shared" si="1"/>
        <v>1362</v>
      </c>
      <c r="G24" s="1">
        <f t="shared" si="1"/>
        <v>818</v>
      </c>
      <c r="H24" s="1">
        <f t="shared" si="1"/>
        <v>2659</v>
      </c>
      <c r="I24" s="1">
        <f t="shared" si="1"/>
        <v>7239</v>
      </c>
      <c r="J24" s="1">
        <f t="shared" si="1"/>
        <v>793</v>
      </c>
      <c r="K24" s="1">
        <f t="shared" si="1"/>
        <v>816</v>
      </c>
      <c r="L24" s="1">
        <f t="shared" si="1"/>
        <v>2596</v>
      </c>
      <c r="M24" s="1">
        <f t="shared" si="1"/>
        <v>827</v>
      </c>
      <c r="N24" s="1">
        <f t="shared" si="1"/>
        <v>3256</v>
      </c>
      <c r="O24" s="1">
        <f t="shared" si="1"/>
        <v>311</v>
      </c>
      <c r="P24" s="1">
        <f t="shared" si="1"/>
        <v>2073</v>
      </c>
      <c r="Q24" s="1">
        <f t="shared" si="1"/>
        <v>1286</v>
      </c>
      <c r="S24" s="1">
        <f>S6-S16</f>
        <v>18212</v>
      </c>
      <c r="U24" s="1">
        <f t="shared" si="0"/>
        <v>49123</v>
      </c>
    </row>
    <row r="25" spans="1:22" ht="15.75" x14ac:dyDescent="0.25">
      <c r="B25" s="5">
        <v>2012</v>
      </c>
      <c r="C25" s="1">
        <f t="shared" si="1"/>
        <v>908</v>
      </c>
      <c r="D25" s="1">
        <f t="shared" si="1"/>
        <v>1662</v>
      </c>
      <c r="E25" s="1">
        <f t="shared" si="1"/>
        <v>4395</v>
      </c>
      <c r="F25" s="1">
        <f t="shared" si="1"/>
        <v>1394</v>
      </c>
      <c r="G25" s="1">
        <f t="shared" si="1"/>
        <v>946</v>
      </c>
      <c r="H25" s="1">
        <f t="shared" si="1"/>
        <v>2470</v>
      </c>
      <c r="I25" s="1">
        <f t="shared" si="1"/>
        <v>7052</v>
      </c>
      <c r="J25" s="1">
        <f t="shared" si="1"/>
        <v>926</v>
      </c>
      <c r="K25" s="1">
        <f t="shared" si="1"/>
        <v>830</v>
      </c>
      <c r="L25" s="1">
        <f t="shared" si="1"/>
        <v>2441</v>
      </c>
      <c r="M25" s="1">
        <f t="shared" si="1"/>
        <v>767</v>
      </c>
      <c r="N25" s="1">
        <f t="shared" si="1"/>
        <v>3214</v>
      </c>
      <c r="O25" s="1">
        <f t="shared" si="1"/>
        <v>389</v>
      </c>
      <c r="P25" s="1">
        <f t="shared" si="1"/>
        <v>2422</v>
      </c>
      <c r="Q25" s="1">
        <f t="shared" si="1"/>
        <v>981</v>
      </c>
      <c r="S25" s="1">
        <f>S7-S17</f>
        <v>18593</v>
      </c>
      <c r="U25" s="1">
        <f t="shared" si="0"/>
        <v>49390</v>
      </c>
    </row>
    <row r="26" spans="1:22" ht="15.75" x14ac:dyDescent="0.25">
      <c r="B26" s="5">
        <v>2011</v>
      </c>
      <c r="C26" s="1">
        <f t="shared" si="1"/>
        <v>772</v>
      </c>
      <c r="D26" s="1">
        <f t="shared" si="1"/>
        <v>1902</v>
      </c>
      <c r="E26" s="1">
        <f t="shared" si="1"/>
        <v>4250</v>
      </c>
      <c r="F26" s="1">
        <f t="shared" si="1"/>
        <v>1255</v>
      </c>
      <c r="G26" s="1">
        <f t="shared" si="1"/>
        <v>720</v>
      </c>
      <c r="H26" s="1">
        <f t="shared" si="1"/>
        <v>2295</v>
      </c>
      <c r="I26" s="1">
        <f t="shared" si="1"/>
        <v>6665</v>
      </c>
      <c r="J26" s="1">
        <f t="shared" si="1"/>
        <v>813</v>
      </c>
      <c r="K26" s="1">
        <f t="shared" si="1"/>
        <v>826</v>
      </c>
      <c r="L26" s="1">
        <f t="shared" si="1"/>
        <v>2954</v>
      </c>
      <c r="M26" s="1">
        <f t="shared" si="1"/>
        <v>606</v>
      </c>
      <c r="N26" s="1">
        <f t="shared" si="1"/>
        <v>2869</v>
      </c>
      <c r="O26" s="1">
        <f t="shared" si="1"/>
        <v>289</v>
      </c>
      <c r="P26" s="1">
        <f t="shared" si="1"/>
        <v>1957</v>
      </c>
      <c r="Q26" s="1">
        <f t="shared" si="1"/>
        <v>1007</v>
      </c>
      <c r="S26" s="1">
        <f>S8-S18</f>
        <v>18280</v>
      </c>
      <c r="U26" s="1">
        <f t="shared" si="0"/>
        <v>47460</v>
      </c>
    </row>
    <row r="27" spans="1:22" ht="15.75" x14ac:dyDescent="0.25">
      <c r="B27" s="5">
        <v>2010</v>
      </c>
      <c r="C27" s="1">
        <f t="shared" si="1"/>
        <v>774</v>
      </c>
      <c r="D27" s="1">
        <f t="shared" si="1"/>
        <v>1421</v>
      </c>
      <c r="E27" s="1">
        <f t="shared" si="1"/>
        <v>3895</v>
      </c>
      <c r="F27" s="1">
        <f t="shared" si="1"/>
        <v>1305</v>
      </c>
      <c r="G27" s="1">
        <f t="shared" si="1"/>
        <v>906</v>
      </c>
      <c r="H27" s="1">
        <f t="shared" si="1"/>
        <v>2124</v>
      </c>
      <c r="I27" s="1">
        <f t="shared" si="1"/>
        <v>6566</v>
      </c>
      <c r="J27" s="1">
        <f t="shared" si="1"/>
        <v>708</v>
      </c>
      <c r="K27" s="1">
        <f t="shared" si="1"/>
        <v>775</v>
      </c>
      <c r="L27" s="1">
        <f t="shared" si="1"/>
        <v>2443</v>
      </c>
      <c r="M27" s="1">
        <f t="shared" si="1"/>
        <v>510</v>
      </c>
      <c r="N27" s="1">
        <f t="shared" si="1"/>
        <v>2686</v>
      </c>
      <c r="O27" s="1">
        <f t="shared" si="1"/>
        <v>273</v>
      </c>
      <c r="P27" s="1">
        <f t="shared" si="1"/>
        <v>1628</v>
      </c>
      <c r="Q27" s="1">
        <f t="shared" si="1"/>
        <v>860</v>
      </c>
      <c r="S27" s="1">
        <f>S9-S19</f>
        <v>18409</v>
      </c>
      <c r="U27" s="1">
        <f t="shared" si="0"/>
        <v>45283</v>
      </c>
    </row>
    <row r="28" spans="1:22" x14ac:dyDescent="0.2">
      <c r="B28" s="25" t="s">
        <v>38</v>
      </c>
    </row>
    <row r="29" spans="1:22" x14ac:dyDescent="0.2">
      <c r="B29" s="25" t="s">
        <v>38</v>
      </c>
    </row>
    <row r="31" spans="1:22" ht="15.75" x14ac:dyDescent="0.25">
      <c r="A31" s="1" t="s">
        <v>44</v>
      </c>
      <c r="B31" s="5">
        <v>2013</v>
      </c>
      <c r="C31" s="1">
        <v>475</v>
      </c>
      <c r="D31" s="1">
        <v>947</v>
      </c>
      <c r="E31" s="1">
        <v>2520</v>
      </c>
      <c r="F31" s="1">
        <v>572</v>
      </c>
      <c r="G31" s="1">
        <v>500</v>
      </c>
      <c r="H31" s="1">
        <v>1540</v>
      </c>
      <c r="I31" s="1">
        <v>4424</v>
      </c>
      <c r="J31" s="1">
        <v>330</v>
      </c>
      <c r="K31" s="1">
        <v>251</v>
      </c>
      <c r="L31" s="1">
        <v>1926</v>
      </c>
      <c r="M31" s="1">
        <v>413</v>
      </c>
      <c r="N31" s="1">
        <v>1813</v>
      </c>
      <c r="O31" s="1">
        <v>100</v>
      </c>
      <c r="P31" s="1">
        <v>1029</v>
      </c>
      <c r="Q31" s="1">
        <v>433</v>
      </c>
      <c r="R31" s="1">
        <v>11393</v>
      </c>
      <c r="U31" s="1">
        <f>SUM(C31:S31)</f>
        <v>28666</v>
      </c>
      <c r="V31" s="1">
        <v>28666</v>
      </c>
    </row>
    <row r="32" spans="1:22" ht="15.75" x14ac:dyDescent="0.25">
      <c r="B32" s="5">
        <v>2012</v>
      </c>
      <c r="C32" s="1">
        <v>476</v>
      </c>
      <c r="D32" s="1">
        <v>960</v>
      </c>
      <c r="E32" s="1">
        <v>2531</v>
      </c>
      <c r="F32" s="1">
        <v>578</v>
      </c>
      <c r="G32" s="1">
        <v>495</v>
      </c>
      <c r="H32" s="1">
        <v>1522</v>
      </c>
      <c r="I32" s="1">
        <v>4355</v>
      </c>
      <c r="J32" s="1">
        <v>338</v>
      </c>
      <c r="K32" s="1">
        <v>245</v>
      </c>
      <c r="L32" s="1">
        <v>1883</v>
      </c>
      <c r="M32" s="1">
        <v>392</v>
      </c>
      <c r="N32" s="1">
        <v>1823</v>
      </c>
      <c r="O32" s="1">
        <v>101</v>
      </c>
      <c r="P32" s="1">
        <v>1035</v>
      </c>
      <c r="Q32" s="1">
        <v>422</v>
      </c>
      <c r="R32" s="1">
        <v>11346</v>
      </c>
      <c r="U32" s="1">
        <f>SUM(C32:S32)</f>
        <v>28502</v>
      </c>
      <c r="V32" s="1">
        <v>28502</v>
      </c>
    </row>
    <row r="33" spans="1:43" ht="15.75" x14ac:dyDescent="0.25">
      <c r="B33" s="5">
        <v>2011</v>
      </c>
      <c r="C33" s="1">
        <v>480</v>
      </c>
      <c r="D33" s="1">
        <v>978</v>
      </c>
      <c r="E33" s="1">
        <v>2527</v>
      </c>
      <c r="F33" s="1">
        <v>577</v>
      </c>
      <c r="G33" s="1">
        <v>492</v>
      </c>
      <c r="H33" s="1">
        <v>1526</v>
      </c>
      <c r="I33" s="1">
        <v>4249</v>
      </c>
      <c r="J33" s="1">
        <v>361</v>
      </c>
      <c r="K33" s="1">
        <v>249</v>
      </c>
      <c r="L33" s="1">
        <v>1860</v>
      </c>
      <c r="M33" s="1">
        <v>399</v>
      </c>
      <c r="N33" s="1">
        <v>1810</v>
      </c>
      <c r="O33" s="1">
        <v>103</v>
      </c>
      <c r="P33" s="1">
        <v>1032</v>
      </c>
      <c r="Q33" s="1">
        <v>449</v>
      </c>
      <c r="R33" s="1">
        <v>11263</v>
      </c>
      <c r="U33" s="1">
        <f>SUM(C33:S33)</f>
        <v>28355</v>
      </c>
      <c r="V33" s="1">
        <v>28355</v>
      </c>
    </row>
    <row r="34" spans="1:43" ht="15.75" x14ac:dyDescent="0.25">
      <c r="B34" s="5">
        <v>2010</v>
      </c>
      <c r="C34" s="1">
        <v>488</v>
      </c>
      <c r="D34" s="1">
        <v>943</v>
      </c>
      <c r="E34" s="1">
        <v>2502</v>
      </c>
      <c r="F34" s="1">
        <v>580</v>
      </c>
      <c r="G34" s="1">
        <v>475</v>
      </c>
      <c r="H34" s="1">
        <v>1508</v>
      </c>
      <c r="I34" s="1">
        <v>4098</v>
      </c>
      <c r="J34" s="1">
        <v>364</v>
      </c>
      <c r="K34" s="1">
        <v>259</v>
      </c>
      <c r="L34" s="1">
        <v>1814</v>
      </c>
      <c r="M34" s="1">
        <v>394</v>
      </c>
      <c r="N34" s="1">
        <v>1802</v>
      </c>
      <c r="O34" s="1">
        <v>119</v>
      </c>
      <c r="P34" s="1">
        <v>1019</v>
      </c>
      <c r="Q34" s="1">
        <v>452</v>
      </c>
      <c r="R34" s="1">
        <v>11190</v>
      </c>
      <c r="U34" s="1">
        <f>SUM(C34:S34)</f>
        <v>28007</v>
      </c>
      <c r="V34" s="1">
        <v>28007</v>
      </c>
    </row>
    <row r="36" spans="1:43" x14ac:dyDescent="0.2">
      <c r="B36" s="1" t="s">
        <v>39</v>
      </c>
      <c r="AO36" s="1" t="s">
        <v>280</v>
      </c>
    </row>
    <row r="37" spans="1:43" x14ac:dyDescent="0.2">
      <c r="A37" s="1" t="s">
        <v>279</v>
      </c>
    </row>
    <row r="38" spans="1:43" ht="20.25" thickBot="1" x14ac:dyDescent="0.35">
      <c r="C38" s="5" t="s">
        <v>40</v>
      </c>
      <c r="D38" s="5" t="s">
        <v>43</v>
      </c>
      <c r="F38" s="1" t="s">
        <v>45</v>
      </c>
      <c r="AO38" s="120" t="s">
        <v>319</v>
      </c>
    </row>
    <row r="39" spans="1:43" ht="21" thickTop="1" thickBot="1" x14ac:dyDescent="0.35">
      <c r="A39" s="1">
        <v>2013</v>
      </c>
      <c r="C39" s="1">
        <v>790</v>
      </c>
      <c r="D39" s="1">
        <v>475</v>
      </c>
      <c r="F39" s="1">
        <f>C39*1000/D39</f>
        <v>1663.1578947368421</v>
      </c>
      <c r="H39" s="120" t="s">
        <v>63</v>
      </c>
      <c r="AO39" s="5" t="s">
        <v>62</v>
      </c>
    </row>
    <row r="40" spans="1:43" ht="15.75" thickTop="1" x14ac:dyDescent="0.2">
      <c r="A40" s="1" t="s">
        <v>41</v>
      </c>
      <c r="B40" s="1">
        <f>SUM(C39:C54)</f>
        <v>49123</v>
      </c>
      <c r="C40" s="1">
        <v>1648</v>
      </c>
      <c r="D40" s="1">
        <v>947</v>
      </c>
      <c r="F40" s="1">
        <f t="shared" ref="F40:F102" si="2">C40*1000/D40</f>
        <v>1740.232312565998</v>
      </c>
      <c r="AO40" s="1" t="s">
        <v>43</v>
      </c>
      <c r="AQ40" s="1" t="s">
        <v>45</v>
      </c>
    </row>
    <row r="41" spans="1:43" ht="15.75" x14ac:dyDescent="0.25">
      <c r="A41" s="1" t="s">
        <v>42</v>
      </c>
      <c r="B41" s="24">
        <v>49123</v>
      </c>
      <c r="C41" s="1">
        <v>4437</v>
      </c>
      <c r="D41" s="1">
        <v>2520</v>
      </c>
      <c r="F41" s="1">
        <f t="shared" si="2"/>
        <v>1760.7142857142858</v>
      </c>
      <c r="H41" s="5" t="s">
        <v>320</v>
      </c>
      <c r="AN41" s="1" t="s">
        <v>8</v>
      </c>
    </row>
    <row r="42" spans="1:43" ht="15.75" x14ac:dyDescent="0.25">
      <c r="C42" s="1">
        <v>1362</v>
      </c>
      <c r="D42" s="1">
        <v>572</v>
      </c>
      <c r="F42" s="1">
        <f t="shared" si="2"/>
        <v>2381.1188811188813</v>
      </c>
      <c r="H42" s="5" t="s">
        <v>51</v>
      </c>
      <c r="AN42" s="1" t="s">
        <v>9</v>
      </c>
      <c r="AO42" s="1">
        <v>947</v>
      </c>
      <c r="AQ42" s="1">
        <v>1740.232312565998</v>
      </c>
    </row>
    <row r="43" spans="1:43" x14ac:dyDescent="0.2">
      <c r="C43" s="1">
        <v>818</v>
      </c>
      <c r="D43" s="1">
        <v>500</v>
      </c>
      <c r="F43" s="1">
        <f t="shared" si="2"/>
        <v>1636</v>
      </c>
      <c r="AN43" s="1" t="s">
        <v>10</v>
      </c>
      <c r="AO43" s="1">
        <v>2520</v>
      </c>
      <c r="AQ43" s="1">
        <v>1760.7142857142858</v>
      </c>
    </row>
    <row r="44" spans="1:43" x14ac:dyDescent="0.2">
      <c r="C44" s="1">
        <v>2659</v>
      </c>
      <c r="D44" s="1">
        <v>1540</v>
      </c>
      <c r="F44" s="1">
        <f t="shared" si="2"/>
        <v>1726.6233766233765</v>
      </c>
      <c r="H44" s="24" t="s">
        <v>52</v>
      </c>
      <c r="AN44" s="1" t="s">
        <v>11</v>
      </c>
    </row>
    <row r="45" spans="1:43" x14ac:dyDescent="0.2">
      <c r="C45" s="1">
        <v>7239</v>
      </c>
      <c r="D45" s="1">
        <v>4424</v>
      </c>
      <c r="F45" s="1">
        <f t="shared" si="2"/>
        <v>1636.3019891500903</v>
      </c>
      <c r="AN45" s="1" t="s">
        <v>12</v>
      </c>
    </row>
    <row r="46" spans="1:43" x14ac:dyDescent="0.2">
      <c r="C46" s="1">
        <v>793</v>
      </c>
      <c r="D46" s="1">
        <v>330</v>
      </c>
      <c r="F46" s="1">
        <f t="shared" si="2"/>
        <v>2403.030303030303</v>
      </c>
      <c r="AN46" s="1" t="s">
        <v>13</v>
      </c>
      <c r="AO46" s="1">
        <v>1540</v>
      </c>
      <c r="AQ46" s="1">
        <v>1726.6233766233765</v>
      </c>
    </row>
    <row r="47" spans="1:43" x14ac:dyDescent="0.2">
      <c r="C47" s="1">
        <v>816</v>
      </c>
      <c r="D47" s="1">
        <v>251</v>
      </c>
      <c r="F47" s="1">
        <f t="shared" si="2"/>
        <v>3250.9960159362549</v>
      </c>
      <c r="AN47" s="1" t="s">
        <v>14</v>
      </c>
      <c r="AO47" s="1">
        <v>4424</v>
      </c>
      <c r="AQ47" s="1">
        <v>1636.3019891500903</v>
      </c>
    </row>
    <row r="48" spans="1:43" x14ac:dyDescent="0.2">
      <c r="C48" s="1">
        <v>2596</v>
      </c>
      <c r="D48" s="1">
        <v>1926</v>
      </c>
      <c r="F48" s="1">
        <f t="shared" si="2"/>
        <v>1347.871235721703</v>
      </c>
      <c r="AN48" s="1" t="s">
        <v>15</v>
      </c>
    </row>
    <row r="49" spans="1:43" x14ac:dyDescent="0.2">
      <c r="C49" s="1">
        <v>827</v>
      </c>
      <c r="D49" s="1">
        <v>413</v>
      </c>
      <c r="F49" s="1">
        <f t="shared" si="2"/>
        <v>2002.4213075060534</v>
      </c>
      <c r="AN49" s="1" t="s">
        <v>16</v>
      </c>
    </row>
    <row r="50" spans="1:43" x14ac:dyDescent="0.2">
      <c r="C50" s="1">
        <v>3256</v>
      </c>
      <c r="D50" s="1">
        <v>1813</v>
      </c>
      <c r="F50" s="1">
        <f t="shared" si="2"/>
        <v>1795.9183673469388</v>
      </c>
      <c r="AN50" s="1" t="s">
        <v>17</v>
      </c>
      <c r="AO50" s="1">
        <v>1926</v>
      </c>
      <c r="AQ50" s="1">
        <v>1347.871235721703</v>
      </c>
    </row>
    <row r="51" spans="1:43" x14ac:dyDescent="0.2">
      <c r="C51" s="1">
        <v>311</v>
      </c>
      <c r="D51" s="1">
        <v>100</v>
      </c>
      <c r="F51" s="1">
        <f t="shared" si="2"/>
        <v>3110</v>
      </c>
      <c r="AN51" s="1" t="s">
        <v>18</v>
      </c>
    </row>
    <row r="52" spans="1:43" x14ac:dyDescent="0.2">
      <c r="B52" s="1" t="s">
        <v>321</v>
      </c>
      <c r="C52" s="1">
        <v>2073</v>
      </c>
      <c r="D52" s="1">
        <v>1029</v>
      </c>
      <c r="F52" s="1">
        <f t="shared" si="2"/>
        <v>2014.5772594752186</v>
      </c>
      <c r="AN52" s="1" t="s">
        <v>19</v>
      </c>
      <c r="AO52" s="1">
        <v>1813</v>
      </c>
      <c r="AQ52" s="1">
        <v>1795.9183673469388</v>
      </c>
    </row>
    <row r="53" spans="1:43" x14ac:dyDescent="0.2">
      <c r="C53" s="1">
        <v>1286</v>
      </c>
      <c r="D53" s="1">
        <v>433</v>
      </c>
      <c r="F53" s="1">
        <f t="shared" si="2"/>
        <v>2969.9769053117784</v>
      </c>
      <c r="AN53" s="1" t="s">
        <v>20</v>
      </c>
    </row>
    <row r="54" spans="1:43" x14ac:dyDescent="0.2">
      <c r="C54" s="224">
        <v>18212</v>
      </c>
      <c r="D54" s="224">
        <v>11393</v>
      </c>
      <c r="F54" s="1">
        <f t="shared" si="2"/>
        <v>1598.5254103396824</v>
      </c>
      <c r="AN54" s="1" t="s">
        <v>21</v>
      </c>
      <c r="AO54" s="1">
        <v>1029</v>
      </c>
      <c r="AQ54" s="1">
        <v>2014.5772594752186</v>
      </c>
    </row>
    <row r="55" spans="1:43" x14ac:dyDescent="0.2">
      <c r="A55" s="1">
        <v>2012</v>
      </c>
      <c r="C55" s="1">
        <v>908</v>
      </c>
      <c r="D55" s="1">
        <v>476</v>
      </c>
      <c r="F55" s="1">
        <f t="shared" si="2"/>
        <v>1907.5630252100841</v>
      </c>
      <c r="AN55" s="1" t="s">
        <v>22</v>
      </c>
    </row>
    <row r="56" spans="1:43" x14ac:dyDescent="0.2">
      <c r="A56" s="1" t="s">
        <v>41</v>
      </c>
      <c r="B56" s="1">
        <f>SUM(C55:C70)</f>
        <v>49390</v>
      </c>
      <c r="C56" s="1">
        <v>1662</v>
      </c>
      <c r="D56" s="1">
        <v>960</v>
      </c>
      <c r="F56" s="1">
        <f t="shared" si="2"/>
        <v>1731.25</v>
      </c>
      <c r="AN56" s="1" t="s">
        <v>23</v>
      </c>
      <c r="AO56" s="1">
        <v>11393</v>
      </c>
      <c r="AQ56" s="1">
        <v>1598.5254103396824</v>
      </c>
    </row>
    <row r="57" spans="1:43" x14ac:dyDescent="0.2">
      <c r="A57" s="1" t="s">
        <v>42</v>
      </c>
      <c r="B57" s="1">
        <v>49390</v>
      </c>
      <c r="C57" s="1">
        <v>4395</v>
      </c>
      <c r="D57" s="1">
        <v>2531</v>
      </c>
      <c r="F57" s="1">
        <f t="shared" si="2"/>
        <v>1736.4677992888187</v>
      </c>
      <c r="AN57" s="1" t="s">
        <v>8</v>
      </c>
    </row>
    <row r="58" spans="1:43" x14ac:dyDescent="0.2">
      <c r="C58" s="1">
        <v>1394</v>
      </c>
      <c r="D58" s="1">
        <v>578</v>
      </c>
      <c r="F58" s="1">
        <f t="shared" si="2"/>
        <v>2411.7647058823532</v>
      </c>
      <c r="AN58" s="1" t="s">
        <v>9</v>
      </c>
      <c r="AO58" s="1">
        <v>960</v>
      </c>
      <c r="AQ58" s="1">
        <v>1731.25</v>
      </c>
    </row>
    <row r="59" spans="1:43" x14ac:dyDescent="0.2">
      <c r="C59" s="1">
        <v>946</v>
      </c>
      <c r="D59" s="1">
        <v>495</v>
      </c>
      <c r="F59" s="1">
        <f t="shared" si="2"/>
        <v>1911.1111111111111</v>
      </c>
      <c r="AN59" s="1" t="s">
        <v>10</v>
      </c>
      <c r="AO59" s="1">
        <v>2531</v>
      </c>
      <c r="AQ59" s="1">
        <v>1736.4677992888187</v>
      </c>
    </row>
    <row r="60" spans="1:43" x14ac:dyDescent="0.2">
      <c r="C60" s="1">
        <v>2470</v>
      </c>
      <c r="D60" s="1">
        <v>1522</v>
      </c>
      <c r="F60" s="1">
        <f t="shared" si="2"/>
        <v>1622.8646517739817</v>
      </c>
      <c r="AN60" s="1" t="s">
        <v>11</v>
      </c>
    </row>
    <row r="61" spans="1:43" x14ac:dyDescent="0.2">
      <c r="C61" s="1">
        <v>7052</v>
      </c>
      <c r="D61" s="1">
        <v>4355</v>
      </c>
      <c r="F61" s="1">
        <f t="shared" si="2"/>
        <v>1619.2881745120551</v>
      </c>
      <c r="AN61" s="1" t="s">
        <v>12</v>
      </c>
    </row>
    <row r="62" spans="1:43" x14ac:dyDescent="0.2">
      <c r="C62" s="1">
        <v>926</v>
      </c>
      <c r="D62" s="1">
        <v>338</v>
      </c>
      <c r="F62" s="1">
        <f t="shared" si="2"/>
        <v>2739.644970414201</v>
      </c>
      <c r="AN62" s="1" t="s">
        <v>13</v>
      </c>
      <c r="AO62" s="1">
        <v>1522</v>
      </c>
      <c r="AQ62" s="1">
        <v>1622.8646517739817</v>
      </c>
    </row>
    <row r="63" spans="1:43" x14ac:dyDescent="0.2">
      <c r="C63" s="1">
        <v>830</v>
      </c>
      <c r="D63" s="1">
        <v>245</v>
      </c>
      <c r="F63" s="1">
        <f t="shared" si="2"/>
        <v>3387.7551020408164</v>
      </c>
      <c r="AN63" s="1" t="s">
        <v>14</v>
      </c>
      <c r="AO63" s="1">
        <v>4355</v>
      </c>
      <c r="AQ63" s="1">
        <v>1619.2881745120551</v>
      </c>
    </row>
    <row r="64" spans="1:43" x14ac:dyDescent="0.2">
      <c r="C64" s="1">
        <v>2441</v>
      </c>
      <c r="D64" s="1">
        <v>1883</v>
      </c>
      <c r="F64" s="1">
        <f t="shared" si="2"/>
        <v>1296.3356346255975</v>
      </c>
      <c r="AN64" s="1" t="s">
        <v>15</v>
      </c>
    </row>
    <row r="65" spans="1:43" x14ac:dyDescent="0.2">
      <c r="C65" s="1">
        <v>767</v>
      </c>
      <c r="D65" s="1">
        <v>392</v>
      </c>
      <c r="F65" s="1">
        <f t="shared" si="2"/>
        <v>1956.6326530612246</v>
      </c>
      <c r="AN65" s="1" t="s">
        <v>16</v>
      </c>
    </row>
    <row r="66" spans="1:43" x14ac:dyDescent="0.2">
      <c r="C66" s="1">
        <v>3214</v>
      </c>
      <c r="D66" s="1">
        <v>1823</v>
      </c>
      <c r="F66" s="1">
        <f t="shared" si="2"/>
        <v>1763.0279758639606</v>
      </c>
      <c r="AN66" s="1" t="s">
        <v>17</v>
      </c>
      <c r="AO66" s="1">
        <v>1883</v>
      </c>
      <c r="AQ66" s="1">
        <v>1296.3356346255975</v>
      </c>
    </row>
    <row r="67" spans="1:43" x14ac:dyDescent="0.2">
      <c r="C67" s="1">
        <v>389</v>
      </c>
      <c r="D67" s="1">
        <v>101</v>
      </c>
      <c r="F67" s="1">
        <f t="shared" si="2"/>
        <v>3851.4851485148515</v>
      </c>
      <c r="AN67" s="1" t="s">
        <v>18</v>
      </c>
    </row>
    <row r="68" spans="1:43" x14ac:dyDescent="0.2">
      <c r="B68" s="1" t="s">
        <v>321</v>
      </c>
      <c r="C68" s="1">
        <v>2422</v>
      </c>
      <c r="D68" s="1">
        <v>1035</v>
      </c>
      <c r="F68" s="1">
        <f t="shared" si="2"/>
        <v>2340.0966183574878</v>
      </c>
      <c r="AN68" s="1" t="s">
        <v>19</v>
      </c>
      <c r="AO68" s="1">
        <v>1823</v>
      </c>
      <c r="AQ68" s="1">
        <v>1763.0279758639606</v>
      </c>
    </row>
    <row r="69" spans="1:43" x14ac:dyDescent="0.2">
      <c r="C69" s="1">
        <v>981</v>
      </c>
      <c r="D69" s="1">
        <v>422</v>
      </c>
      <c r="F69" s="1">
        <f t="shared" si="2"/>
        <v>2324.644549763033</v>
      </c>
      <c r="AN69" s="1" t="s">
        <v>20</v>
      </c>
    </row>
    <row r="70" spans="1:43" x14ac:dyDescent="0.2">
      <c r="C70" s="224">
        <v>18593</v>
      </c>
      <c r="D70" s="224">
        <v>11346</v>
      </c>
      <c r="F70" s="1">
        <f t="shared" si="2"/>
        <v>1638.7273047770138</v>
      </c>
      <c r="AN70" s="1" t="s">
        <v>21</v>
      </c>
      <c r="AO70" s="1">
        <v>1035</v>
      </c>
      <c r="AQ70" s="1">
        <v>2340.0966183574878</v>
      </c>
    </row>
    <row r="71" spans="1:43" x14ac:dyDescent="0.2">
      <c r="A71" s="1">
        <v>2011</v>
      </c>
      <c r="C71" s="1">
        <v>772</v>
      </c>
      <c r="D71" s="1">
        <v>480</v>
      </c>
      <c r="F71" s="1">
        <f t="shared" si="2"/>
        <v>1608.3333333333333</v>
      </c>
      <c r="AN71" s="1" t="s">
        <v>22</v>
      </c>
    </row>
    <row r="72" spans="1:43" x14ac:dyDescent="0.2">
      <c r="A72" s="1" t="s">
        <v>41</v>
      </c>
      <c r="B72" s="1">
        <f>SUM(C71:C86)</f>
        <v>47460</v>
      </c>
      <c r="C72" s="1">
        <v>1902</v>
      </c>
      <c r="D72" s="1">
        <v>978</v>
      </c>
      <c r="F72" s="1">
        <f t="shared" si="2"/>
        <v>1944.7852760736196</v>
      </c>
      <c r="AN72" s="1" t="s">
        <v>23</v>
      </c>
      <c r="AO72" s="1">
        <v>11346</v>
      </c>
      <c r="AQ72" s="1">
        <v>1638.7273047770138</v>
      </c>
    </row>
    <row r="73" spans="1:43" x14ac:dyDescent="0.2">
      <c r="A73" s="1" t="s">
        <v>42</v>
      </c>
      <c r="B73" s="1">
        <v>47460</v>
      </c>
      <c r="C73" s="1">
        <v>4250</v>
      </c>
      <c r="D73" s="1">
        <v>2527</v>
      </c>
      <c r="F73" s="1">
        <f t="shared" si="2"/>
        <v>1681.8361693707955</v>
      </c>
      <c r="AN73" s="1" t="s">
        <v>8</v>
      </c>
    </row>
    <row r="74" spans="1:43" x14ac:dyDescent="0.2">
      <c r="C74" s="1">
        <v>1255</v>
      </c>
      <c r="D74" s="1">
        <v>577</v>
      </c>
      <c r="F74" s="1">
        <f t="shared" si="2"/>
        <v>2175.0433275563259</v>
      </c>
      <c r="AN74" s="1" t="s">
        <v>9</v>
      </c>
      <c r="AO74" s="1">
        <v>978</v>
      </c>
      <c r="AQ74" s="1">
        <v>1944.7852760736196</v>
      </c>
    </row>
    <row r="75" spans="1:43" x14ac:dyDescent="0.2">
      <c r="C75" s="1">
        <v>720</v>
      </c>
      <c r="D75" s="1">
        <v>492</v>
      </c>
      <c r="F75" s="1">
        <f t="shared" si="2"/>
        <v>1463.4146341463415</v>
      </c>
      <c r="AN75" s="1" t="s">
        <v>10</v>
      </c>
      <c r="AO75" s="1">
        <v>2527</v>
      </c>
      <c r="AQ75" s="1">
        <v>1681.8361693707955</v>
      </c>
    </row>
    <row r="76" spans="1:43" x14ac:dyDescent="0.2">
      <c r="C76" s="1">
        <v>2295</v>
      </c>
      <c r="D76" s="1">
        <v>1526</v>
      </c>
      <c r="F76" s="1">
        <f t="shared" si="2"/>
        <v>1503.9318479685453</v>
      </c>
      <c r="AN76" s="1" t="s">
        <v>11</v>
      </c>
    </row>
    <row r="77" spans="1:43" x14ac:dyDescent="0.2">
      <c r="C77" s="1">
        <v>6665</v>
      </c>
      <c r="D77" s="1">
        <v>4249</v>
      </c>
      <c r="F77" s="1">
        <f t="shared" si="2"/>
        <v>1568.6043775005883</v>
      </c>
      <c r="AN77" s="1" t="s">
        <v>12</v>
      </c>
    </row>
    <row r="78" spans="1:43" x14ac:dyDescent="0.2">
      <c r="C78" s="1">
        <v>813</v>
      </c>
      <c r="D78" s="1">
        <v>361</v>
      </c>
      <c r="F78" s="1">
        <f t="shared" si="2"/>
        <v>2252.0775623268696</v>
      </c>
      <c r="AN78" s="1" t="s">
        <v>13</v>
      </c>
      <c r="AO78" s="1">
        <v>1526</v>
      </c>
      <c r="AQ78" s="1">
        <v>1503.9318479685453</v>
      </c>
    </row>
    <row r="79" spans="1:43" x14ac:dyDescent="0.2">
      <c r="C79" s="1">
        <v>826</v>
      </c>
      <c r="D79" s="1">
        <v>249</v>
      </c>
      <c r="F79" s="1">
        <f t="shared" si="2"/>
        <v>3317.269076305221</v>
      </c>
      <c r="AN79" s="1" t="s">
        <v>14</v>
      </c>
      <c r="AO79" s="1">
        <v>4249</v>
      </c>
      <c r="AQ79" s="1">
        <v>1568.6043775005883</v>
      </c>
    </row>
    <row r="80" spans="1:43" x14ac:dyDescent="0.2">
      <c r="C80" s="1">
        <v>2954</v>
      </c>
      <c r="D80" s="1">
        <v>1860</v>
      </c>
      <c r="F80" s="1">
        <f t="shared" si="2"/>
        <v>1588.1720430107528</v>
      </c>
      <c r="AN80" s="1" t="s">
        <v>15</v>
      </c>
    </row>
    <row r="81" spans="1:43" x14ac:dyDescent="0.2">
      <c r="C81" s="1">
        <v>606</v>
      </c>
      <c r="D81" s="1">
        <v>399</v>
      </c>
      <c r="F81" s="1">
        <f t="shared" si="2"/>
        <v>1518.796992481203</v>
      </c>
      <c r="AN81" s="1" t="s">
        <v>16</v>
      </c>
    </row>
    <row r="82" spans="1:43" x14ac:dyDescent="0.2">
      <c r="C82" s="1">
        <v>2869</v>
      </c>
      <c r="D82" s="1">
        <v>1810</v>
      </c>
      <c r="F82" s="1">
        <f t="shared" si="2"/>
        <v>1585.0828729281768</v>
      </c>
      <c r="AN82" s="1" t="s">
        <v>17</v>
      </c>
      <c r="AO82" s="1">
        <v>1860</v>
      </c>
      <c r="AQ82" s="1">
        <v>1588.1720430107528</v>
      </c>
    </row>
    <row r="83" spans="1:43" x14ac:dyDescent="0.2">
      <c r="C83" s="1">
        <v>289</v>
      </c>
      <c r="D83" s="1">
        <v>103</v>
      </c>
      <c r="F83" s="1">
        <f t="shared" si="2"/>
        <v>2805.8252427184466</v>
      </c>
      <c r="AN83" s="1" t="s">
        <v>18</v>
      </c>
    </row>
    <row r="84" spans="1:43" x14ac:dyDescent="0.2">
      <c r="B84" s="1" t="s">
        <v>321</v>
      </c>
      <c r="C84" s="1">
        <v>1957</v>
      </c>
      <c r="D84" s="1">
        <v>1032</v>
      </c>
      <c r="F84" s="1">
        <f t="shared" si="2"/>
        <v>1896.3178294573643</v>
      </c>
      <c r="AN84" s="1" t="s">
        <v>19</v>
      </c>
      <c r="AO84" s="1">
        <v>1810</v>
      </c>
      <c r="AQ84" s="1">
        <v>1585.0828729281768</v>
      </c>
    </row>
    <row r="85" spans="1:43" x14ac:dyDescent="0.2">
      <c r="C85" s="1">
        <v>1007</v>
      </c>
      <c r="D85" s="1">
        <v>449</v>
      </c>
      <c r="F85" s="1">
        <f t="shared" si="2"/>
        <v>2242.7616926503342</v>
      </c>
      <c r="AN85" s="1" t="s">
        <v>20</v>
      </c>
    </row>
    <row r="86" spans="1:43" x14ac:dyDescent="0.2">
      <c r="C86" s="224">
        <v>18280</v>
      </c>
      <c r="D86" s="224">
        <v>11263</v>
      </c>
      <c r="F86" s="1">
        <f t="shared" si="2"/>
        <v>1623.013406730001</v>
      </c>
      <c r="AN86" s="1" t="s">
        <v>21</v>
      </c>
      <c r="AO86" s="1">
        <v>1032</v>
      </c>
      <c r="AQ86" s="1">
        <v>1896.3178294573643</v>
      </c>
    </row>
    <row r="87" spans="1:43" x14ac:dyDescent="0.2">
      <c r="A87" s="1">
        <v>2010</v>
      </c>
      <c r="C87" s="1">
        <v>774</v>
      </c>
      <c r="D87" s="1">
        <v>488</v>
      </c>
      <c r="F87" s="1">
        <f t="shared" si="2"/>
        <v>1586.0655737704917</v>
      </c>
      <c r="AN87" s="1" t="s">
        <v>22</v>
      </c>
    </row>
    <row r="88" spans="1:43" ht="20.25" thickBot="1" x14ac:dyDescent="0.35">
      <c r="A88" s="1" t="s">
        <v>41</v>
      </c>
      <c r="B88" s="1">
        <f>SUM(C87:C102)</f>
        <v>45283</v>
      </c>
      <c r="C88" s="1">
        <v>1421</v>
      </c>
      <c r="D88" s="1">
        <v>943</v>
      </c>
      <c r="F88" s="1">
        <f t="shared" si="2"/>
        <v>1506.8928950159068</v>
      </c>
      <c r="H88" s="120" t="s">
        <v>64</v>
      </c>
      <c r="AN88" s="1" t="s">
        <v>23</v>
      </c>
      <c r="AO88" s="1">
        <v>11263</v>
      </c>
      <c r="AQ88" s="1">
        <v>1623.013406730001</v>
      </c>
    </row>
    <row r="89" spans="1:43" ht="16.5" thickTop="1" x14ac:dyDescent="0.25">
      <c r="A89" s="1" t="s">
        <v>42</v>
      </c>
      <c r="B89" s="1">
        <v>45283</v>
      </c>
      <c r="C89" s="1">
        <v>3895</v>
      </c>
      <c r="D89" s="1">
        <v>2502</v>
      </c>
      <c r="F89" s="1">
        <f t="shared" si="2"/>
        <v>1556.7545963229416</v>
      </c>
      <c r="H89" s="5" t="s">
        <v>53</v>
      </c>
      <c r="AN89" s="1" t="s">
        <v>8</v>
      </c>
    </row>
    <row r="90" spans="1:43" x14ac:dyDescent="0.2">
      <c r="C90" s="1">
        <v>1305</v>
      </c>
      <c r="D90" s="1">
        <v>580</v>
      </c>
      <c r="F90" s="1">
        <f t="shared" si="2"/>
        <v>2250</v>
      </c>
      <c r="AN90" s="1" t="s">
        <v>9</v>
      </c>
      <c r="AO90" s="1">
        <v>943</v>
      </c>
      <c r="AQ90" s="1">
        <v>1506.8928950159068</v>
      </c>
    </row>
    <row r="91" spans="1:43" x14ac:dyDescent="0.2">
      <c r="C91" s="1">
        <v>906</v>
      </c>
      <c r="D91" s="1">
        <v>475</v>
      </c>
      <c r="F91" s="1">
        <f t="shared" si="2"/>
        <v>1907.3684210526317</v>
      </c>
      <c r="H91" s="24" t="s">
        <v>61</v>
      </c>
      <c r="AN91" s="1" t="s">
        <v>10</v>
      </c>
      <c r="AO91" s="1">
        <v>2502</v>
      </c>
      <c r="AQ91" s="1">
        <v>1556.7545963229416</v>
      </c>
    </row>
    <row r="92" spans="1:43" x14ac:dyDescent="0.2">
      <c r="C92" s="1">
        <v>2124</v>
      </c>
      <c r="D92" s="1">
        <v>1508</v>
      </c>
      <c r="F92" s="1">
        <f t="shared" si="2"/>
        <v>1408.4880636604776</v>
      </c>
      <c r="AN92" s="1" t="s">
        <v>11</v>
      </c>
    </row>
    <row r="93" spans="1:43" x14ac:dyDescent="0.2">
      <c r="C93" s="1">
        <v>6566</v>
      </c>
      <c r="D93" s="1">
        <v>4098</v>
      </c>
      <c r="F93" s="1">
        <f t="shared" si="2"/>
        <v>1602.2449975597854</v>
      </c>
      <c r="AN93" s="1" t="s">
        <v>12</v>
      </c>
    </row>
    <row r="94" spans="1:43" x14ac:dyDescent="0.2">
      <c r="C94" s="1">
        <v>708</v>
      </c>
      <c r="D94" s="1">
        <v>364</v>
      </c>
      <c r="F94" s="1">
        <f t="shared" si="2"/>
        <v>1945.0549450549452</v>
      </c>
      <c r="AN94" s="1" t="s">
        <v>13</v>
      </c>
      <c r="AO94" s="1">
        <v>1508</v>
      </c>
      <c r="AQ94" s="1">
        <v>1408.4880636604776</v>
      </c>
    </row>
    <row r="95" spans="1:43" x14ac:dyDescent="0.2">
      <c r="C95" s="1">
        <v>775</v>
      </c>
      <c r="D95" s="1">
        <v>259</v>
      </c>
      <c r="F95" s="1">
        <f t="shared" si="2"/>
        <v>2992.2779922779923</v>
      </c>
      <c r="AN95" s="1" t="s">
        <v>14</v>
      </c>
      <c r="AO95" s="1">
        <v>4098</v>
      </c>
      <c r="AQ95" s="1">
        <v>1602.2449975597854</v>
      </c>
    </row>
    <row r="96" spans="1:43" x14ac:dyDescent="0.2">
      <c r="C96" s="1">
        <v>2443</v>
      </c>
      <c r="D96" s="1">
        <v>1814</v>
      </c>
      <c r="F96" s="1">
        <f t="shared" si="2"/>
        <v>1346.7475192943771</v>
      </c>
      <c r="AN96" s="1" t="s">
        <v>15</v>
      </c>
    </row>
    <row r="97" spans="2:43" x14ac:dyDescent="0.2">
      <c r="C97" s="1">
        <v>510</v>
      </c>
      <c r="D97" s="1">
        <v>394</v>
      </c>
      <c r="F97" s="1">
        <f t="shared" si="2"/>
        <v>1294.4162436548224</v>
      </c>
      <c r="AN97" s="1" t="s">
        <v>16</v>
      </c>
    </row>
    <row r="98" spans="2:43" x14ac:dyDescent="0.2">
      <c r="C98" s="1">
        <v>2686</v>
      </c>
      <c r="D98" s="1">
        <v>1802</v>
      </c>
      <c r="F98" s="1">
        <f t="shared" si="2"/>
        <v>1490.566037735849</v>
      </c>
      <c r="AN98" s="1" t="s">
        <v>17</v>
      </c>
      <c r="AO98" s="1">
        <v>1814</v>
      </c>
      <c r="AQ98" s="1">
        <v>1346.7475192943771</v>
      </c>
    </row>
    <row r="99" spans="2:43" x14ac:dyDescent="0.2">
      <c r="C99" s="1">
        <v>273</v>
      </c>
      <c r="D99" s="1">
        <v>119</v>
      </c>
      <c r="F99" s="1">
        <f t="shared" si="2"/>
        <v>2294.1176470588234</v>
      </c>
      <c r="AN99" s="1" t="s">
        <v>18</v>
      </c>
    </row>
    <row r="100" spans="2:43" x14ac:dyDescent="0.2">
      <c r="B100" s="1" t="s">
        <v>321</v>
      </c>
      <c r="C100" s="1">
        <v>1628</v>
      </c>
      <c r="D100" s="1">
        <v>1019</v>
      </c>
      <c r="F100" s="1">
        <f t="shared" si="2"/>
        <v>1597.6447497546615</v>
      </c>
      <c r="AN100" s="1" t="s">
        <v>19</v>
      </c>
      <c r="AO100" s="1">
        <v>1802</v>
      </c>
      <c r="AQ100" s="1">
        <v>1490.566037735849</v>
      </c>
    </row>
    <row r="101" spans="2:43" x14ac:dyDescent="0.2">
      <c r="C101" s="1">
        <v>860</v>
      </c>
      <c r="D101" s="1">
        <v>452</v>
      </c>
      <c r="F101" s="1">
        <f t="shared" si="2"/>
        <v>1902.6548672566371</v>
      </c>
      <c r="AN101" s="1" t="s">
        <v>20</v>
      </c>
    </row>
    <row r="102" spans="2:43" x14ac:dyDescent="0.2">
      <c r="C102" s="1">
        <v>18409</v>
      </c>
      <c r="D102" s="1">
        <v>11190</v>
      </c>
      <c r="F102" s="1">
        <f t="shared" si="2"/>
        <v>1645.1295799821269</v>
      </c>
      <c r="AN102" s="1" t="s">
        <v>21</v>
      </c>
      <c r="AO102" s="1">
        <v>1019</v>
      </c>
      <c r="AQ102" s="1">
        <v>1597.6447497546615</v>
      </c>
    </row>
    <row r="103" spans="2:43" x14ac:dyDescent="0.2">
      <c r="AN103" s="1" t="s">
        <v>22</v>
      </c>
    </row>
    <row r="104" spans="2:43" x14ac:dyDescent="0.2">
      <c r="AN104" s="1" t="s">
        <v>23</v>
      </c>
      <c r="AO104" s="1">
        <v>11190</v>
      </c>
      <c r="AQ104" s="1">
        <v>1645.1295799821269</v>
      </c>
    </row>
    <row r="110" spans="2:43" ht="20.25" thickBot="1" x14ac:dyDescent="0.35">
      <c r="AO110" s="120" t="s">
        <v>322</v>
      </c>
    </row>
    <row r="111" spans="2:43" ht="15.75" thickTop="1" x14ac:dyDescent="0.2"/>
    <row r="114" spans="40:43" x14ac:dyDescent="0.2">
      <c r="AO114" s="1" t="s">
        <v>43</v>
      </c>
      <c r="AQ114" s="1" t="s">
        <v>45</v>
      </c>
    </row>
    <row r="115" spans="40:43" ht="15.75" x14ac:dyDescent="0.25">
      <c r="AN115" s="5" t="s">
        <v>8</v>
      </c>
    </row>
    <row r="116" spans="40:43" ht="15.75" x14ac:dyDescent="0.25">
      <c r="AN116" s="5" t="s">
        <v>9</v>
      </c>
      <c r="AO116" s="1">
        <v>947</v>
      </c>
      <c r="AQ116" s="1">
        <v>1740.232312565998</v>
      </c>
    </row>
    <row r="117" spans="40:43" ht="15.75" x14ac:dyDescent="0.25">
      <c r="AN117" s="5" t="s">
        <v>10</v>
      </c>
      <c r="AO117" s="1">
        <v>2520</v>
      </c>
      <c r="AQ117" s="1">
        <v>1760.7142857142858</v>
      </c>
    </row>
    <row r="118" spans="40:43" ht="15.75" x14ac:dyDescent="0.25">
      <c r="AN118" s="5" t="s">
        <v>11</v>
      </c>
    </row>
    <row r="119" spans="40:43" ht="15.75" x14ac:dyDescent="0.25">
      <c r="AN119" s="5" t="s">
        <v>12</v>
      </c>
      <c r="AO119" s="1">
        <v>500</v>
      </c>
      <c r="AQ119" s="1">
        <v>1636</v>
      </c>
    </row>
    <row r="120" spans="40:43" ht="15.75" x14ac:dyDescent="0.25">
      <c r="AN120" s="5" t="s">
        <v>13</v>
      </c>
      <c r="AO120" s="1">
        <v>1540</v>
      </c>
      <c r="AQ120" s="1">
        <v>1726.6233766233765</v>
      </c>
    </row>
    <row r="121" spans="40:43" ht="15.75" x14ac:dyDescent="0.25">
      <c r="AN121" s="5" t="s">
        <v>14</v>
      </c>
      <c r="AO121" s="1">
        <v>4424</v>
      </c>
      <c r="AQ121" s="1">
        <v>1636.3019891500903</v>
      </c>
    </row>
    <row r="122" spans="40:43" ht="15.75" x14ac:dyDescent="0.25">
      <c r="AN122" s="5" t="s">
        <v>15</v>
      </c>
    </row>
    <row r="123" spans="40:43" ht="15.75" x14ac:dyDescent="0.25">
      <c r="AN123" s="5" t="s">
        <v>16</v>
      </c>
    </row>
    <row r="124" spans="40:43" ht="15.75" x14ac:dyDescent="0.25">
      <c r="AN124" s="5" t="s">
        <v>17</v>
      </c>
      <c r="AO124" s="1">
        <v>1926</v>
      </c>
      <c r="AQ124" s="1">
        <v>1347.871235721703</v>
      </c>
    </row>
    <row r="125" spans="40:43" ht="15.75" x14ac:dyDescent="0.25">
      <c r="AN125" s="5" t="s">
        <v>18</v>
      </c>
      <c r="AO125" s="1">
        <v>413</v>
      </c>
      <c r="AQ125" s="1">
        <v>2002.4213075060534</v>
      </c>
    </row>
    <row r="126" spans="40:43" ht="15.75" x14ac:dyDescent="0.25">
      <c r="AN126" s="5" t="s">
        <v>19</v>
      </c>
      <c r="AO126" s="1">
        <v>1813</v>
      </c>
      <c r="AQ126" s="1">
        <v>1795.9183673469388</v>
      </c>
    </row>
    <row r="127" spans="40:43" ht="15.75" x14ac:dyDescent="0.25">
      <c r="AN127" s="5" t="s">
        <v>20</v>
      </c>
    </row>
    <row r="128" spans="40:43" ht="15.75" x14ac:dyDescent="0.25">
      <c r="AN128" s="5" t="s">
        <v>21</v>
      </c>
      <c r="AO128" s="1">
        <v>1029</v>
      </c>
      <c r="AQ128" s="1">
        <v>2014.5772594752186</v>
      </c>
    </row>
    <row r="129" spans="40:43" ht="15.75" x14ac:dyDescent="0.25">
      <c r="AN129" s="5" t="s">
        <v>22</v>
      </c>
    </row>
    <row r="130" spans="40:43" ht="15.75" x14ac:dyDescent="0.25">
      <c r="AN130" s="290" t="s">
        <v>23</v>
      </c>
      <c r="AO130" s="224">
        <v>11393</v>
      </c>
      <c r="AP130" s="224"/>
      <c r="AQ130" s="224">
        <v>1598.5254103396824</v>
      </c>
    </row>
    <row r="131" spans="40:43" ht="15.75" x14ac:dyDescent="0.25">
      <c r="AN131" s="5" t="s">
        <v>8</v>
      </c>
    </row>
    <row r="132" spans="40:43" ht="15.75" x14ac:dyDescent="0.25">
      <c r="AN132" s="5" t="s">
        <v>9</v>
      </c>
      <c r="AO132" s="1">
        <v>960</v>
      </c>
      <c r="AQ132" s="1">
        <v>1731.25</v>
      </c>
    </row>
    <row r="133" spans="40:43" ht="15.75" x14ac:dyDescent="0.25">
      <c r="AN133" s="5" t="s">
        <v>10</v>
      </c>
      <c r="AO133" s="1">
        <v>2531</v>
      </c>
      <c r="AQ133" s="1">
        <v>1736.4677992888187</v>
      </c>
    </row>
    <row r="134" spans="40:43" ht="15.75" x14ac:dyDescent="0.25">
      <c r="AN134" s="5" t="s">
        <v>11</v>
      </c>
    </row>
    <row r="135" spans="40:43" ht="15.75" x14ac:dyDescent="0.25">
      <c r="AN135" s="5" t="s">
        <v>12</v>
      </c>
      <c r="AO135" s="1">
        <v>495</v>
      </c>
      <c r="AQ135" s="1">
        <v>1911.1111111111111</v>
      </c>
    </row>
    <row r="136" spans="40:43" ht="15.75" x14ac:dyDescent="0.25">
      <c r="AN136" s="5" t="s">
        <v>13</v>
      </c>
      <c r="AO136" s="1">
        <v>1522</v>
      </c>
      <c r="AQ136" s="1">
        <v>1622.8646517739817</v>
      </c>
    </row>
    <row r="137" spans="40:43" ht="15.75" x14ac:dyDescent="0.25">
      <c r="AN137" s="5" t="s">
        <v>14</v>
      </c>
      <c r="AO137" s="1">
        <v>4355</v>
      </c>
      <c r="AQ137" s="1">
        <v>1619.2881745120551</v>
      </c>
    </row>
    <row r="138" spans="40:43" ht="15.75" x14ac:dyDescent="0.25">
      <c r="AN138" s="5" t="s">
        <v>15</v>
      </c>
    </row>
    <row r="139" spans="40:43" ht="15.75" x14ac:dyDescent="0.25">
      <c r="AN139" s="5" t="s">
        <v>16</v>
      </c>
    </row>
    <row r="140" spans="40:43" ht="15.75" x14ac:dyDescent="0.25">
      <c r="AN140" s="5" t="s">
        <v>17</v>
      </c>
      <c r="AO140" s="1">
        <v>1883</v>
      </c>
      <c r="AQ140" s="1">
        <v>1296.3356346255975</v>
      </c>
    </row>
    <row r="141" spans="40:43" ht="15.75" x14ac:dyDescent="0.25">
      <c r="AN141" s="5" t="s">
        <v>18</v>
      </c>
      <c r="AO141" s="1">
        <v>392</v>
      </c>
      <c r="AQ141" s="1">
        <v>1956.6326530612246</v>
      </c>
    </row>
    <row r="142" spans="40:43" ht="15.75" x14ac:dyDescent="0.25">
      <c r="AN142" s="5" t="s">
        <v>19</v>
      </c>
      <c r="AO142" s="1">
        <v>1823</v>
      </c>
      <c r="AQ142" s="1">
        <v>1763.0279758639606</v>
      </c>
    </row>
    <row r="143" spans="40:43" ht="15.75" x14ac:dyDescent="0.25">
      <c r="AN143" s="5" t="s">
        <v>20</v>
      </c>
    </row>
    <row r="144" spans="40:43" ht="15.75" x14ac:dyDescent="0.25">
      <c r="AN144" s="5" t="s">
        <v>21</v>
      </c>
      <c r="AO144" s="1">
        <v>1035</v>
      </c>
      <c r="AQ144" s="1">
        <v>2340.0966183574878</v>
      </c>
    </row>
    <row r="145" spans="1:43" ht="15.75" x14ac:dyDescent="0.25">
      <c r="AN145" s="6" t="s">
        <v>22</v>
      </c>
      <c r="AO145" s="9"/>
      <c r="AP145" s="9"/>
      <c r="AQ145" s="9"/>
    </row>
    <row r="146" spans="1:43" ht="15.75" x14ac:dyDescent="0.25">
      <c r="AN146" s="290" t="s">
        <v>23</v>
      </c>
      <c r="AO146" s="224">
        <v>11346</v>
      </c>
      <c r="AP146" s="224"/>
      <c r="AQ146" s="224">
        <v>1638.7273047770138</v>
      </c>
    </row>
    <row r="147" spans="1:43" ht="15.75" x14ac:dyDescent="0.25">
      <c r="AN147" s="5" t="s">
        <v>8</v>
      </c>
    </row>
    <row r="148" spans="1:43" ht="15.75" x14ac:dyDescent="0.25">
      <c r="AN148" s="5" t="s">
        <v>9</v>
      </c>
      <c r="AO148" s="1">
        <v>978</v>
      </c>
      <c r="AQ148" s="1">
        <v>1944.7852760736196</v>
      </c>
    </row>
    <row r="149" spans="1:43" ht="15.75" x14ac:dyDescent="0.25">
      <c r="AN149" s="5" t="s">
        <v>10</v>
      </c>
      <c r="AO149" s="1">
        <v>2527</v>
      </c>
      <c r="AQ149" s="1">
        <v>1681.8361693707955</v>
      </c>
    </row>
    <row r="150" spans="1:43" ht="15.75" x14ac:dyDescent="0.25">
      <c r="AN150" s="5" t="s">
        <v>11</v>
      </c>
    </row>
    <row r="151" spans="1:43" ht="16.5" thickBot="1" x14ac:dyDescent="0.3">
      <c r="H151" s="234" t="s">
        <v>323</v>
      </c>
      <c r="AN151" s="5" t="s">
        <v>12</v>
      </c>
      <c r="AO151" s="1">
        <v>492</v>
      </c>
      <c r="AQ151" s="1">
        <v>1463.4146341463415</v>
      </c>
    </row>
    <row r="152" spans="1:43" ht="15.75" x14ac:dyDescent="0.25">
      <c r="AN152" s="5" t="s">
        <v>13</v>
      </c>
      <c r="AO152" s="1">
        <v>1526</v>
      </c>
      <c r="AQ152" s="1">
        <v>1503.9318479685453</v>
      </c>
    </row>
    <row r="153" spans="1:43" ht="15.75" x14ac:dyDescent="0.25">
      <c r="AN153" s="5" t="s">
        <v>14</v>
      </c>
      <c r="AO153" s="1">
        <v>4249</v>
      </c>
      <c r="AQ153" s="1">
        <v>1568.6043775005883</v>
      </c>
    </row>
    <row r="154" spans="1:43" ht="15.75" x14ac:dyDescent="0.25">
      <c r="AN154" s="5" t="s">
        <v>15</v>
      </c>
    </row>
    <row r="155" spans="1:43" ht="15.75" x14ac:dyDescent="0.25">
      <c r="AN155" s="5" t="s">
        <v>16</v>
      </c>
    </row>
    <row r="156" spans="1:43" ht="15.75" x14ac:dyDescent="0.25">
      <c r="A156" s="1" t="s">
        <v>324</v>
      </c>
      <c r="AN156" s="5" t="s">
        <v>17</v>
      </c>
      <c r="AO156" s="1">
        <v>1860</v>
      </c>
      <c r="AQ156" s="1">
        <v>1588.1720430107528</v>
      </c>
    </row>
    <row r="157" spans="1:43" ht="15.75" x14ac:dyDescent="0.25">
      <c r="A157" s="1" t="s">
        <v>276</v>
      </c>
      <c r="B157" s="1" t="s">
        <v>277</v>
      </c>
      <c r="C157" s="1" t="s">
        <v>278</v>
      </c>
      <c r="H157" s="1" t="s">
        <v>43</v>
      </c>
      <c r="I157" s="1" t="s">
        <v>325</v>
      </c>
      <c r="J157" s="1" t="s">
        <v>45</v>
      </c>
      <c r="AN157" s="5" t="s">
        <v>18</v>
      </c>
      <c r="AO157" s="1">
        <v>399</v>
      </c>
      <c r="AQ157" s="1">
        <v>1518.796992481203</v>
      </c>
    </row>
    <row r="158" spans="1:43" ht="15.75" x14ac:dyDescent="0.25">
      <c r="A158" s="1">
        <v>475</v>
      </c>
      <c r="B158" s="1">
        <v>1020</v>
      </c>
      <c r="C158" s="1">
        <v>2147.3684210526317</v>
      </c>
      <c r="G158" s="1" t="s">
        <v>8</v>
      </c>
      <c r="H158" s="1">
        <v>475</v>
      </c>
      <c r="I158" s="1">
        <v>230</v>
      </c>
      <c r="AN158" s="5" t="s">
        <v>19</v>
      </c>
      <c r="AO158" s="1">
        <v>1810</v>
      </c>
      <c r="AQ158" s="1">
        <v>1585.0828729281768</v>
      </c>
    </row>
    <row r="159" spans="1:43" ht="15.75" x14ac:dyDescent="0.25">
      <c r="A159" s="1">
        <v>947</v>
      </c>
      <c r="B159" s="1">
        <v>2566</v>
      </c>
      <c r="C159" s="1">
        <v>2709.6092925026401</v>
      </c>
      <c r="G159" s="1" t="s">
        <v>9</v>
      </c>
      <c r="H159" s="1">
        <v>947</v>
      </c>
      <c r="I159" s="1">
        <v>918</v>
      </c>
      <c r="J159" s="1">
        <f t="shared" ref="J159:J221" si="3">I159*1000/H159</f>
        <v>969.37697993664199</v>
      </c>
      <c r="AN159" s="5" t="s">
        <v>20</v>
      </c>
    </row>
    <row r="160" spans="1:43" ht="15.75" x14ac:dyDescent="0.25">
      <c r="A160" s="1">
        <v>2520</v>
      </c>
      <c r="B160" s="1">
        <v>5880</v>
      </c>
      <c r="C160" s="1">
        <v>2333.3333333333335</v>
      </c>
      <c r="G160" s="1" t="s">
        <v>10</v>
      </c>
      <c r="H160" s="1">
        <v>2520</v>
      </c>
      <c r="I160" s="1">
        <v>1443</v>
      </c>
      <c r="J160" s="1">
        <f t="shared" si="3"/>
        <v>572.61904761904759</v>
      </c>
      <c r="AN160" s="5" t="s">
        <v>21</v>
      </c>
      <c r="AO160" s="1">
        <v>1032</v>
      </c>
      <c r="AQ160" s="1">
        <v>1896.3178294573643</v>
      </c>
    </row>
    <row r="161" spans="1:43" ht="15.75" x14ac:dyDescent="0.25">
      <c r="A161" s="1">
        <v>572</v>
      </c>
      <c r="B161" s="1">
        <v>1509</v>
      </c>
      <c r="C161" s="1">
        <v>2638.1118881118882</v>
      </c>
      <c r="G161" s="1" t="s">
        <v>11</v>
      </c>
      <c r="H161" s="1">
        <v>572</v>
      </c>
      <c r="I161" s="1">
        <v>147</v>
      </c>
      <c r="AN161" s="5" t="s">
        <v>22</v>
      </c>
    </row>
    <row r="162" spans="1:43" ht="15.75" x14ac:dyDescent="0.25">
      <c r="A162" s="1">
        <v>500</v>
      </c>
      <c r="B162" s="1">
        <v>1469</v>
      </c>
      <c r="C162" s="1">
        <v>2938</v>
      </c>
      <c r="G162" s="1" t="s">
        <v>12</v>
      </c>
      <c r="H162" s="1">
        <v>500</v>
      </c>
      <c r="I162" s="1">
        <v>651</v>
      </c>
      <c r="J162" s="1">
        <f t="shared" si="3"/>
        <v>1302</v>
      </c>
      <c r="AN162" s="290" t="s">
        <v>23</v>
      </c>
      <c r="AO162" s="224">
        <v>11263</v>
      </c>
      <c r="AP162" s="224"/>
      <c r="AQ162" s="224">
        <v>1623.013406730001</v>
      </c>
    </row>
    <row r="163" spans="1:43" ht="15.75" x14ac:dyDescent="0.25">
      <c r="A163" s="1">
        <v>1540</v>
      </c>
      <c r="B163" s="1">
        <v>3629</v>
      </c>
      <c r="C163" s="1">
        <v>2356.4935064935066</v>
      </c>
      <c r="G163" s="1" t="s">
        <v>13</v>
      </c>
      <c r="H163" s="1">
        <v>1540</v>
      </c>
      <c r="I163" s="1">
        <v>970</v>
      </c>
      <c r="J163" s="1">
        <f t="shared" si="3"/>
        <v>629.87012987012986</v>
      </c>
      <c r="AN163" s="5" t="s">
        <v>8</v>
      </c>
    </row>
    <row r="164" spans="1:43" ht="15.75" x14ac:dyDescent="0.25">
      <c r="A164" s="1">
        <v>4424</v>
      </c>
      <c r="B164" s="1">
        <v>9387</v>
      </c>
      <c r="C164" s="1">
        <v>2121.8354430379745</v>
      </c>
      <c r="G164" s="1" t="s">
        <v>14</v>
      </c>
      <c r="H164" s="1">
        <v>4424</v>
      </c>
      <c r="I164" s="1">
        <v>2148</v>
      </c>
      <c r="J164" s="1">
        <f t="shared" si="3"/>
        <v>485.53345388788426</v>
      </c>
      <c r="AN164" s="5" t="s">
        <v>9</v>
      </c>
      <c r="AO164" s="1">
        <v>943</v>
      </c>
      <c r="AQ164" s="1">
        <v>1506.8928950159068</v>
      </c>
    </row>
    <row r="165" spans="1:43" ht="15.75" x14ac:dyDescent="0.25">
      <c r="A165" s="1">
        <v>330</v>
      </c>
      <c r="B165" s="1">
        <v>898</v>
      </c>
      <c r="C165" s="1">
        <v>2721.212121212121</v>
      </c>
      <c r="G165" s="1" t="s">
        <v>15</v>
      </c>
      <c r="H165" s="1">
        <v>330</v>
      </c>
      <c r="I165" s="1">
        <v>105</v>
      </c>
      <c r="J165" s="1">
        <f t="shared" si="3"/>
        <v>318.18181818181819</v>
      </c>
      <c r="AN165" s="5" t="s">
        <v>10</v>
      </c>
      <c r="AO165" s="1">
        <v>2502</v>
      </c>
      <c r="AQ165" s="1">
        <v>1556.7545963229416</v>
      </c>
    </row>
    <row r="166" spans="1:43" ht="15.75" x14ac:dyDescent="0.25">
      <c r="A166" s="1">
        <v>251</v>
      </c>
      <c r="B166" s="1">
        <v>846</v>
      </c>
      <c r="C166" s="1">
        <v>3370.5179282868526</v>
      </c>
      <c r="G166" s="1" t="s">
        <v>16</v>
      </c>
      <c r="H166" s="1">
        <v>251</v>
      </c>
      <c r="I166" s="1">
        <v>30</v>
      </c>
      <c r="AN166" s="5" t="s">
        <v>11</v>
      </c>
    </row>
    <row r="167" spans="1:43" ht="15.75" x14ac:dyDescent="0.25">
      <c r="A167" s="1">
        <v>1926</v>
      </c>
      <c r="B167" s="1">
        <v>3720</v>
      </c>
      <c r="C167" s="1">
        <v>1931.4641744548287</v>
      </c>
      <c r="G167" s="1" t="s">
        <v>17</v>
      </c>
      <c r="H167" s="1">
        <v>1926</v>
      </c>
      <c r="I167" s="1">
        <v>1124</v>
      </c>
      <c r="J167" s="1">
        <f t="shared" si="3"/>
        <v>583.59293873312561</v>
      </c>
      <c r="AN167" s="5" t="s">
        <v>12</v>
      </c>
      <c r="AO167" s="1">
        <v>475</v>
      </c>
      <c r="AQ167" s="1">
        <v>1907.3684210526317</v>
      </c>
    </row>
    <row r="168" spans="1:43" ht="15.75" x14ac:dyDescent="0.25">
      <c r="A168" s="1">
        <v>413</v>
      </c>
      <c r="B168" s="1">
        <v>979</v>
      </c>
      <c r="C168" s="1">
        <v>2370.46004842615</v>
      </c>
      <c r="G168" s="1" t="s">
        <v>18</v>
      </c>
      <c r="H168" s="1">
        <v>413</v>
      </c>
      <c r="I168" s="1">
        <v>152</v>
      </c>
      <c r="J168" s="1">
        <f t="shared" si="3"/>
        <v>368.03874092009687</v>
      </c>
      <c r="AN168" s="5" t="s">
        <v>13</v>
      </c>
      <c r="AO168" s="1">
        <v>1508</v>
      </c>
      <c r="AQ168" s="1">
        <v>1408.4880636604776</v>
      </c>
    </row>
    <row r="169" spans="1:43" ht="15.75" x14ac:dyDescent="0.25">
      <c r="A169" s="1">
        <v>1813</v>
      </c>
      <c r="B169" s="1">
        <v>3966</v>
      </c>
      <c r="C169" s="1">
        <v>2187.5344732487588</v>
      </c>
      <c r="G169" s="1" t="s">
        <v>19</v>
      </c>
      <c r="H169" s="1">
        <v>1813</v>
      </c>
      <c r="I169" s="1">
        <v>710</v>
      </c>
      <c r="J169" s="1">
        <f t="shared" si="3"/>
        <v>391.61610590182016</v>
      </c>
      <c r="AN169" s="5" t="s">
        <v>14</v>
      </c>
      <c r="AO169" s="1">
        <v>4098</v>
      </c>
      <c r="AQ169" s="1">
        <v>1602.2449975597854</v>
      </c>
    </row>
    <row r="170" spans="1:43" ht="15.75" x14ac:dyDescent="0.25">
      <c r="A170" s="1">
        <v>100</v>
      </c>
      <c r="B170" s="1">
        <v>313</v>
      </c>
      <c r="C170" s="1">
        <v>3130</v>
      </c>
      <c r="G170" s="1" t="s">
        <v>20</v>
      </c>
      <c r="H170" s="1">
        <v>100</v>
      </c>
      <c r="I170" s="1">
        <v>2</v>
      </c>
      <c r="AN170" s="5" t="s">
        <v>15</v>
      </c>
    </row>
    <row r="171" spans="1:43" ht="15.75" x14ac:dyDescent="0.25">
      <c r="A171" s="1">
        <v>1029</v>
      </c>
      <c r="B171" s="1">
        <v>3143</v>
      </c>
      <c r="C171" s="1">
        <v>3054.4217687074829</v>
      </c>
      <c r="G171" s="1" t="s">
        <v>21</v>
      </c>
      <c r="H171" s="1">
        <v>1029</v>
      </c>
      <c r="I171" s="1">
        <v>1070</v>
      </c>
      <c r="AN171" s="5" t="s">
        <v>16</v>
      </c>
    </row>
    <row r="172" spans="1:43" ht="15.75" x14ac:dyDescent="0.25">
      <c r="A172" s="1">
        <v>433</v>
      </c>
      <c r="B172" s="1">
        <v>1373</v>
      </c>
      <c r="C172" s="1">
        <v>3170.9006928406466</v>
      </c>
      <c r="G172" s="1" t="s">
        <v>22</v>
      </c>
      <c r="H172" s="1">
        <v>433</v>
      </c>
      <c r="I172" s="1">
        <v>87</v>
      </c>
      <c r="AN172" s="5" t="s">
        <v>17</v>
      </c>
      <c r="AO172" s="1">
        <v>1814</v>
      </c>
      <c r="AQ172" s="1">
        <v>1346.7475192943771</v>
      </c>
    </row>
    <row r="173" spans="1:43" ht="15.75" x14ac:dyDescent="0.25">
      <c r="A173" s="1">
        <v>11393</v>
      </c>
      <c r="B173" s="1">
        <v>27636</v>
      </c>
      <c r="C173" s="1">
        <v>2425.6999912226806</v>
      </c>
      <c r="G173" s="1" t="s">
        <v>23</v>
      </c>
      <c r="H173" s="224">
        <v>11393</v>
      </c>
      <c r="I173" s="224">
        <v>9424</v>
      </c>
      <c r="J173" s="224">
        <f t="shared" si="3"/>
        <v>827.17458088299838</v>
      </c>
      <c r="AN173" s="5" t="s">
        <v>18</v>
      </c>
      <c r="AO173" s="1">
        <v>394</v>
      </c>
      <c r="AQ173" s="1">
        <v>1294.4162436548224</v>
      </c>
    </row>
    <row r="174" spans="1:43" ht="15.75" x14ac:dyDescent="0.25">
      <c r="A174" s="1">
        <v>476</v>
      </c>
      <c r="B174" s="1">
        <v>1166</v>
      </c>
      <c r="C174" s="1">
        <v>2449.5798319327732</v>
      </c>
      <c r="G174" s="1" t="s">
        <v>8</v>
      </c>
      <c r="H174" s="1">
        <v>476</v>
      </c>
      <c r="I174" s="1">
        <v>258</v>
      </c>
      <c r="AN174" s="5" t="s">
        <v>19</v>
      </c>
      <c r="AO174" s="1">
        <v>1802</v>
      </c>
      <c r="AQ174" s="1">
        <v>1490.566037735849</v>
      </c>
    </row>
    <row r="175" spans="1:43" ht="15.75" x14ac:dyDescent="0.25">
      <c r="A175" s="1">
        <v>960</v>
      </c>
      <c r="B175" s="1">
        <v>2515</v>
      </c>
      <c r="C175" s="1">
        <v>2619.7916666666665</v>
      </c>
      <c r="G175" s="1" t="s">
        <v>9</v>
      </c>
      <c r="H175" s="1">
        <v>960</v>
      </c>
      <c r="I175" s="1">
        <v>853</v>
      </c>
      <c r="J175" s="1">
        <f t="shared" si="3"/>
        <v>888.54166666666663</v>
      </c>
      <c r="AN175" s="5" t="s">
        <v>20</v>
      </c>
    </row>
    <row r="176" spans="1:43" ht="15.75" x14ac:dyDescent="0.25">
      <c r="A176" s="1">
        <v>2531</v>
      </c>
      <c r="B176" s="1">
        <v>5852</v>
      </c>
      <c r="C176" s="1">
        <v>2312.129593046227</v>
      </c>
      <c r="G176" s="1" t="s">
        <v>10</v>
      </c>
      <c r="H176" s="1">
        <v>2531</v>
      </c>
      <c r="I176" s="1">
        <v>1457</v>
      </c>
      <c r="J176" s="1">
        <f t="shared" si="3"/>
        <v>575.66179375740819</v>
      </c>
      <c r="AN176" s="5" t="s">
        <v>21</v>
      </c>
      <c r="AO176" s="1">
        <v>1019</v>
      </c>
      <c r="AQ176" s="1">
        <v>1597.6447497546615</v>
      </c>
    </row>
    <row r="177" spans="1:43" ht="15.75" x14ac:dyDescent="0.25">
      <c r="A177" s="1">
        <v>578</v>
      </c>
      <c r="B177" s="1">
        <v>1755</v>
      </c>
      <c r="C177" s="1">
        <v>3036.332179930796</v>
      </c>
      <c r="G177" s="1" t="s">
        <v>11</v>
      </c>
      <c r="H177" s="1">
        <v>578</v>
      </c>
      <c r="I177" s="1">
        <v>361</v>
      </c>
      <c r="AN177" s="5" t="s">
        <v>22</v>
      </c>
    </row>
    <row r="178" spans="1:43" ht="15.75" x14ac:dyDescent="0.25">
      <c r="A178" s="1">
        <v>495</v>
      </c>
      <c r="B178" s="1">
        <v>1530</v>
      </c>
      <c r="C178" s="1">
        <v>3090.909090909091</v>
      </c>
      <c r="G178" s="1" t="s">
        <v>12</v>
      </c>
      <c r="H178" s="1">
        <v>495</v>
      </c>
      <c r="I178" s="1">
        <v>584</v>
      </c>
      <c r="J178" s="1">
        <f t="shared" si="3"/>
        <v>1179.7979797979799</v>
      </c>
      <c r="AN178" s="5" t="s">
        <v>23</v>
      </c>
      <c r="AO178" s="1">
        <v>11190</v>
      </c>
      <c r="AQ178" s="1">
        <v>1645.1295799821269</v>
      </c>
    </row>
    <row r="179" spans="1:43" x14ac:dyDescent="0.2">
      <c r="A179" s="1">
        <v>1522</v>
      </c>
      <c r="B179" s="1">
        <v>3403</v>
      </c>
      <c r="C179" s="1">
        <v>2235.8738501971093</v>
      </c>
      <c r="G179" s="1" t="s">
        <v>13</v>
      </c>
      <c r="H179" s="1">
        <v>1522</v>
      </c>
      <c r="I179" s="1">
        <v>933</v>
      </c>
      <c r="J179" s="1">
        <f t="shared" si="3"/>
        <v>613.00919842312749</v>
      </c>
    </row>
    <row r="180" spans="1:43" x14ac:dyDescent="0.2">
      <c r="A180" s="1">
        <v>4355</v>
      </c>
      <c r="B180" s="1">
        <v>9092</v>
      </c>
      <c r="C180" s="1">
        <v>2087.7152698048221</v>
      </c>
      <c r="G180" s="1" t="s">
        <v>14</v>
      </c>
      <c r="H180" s="1">
        <v>4355</v>
      </c>
      <c r="I180" s="1">
        <v>2040</v>
      </c>
      <c r="J180" s="1">
        <f t="shared" si="3"/>
        <v>468.42709529276692</v>
      </c>
    </row>
    <row r="181" spans="1:43" x14ac:dyDescent="0.2">
      <c r="A181" s="1">
        <v>338</v>
      </c>
      <c r="B181" s="1">
        <v>1039</v>
      </c>
      <c r="C181" s="1">
        <v>3073.9644970414201</v>
      </c>
      <c r="G181" s="1" t="s">
        <v>15</v>
      </c>
      <c r="H181" s="1">
        <v>338</v>
      </c>
      <c r="I181" s="1">
        <v>113</v>
      </c>
    </row>
    <row r="182" spans="1:43" x14ac:dyDescent="0.2">
      <c r="A182" s="1">
        <v>245</v>
      </c>
      <c r="B182" s="1">
        <v>871</v>
      </c>
      <c r="C182" s="1">
        <v>3555.1020408163267</v>
      </c>
      <c r="G182" s="1" t="s">
        <v>16</v>
      </c>
      <c r="H182" s="1">
        <v>245</v>
      </c>
      <c r="I182" s="1">
        <v>41</v>
      </c>
    </row>
    <row r="183" spans="1:43" x14ac:dyDescent="0.2">
      <c r="A183" s="1">
        <v>1883</v>
      </c>
      <c r="B183" s="1">
        <v>3803</v>
      </c>
      <c r="C183" s="1">
        <v>2019.6494954859268</v>
      </c>
      <c r="G183" s="1" t="s">
        <v>17</v>
      </c>
      <c r="H183" s="1">
        <v>1883</v>
      </c>
      <c r="I183" s="1">
        <v>1362</v>
      </c>
      <c r="J183" s="1">
        <f t="shared" si="3"/>
        <v>723.31386086032921</v>
      </c>
    </row>
    <row r="184" spans="1:43" x14ac:dyDescent="0.2">
      <c r="A184" s="1">
        <v>392</v>
      </c>
      <c r="B184" s="1">
        <v>981</v>
      </c>
      <c r="C184" s="1">
        <v>2502.5510204081634</v>
      </c>
      <c r="G184" s="1" t="s">
        <v>18</v>
      </c>
      <c r="H184" s="1">
        <v>392</v>
      </c>
      <c r="I184" s="1">
        <v>214</v>
      </c>
      <c r="J184" s="1">
        <f t="shared" si="3"/>
        <v>545.91836734693879</v>
      </c>
    </row>
    <row r="185" spans="1:43" x14ac:dyDescent="0.2">
      <c r="A185" s="1">
        <v>1823</v>
      </c>
      <c r="B185" s="1">
        <v>3888</v>
      </c>
      <c r="C185" s="1">
        <v>2132.7482172243554</v>
      </c>
      <c r="G185" s="1" t="s">
        <v>19</v>
      </c>
      <c r="H185" s="1">
        <v>1823</v>
      </c>
      <c r="I185" s="1">
        <v>674</v>
      </c>
      <c r="J185" s="1">
        <f t="shared" si="3"/>
        <v>369.72024136039494</v>
      </c>
    </row>
    <row r="186" spans="1:43" x14ac:dyDescent="0.2">
      <c r="A186" s="1">
        <v>101</v>
      </c>
      <c r="B186" s="1">
        <v>393</v>
      </c>
      <c r="C186" s="1">
        <v>3891.0891089108909</v>
      </c>
      <c r="G186" s="1" t="s">
        <v>20</v>
      </c>
      <c r="H186" s="1">
        <v>101</v>
      </c>
      <c r="I186" s="1">
        <v>4</v>
      </c>
    </row>
    <row r="187" spans="1:43" x14ac:dyDescent="0.2">
      <c r="A187" s="1">
        <v>1035</v>
      </c>
      <c r="B187" s="1">
        <v>3555</v>
      </c>
      <c r="C187" s="1">
        <v>3434.782608695652</v>
      </c>
      <c r="G187" s="1" t="s">
        <v>21</v>
      </c>
      <c r="H187" s="1">
        <v>1035</v>
      </c>
      <c r="I187" s="1">
        <v>1133</v>
      </c>
      <c r="J187" s="1">
        <f t="shared" si="3"/>
        <v>1094.6859903381642</v>
      </c>
    </row>
    <row r="188" spans="1:43" x14ac:dyDescent="0.2">
      <c r="A188" s="1">
        <v>422</v>
      </c>
      <c r="B188" s="1">
        <v>1325</v>
      </c>
      <c r="C188" s="1">
        <v>3139.8104265402844</v>
      </c>
      <c r="G188" s="1" t="s">
        <v>22</v>
      </c>
      <c r="H188" s="1">
        <v>422</v>
      </c>
      <c r="I188" s="1">
        <v>344</v>
      </c>
    </row>
    <row r="189" spans="1:43" x14ac:dyDescent="0.2">
      <c r="A189" s="1">
        <v>11346</v>
      </c>
      <c r="B189" s="1">
        <v>27656</v>
      </c>
      <c r="C189" s="1">
        <v>2437.5110170985367</v>
      </c>
      <c r="G189" s="1" t="s">
        <v>23</v>
      </c>
      <c r="H189" s="224">
        <v>11346</v>
      </c>
      <c r="I189" s="224">
        <v>9063</v>
      </c>
      <c r="J189" s="224">
        <f t="shared" si="3"/>
        <v>798.78371232152301</v>
      </c>
    </row>
    <row r="190" spans="1:43" x14ac:dyDescent="0.2">
      <c r="A190" s="1">
        <v>480</v>
      </c>
      <c r="B190" s="1">
        <v>983</v>
      </c>
      <c r="C190" s="1">
        <v>2047.9166666666667</v>
      </c>
      <c r="G190" s="1" t="s">
        <v>8</v>
      </c>
      <c r="H190" s="1">
        <v>480</v>
      </c>
      <c r="I190" s="1">
        <v>211</v>
      </c>
    </row>
    <row r="191" spans="1:43" x14ac:dyDescent="0.2">
      <c r="A191" s="1">
        <v>978</v>
      </c>
      <c r="B191" s="1">
        <v>2560</v>
      </c>
      <c r="C191" s="1">
        <v>2617.5869120654397</v>
      </c>
      <c r="G191" s="1" t="s">
        <v>9</v>
      </c>
      <c r="H191" s="1">
        <v>978</v>
      </c>
      <c r="I191" s="1">
        <v>658</v>
      </c>
      <c r="J191" s="1">
        <f t="shared" si="3"/>
        <v>672.80163599182004</v>
      </c>
    </row>
    <row r="192" spans="1:43" x14ac:dyDescent="0.2">
      <c r="A192" s="1">
        <v>2527</v>
      </c>
      <c r="B192" s="1">
        <v>5538</v>
      </c>
      <c r="C192" s="1">
        <v>2191.5314602295211</v>
      </c>
      <c r="G192" s="1" t="s">
        <v>10</v>
      </c>
      <c r="H192" s="1">
        <v>2527</v>
      </c>
      <c r="I192" s="1">
        <v>1288</v>
      </c>
      <c r="J192" s="1">
        <f t="shared" si="3"/>
        <v>509.69529085872574</v>
      </c>
    </row>
    <row r="193" spans="1:10" x14ac:dyDescent="0.2">
      <c r="A193" s="1">
        <v>577</v>
      </c>
      <c r="B193" s="1">
        <v>1524</v>
      </c>
      <c r="C193" s="1">
        <v>2641.2478336221839</v>
      </c>
      <c r="G193" s="1" t="s">
        <v>11</v>
      </c>
      <c r="H193" s="1">
        <v>577</v>
      </c>
      <c r="I193" s="1">
        <v>269</v>
      </c>
    </row>
    <row r="194" spans="1:10" x14ac:dyDescent="0.2">
      <c r="A194" s="1">
        <v>492</v>
      </c>
      <c r="B194" s="1">
        <v>1474</v>
      </c>
      <c r="C194" s="1">
        <v>2995.9349593495936</v>
      </c>
      <c r="G194" s="1" t="s">
        <v>12</v>
      </c>
      <c r="H194" s="1">
        <v>492</v>
      </c>
      <c r="I194" s="1">
        <v>754</v>
      </c>
      <c r="J194" s="1">
        <f t="shared" si="3"/>
        <v>1532.520325203252</v>
      </c>
    </row>
    <row r="195" spans="1:10" x14ac:dyDescent="0.2">
      <c r="A195" s="1">
        <v>1526</v>
      </c>
      <c r="B195" s="1">
        <v>3100</v>
      </c>
      <c r="C195" s="1">
        <v>2031.4547837483617</v>
      </c>
      <c r="G195" s="1" t="s">
        <v>13</v>
      </c>
      <c r="H195" s="1">
        <v>1526</v>
      </c>
      <c r="I195" s="1">
        <v>805</v>
      </c>
      <c r="J195" s="1">
        <f t="shared" si="3"/>
        <v>527.52293577981652</v>
      </c>
    </row>
    <row r="196" spans="1:10" x14ac:dyDescent="0.2">
      <c r="A196" s="1">
        <v>4249</v>
      </c>
      <c r="B196" s="1">
        <v>8518</v>
      </c>
      <c r="C196" s="1">
        <v>2004.7069898799718</v>
      </c>
      <c r="G196" s="1" t="s">
        <v>14</v>
      </c>
      <c r="H196" s="1">
        <v>4249</v>
      </c>
      <c r="I196" s="1">
        <v>1853</v>
      </c>
      <c r="J196" s="1">
        <f t="shared" si="3"/>
        <v>436.1026123793834</v>
      </c>
    </row>
    <row r="197" spans="1:10" x14ac:dyDescent="0.2">
      <c r="A197" s="1">
        <v>361</v>
      </c>
      <c r="B197" s="1">
        <v>928</v>
      </c>
      <c r="C197" s="1">
        <v>2570.6371191135736</v>
      </c>
      <c r="G197" s="1" t="s">
        <v>15</v>
      </c>
      <c r="H197" s="1">
        <v>361</v>
      </c>
      <c r="I197" s="1">
        <v>115</v>
      </c>
    </row>
    <row r="198" spans="1:10" x14ac:dyDescent="0.2">
      <c r="A198" s="1">
        <v>249</v>
      </c>
      <c r="B198" s="1">
        <v>883</v>
      </c>
      <c r="C198" s="1">
        <v>3546.1847389558234</v>
      </c>
      <c r="G198" s="1" t="s">
        <v>16</v>
      </c>
      <c r="H198" s="1">
        <v>249</v>
      </c>
      <c r="I198" s="1">
        <v>57</v>
      </c>
    </row>
    <row r="199" spans="1:10" x14ac:dyDescent="0.2">
      <c r="A199" s="1">
        <v>1860</v>
      </c>
      <c r="B199" s="1">
        <v>3723</v>
      </c>
      <c r="C199" s="1">
        <v>2001.6129032258063</v>
      </c>
      <c r="G199" s="1" t="s">
        <v>17</v>
      </c>
      <c r="H199" s="1">
        <v>1860</v>
      </c>
      <c r="I199" s="1">
        <v>769</v>
      </c>
      <c r="J199" s="1">
        <f t="shared" si="3"/>
        <v>413.44086021505376</v>
      </c>
    </row>
    <row r="200" spans="1:10" x14ac:dyDescent="0.2">
      <c r="A200" s="1">
        <v>399</v>
      </c>
      <c r="B200" s="1">
        <v>798</v>
      </c>
      <c r="C200" s="1">
        <v>2000</v>
      </c>
      <c r="G200" s="1" t="s">
        <v>18</v>
      </c>
      <c r="H200" s="1">
        <v>399</v>
      </c>
      <c r="I200" s="1">
        <v>192</v>
      </c>
      <c r="J200" s="1">
        <f t="shared" si="3"/>
        <v>481.20300751879699</v>
      </c>
    </row>
    <row r="201" spans="1:10" x14ac:dyDescent="0.2">
      <c r="A201" s="1">
        <v>1810</v>
      </c>
      <c r="B201" s="1">
        <v>3605</v>
      </c>
      <c r="C201" s="1">
        <v>1991.7127071823204</v>
      </c>
      <c r="G201" s="1" t="s">
        <v>19</v>
      </c>
      <c r="H201" s="1">
        <v>1810</v>
      </c>
      <c r="I201" s="1">
        <v>736</v>
      </c>
      <c r="J201" s="1">
        <f t="shared" si="3"/>
        <v>406.62983425414365</v>
      </c>
    </row>
    <row r="202" spans="1:10" x14ac:dyDescent="0.2">
      <c r="A202" s="1">
        <v>103</v>
      </c>
      <c r="B202" s="1">
        <v>308</v>
      </c>
      <c r="C202" s="1">
        <v>2990.2912621359224</v>
      </c>
      <c r="G202" s="1" t="s">
        <v>20</v>
      </c>
      <c r="H202" s="1">
        <v>103</v>
      </c>
      <c r="I202" s="1">
        <v>19</v>
      </c>
    </row>
    <row r="203" spans="1:10" x14ac:dyDescent="0.2">
      <c r="A203" s="1">
        <v>1032</v>
      </c>
      <c r="B203" s="1">
        <v>3050</v>
      </c>
      <c r="C203" s="1">
        <v>2955.4263565891474</v>
      </c>
      <c r="G203" s="1" t="s">
        <v>21</v>
      </c>
      <c r="H203" s="1">
        <v>1032</v>
      </c>
      <c r="I203" s="1">
        <v>1093</v>
      </c>
      <c r="J203" s="1">
        <f t="shared" si="3"/>
        <v>1059.1085271317829</v>
      </c>
    </row>
    <row r="204" spans="1:10" x14ac:dyDescent="0.2">
      <c r="A204" s="1">
        <v>449</v>
      </c>
      <c r="B204" s="1">
        <v>1136</v>
      </c>
      <c r="C204" s="1">
        <v>2530.0668151447662</v>
      </c>
      <c r="G204" s="9" t="s">
        <v>22</v>
      </c>
      <c r="H204" s="9">
        <v>449</v>
      </c>
      <c r="I204" s="9">
        <v>129</v>
      </c>
      <c r="J204" s="9"/>
    </row>
    <row r="205" spans="1:10" x14ac:dyDescent="0.2">
      <c r="A205" s="1">
        <v>11263</v>
      </c>
      <c r="B205" s="1">
        <v>26548</v>
      </c>
      <c r="C205" s="1">
        <v>2357.0984639971589</v>
      </c>
      <c r="G205" s="224" t="s">
        <v>23</v>
      </c>
      <c r="H205" s="224">
        <v>11263</v>
      </c>
      <c r="I205" s="224">
        <v>8268</v>
      </c>
      <c r="J205" s="224">
        <f t="shared" si="3"/>
        <v>734.08505726715794</v>
      </c>
    </row>
    <row r="206" spans="1:10" x14ac:dyDescent="0.2">
      <c r="A206" s="1">
        <v>488</v>
      </c>
      <c r="B206" s="1">
        <v>994</v>
      </c>
      <c r="C206" s="1">
        <v>2036.8852459016393</v>
      </c>
      <c r="G206" s="1" t="s">
        <v>8</v>
      </c>
      <c r="H206" s="1">
        <v>488</v>
      </c>
      <c r="I206" s="1">
        <v>220</v>
      </c>
    </row>
    <row r="207" spans="1:10" x14ac:dyDescent="0.2">
      <c r="A207" s="1">
        <v>943</v>
      </c>
      <c r="B207" s="1">
        <v>2324</v>
      </c>
      <c r="C207" s="1">
        <v>2464.4750795334039</v>
      </c>
      <c r="G207" s="1" t="s">
        <v>9</v>
      </c>
      <c r="H207" s="1">
        <v>943</v>
      </c>
      <c r="I207" s="1">
        <v>903</v>
      </c>
      <c r="J207" s="1">
        <f t="shared" si="3"/>
        <v>957.58218451749735</v>
      </c>
    </row>
    <row r="208" spans="1:10" x14ac:dyDescent="0.2">
      <c r="A208" s="1">
        <v>2502</v>
      </c>
      <c r="B208" s="1">
        <v>5040</v>
      </c>
      <c r="C208" s="1">
        <v>2014.388489208633</v>
      </c>
      <c r="G208" s="1" t="s">
        <v>10</v>
      </c>
      <c r="H208" s="1">
        <v>2502</v>
      </c>
      <c r="I208" s="1">
        <v>1145</v>
      </c>
      <c r="J208" s="1">
        <f t="shared" si="3"/>
        <v>457.63389288569147</v>
      </c>
    </row>
    <row r="209" spans="1:10" x14ac:dyDescent="0.2">
      <c r="A209" s="1">
        <v>580</v>
      </c>
      <c r="B209" s="1">
        <v>1447</v>
      </c>
      <c r="C209" s="1">
        <v>2494.8275862068967</v>
      </c>
      <c r="G209" s="1" t="s">
        <v>11</v>
      </c>
      <c r="H209" s="1">
        <v>580</v>
      </c>
      <c r="I209" s="1">
        <v>142</v>
      </c>
    </row>
    <row r="210" spans="1:10" x14ac:dyDescent="0.2">
      <c r="A210" s="1">
        <v>475</v>
      </c>
      <c r="B210" s="1">
        <v>1442</v>
      </c>
      <c r="C210" s="1">
        <v>3035.7894736842104</v>
      </c>
      <c r="G210" s="1" t="s">
        <v>12</v>
      </c>
      <c r="H210" s="1">
        <v>475</v>
      </c>
      <c r="I210" s="1">
        <v>536</v>
      </c>
      <c r="J210" s="1">
        <f t="shared" si="3"/>
        <v>1128.421052631579</v>
      </c>
    </row>
    <row r="211" spans="1:10" x14ac:dyDescent="0.2">
      <c r="A211" s="1">
        <v>1508</v>
      </c>
      <c r="B211" s="1">
        <v>2979</v>
      </c>
      <c r="C211" s="1">
        <v>1975.4641909814325</v>
      </c>
      <c r="G211" s="1" t="s">
        <v>13</v>
      </c>
      <c r="H211" s="1">
        <v>1508</v>
      </c>
      <c r="I211" s="1">
        <v>855</v>
      </c>
      <c r="J211" s="1">
        <f t="shared" si="3"/>
        <v>566.9761273209549</v>
      </c>
    </row>
    <row r="212" spans="1:10" x14ac:dyDescent="0.2">
      <c r="A212" s="1">
        <v>4098</v>
      </c>
      <c r="B212" s="1">
        <v>8457</v>
      </c>
      <c r="C212" s="1">
        <v>2063.6896046852121</v>
      </c>
      <c r="G212" s="1" t="s">
        <v>14</v>
      </c>
      <c r="H212" s="1">
        <v>4098</v>
      </c>
      <c r="I212" s="1">
        <v>1891</v>
      </c>
      <c r="J212" s="1">
        <f t="shared" si="3"/>
        <v>461.44460712542701</v>
      </c>
    </row>
    <row r="213" spans="1:10" x14ac:dyDescent="0.2">
      <c r="A213" s="1">
        <v>364</v>
      </c>
      <c r="B213" s="1">
        <v>830</v>
      </c>
      <c r="C213" s="1">
        <v>2280.2197802197802</v>
      </c>
      <c r="G213" s="1" t="s">
        <v>15</v>
      </c>
      <c r="H213" s="1">
        <v>364</v>
      </c>
      <c r="I213" s="1">
        <v>122</v>
      </c>
    </row>
    <row r="214" spans="1:10" x14ac:dyDescent="0.2">
      <c r="A214" s="1">
        <v>259</v>
      </c>
      <c r="B214" s="1">
        <v>813</v>
      </c>
      <c r="C214" s="1">
        <v>3138.9961389961391</v>
      </c>
      <c r="G214" s="1" t="s">
        <v>16</v>
      </c>
      <c r="H214" s="1">
        <v>259</v>
      </c>
      <c r="I214" s="1">
        <v>38</v>
      </c>
    </row>
    <row r="215" spans="1:10" x14ac:dyDescent="0.2">
      <c r="A215" s="1">
        <v>1814</v>
      </c>
      <c r="B215" s="1">
        <v>3037</v>
      </c>
      <c r="C215" s="1">
        <v>1674.2006615214993</v>
      </c>
      <c r="G215" s="1" t="s">
        <v>17</v>
      </c>
      <c r="H215" s="1">
        <v>1814</v>
      </c>
      <c r="I215" s="1">
        <v>594</v>
      </c>
      <c r="J215" s="1">
        <f t="shared" si="3"/>
        <v>327.45314222712238</v>
      </c>
    </row>
    <row r="216" spans="1:10" x14ac:dyDescent="0.2">
      <c r="A216" s="1">
        <v>394</v>
      </c>
      <c r="B216" s="1">
        <v>622</v>
      </c>
      <c r="C216" s="1">
        <v>1578.6802030456852</v>
      </c>
      <c r="G216" s="1" t="s">
        <v>18</v>
      </c>
      <c r="H216" s="1">
        <v>394</v>
      </c>
      <c r="I216" s="1">
        <v>112</v>
      </c>
      <c r="J216" s="1">
        <f t="shared" si="3"/>
        <v>284.26395939086296</v>
      </c>
    </row>
    <row r="217" spans="1:10" x14ac:dyDescent="0.2">
      <c r="A217" s="1">
        <v>1802</v>
      </c>
      <c r="B217" s="1">
        <v>3368</v>
      </c>
      <c r="C217" s="1">
        <v>1869.0344062153163</v>
      </c>
      <c r="G217" s="1" t="s">
        <v>19</v>
      </c>
      <c r="H217" s="1">
        <v>1802</v>
      </c>
      <c r="I217" s="1">
        <v>682</v>
      </c>
      <c r="J217" s="1">
        <f t="shared" si="3"/>
        <v>378.46836847946724</v>
      </c>
    </row>
    <row r="218" spans="1:10" x14ac:dyDescent="0.2">
      <c r="A218" s="1">
        <v>119</v>
      </c>
      <c r="B218" s="1">
        <v>285</v>
      </c>
      <c r="C218" s="1">
        <v>2394.9579831932774</v>
      </c>
      <c r="G218" s="1" t="s">
        <v>20</v>
      </c>
      <c r="H218" s="1">
        <v>119</v>
      </c>
      <c r="I218" s="1">
        <v>12</v>
      </c>
    </row>
    <row r="219" spans="1:10" x14ac:dyDescent="0.2">
      <c r="A219" s="1">
        <v>1019</v>
      </c>
      <c r="B219" s="1">
        <v>2893</v>
      </c>
      <c r="C219" s="1">
        <v>2839.0578999018644</v>
      </c>
      <c r="G219" s="1" t="s">
        <v>21</v>
      </c>
      <c r="H219" s="1">
        <v>1019</v>
      </c>
      <c r="I219" s="1">
        <v>1265</v>
      </c>
      <c r="J219" s="1">
        <f t="shared" si="3"/>
        <v>1241.4131501472032</v>
      </c>
    </row>
    <row r="220" spans="1:10" x14ac:dyDescent="0.2">
      <c r="A220" s="1">
        <v>452</v>
      </c>
      <c r="B220" s="1">
        <v>1076</v>
      </c>
      <c r="C220" s="1">
        <v>2380.5309734513276</v>
      </c>
      <c r="G220" s="1" t="s">
        <v>22</v>
      </c>
      <c r="H220" s="1">
        <v>452</v>
      </c>
      <c r="I220" s="1">
        <v>216</v>
      </c>
    </row>
    <row r="221" spans="1:10" x14ac:dyDescent="0.2">
      <c r="A221" s="1">
        <v>11190</v>
      </c>
      <c r="B221" s="1">
        <v>26408</v>
      </c>
      <c r="C221" s="1">
        <v>2359.964253798034</v>
      </c>
      <c r="G221" s="1" t="s">
        <v>23</v>
      </c>
      <c r="H221" s="1">
        <v>11190</v>
      </c>
      <c r="I221" s="1">
        <v>7999</v>
      </c>
      <c r="J221" s="1">
        <f t="shared" si="3"/>
        <v>714.83467381590708</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04"/>
  <sheetViews>
    <sheetView topLeftCell="A163" zoomScale="70" zoomScaleNormal="70" workbookViewId="0">
      <selection activeCell="G180" sqref="G180"/>
    </sheetView>
  </sheetViews>
  <sheetFormatPr defaultColWidth="8.88671875" defaultRowHeight="15" x14ac:dyDescent="0.2"/>
  <cols>
    <col min="1" max="1" width="8.88671875" style="1"/>
    <col min="2" max="2" width="14.88671875" style="1" customWidth="1"/>
    <col min="3" max="3" width="12.21875" style="1" customWidth="1"/>
    <col min="4" max="4" width="12" style="1" customWidth="1"/>
    <col min="5" max="5" width="9.44140625" style="1" bestFit="1" customWidth="1"/>
    <col min="6" max="6" width="8.88671875" style="1"/>
    <col min="7" max="7" width="18.6640625" style="1" customWidth="1"/>
    <col min="8" max="8" width="14.21875" style="1" customWidth="1"/>
    <col min="9" max="9" width="14.5546875" style="1" customWidth="1"/>
    <col min="10" max="10" width="13.33203125" style="1" customWidth="1"/>
    <col min="11" max="11" width="11.109375" style="1" customWidth="1"/>
    <col min="12" max="12" width="10.44140625" style="1" customWidth="1"/>
    <col min="13" max="13" width="10.77734375" style="1" customWidth="1"/>
    <col min="14" max="15" width="10.44140625" style="1" bestFit="1" customWidth="1"/>
    <col min="16" max="20" width="10.44140625" style="1" customWidth="1"/>
    <col min="21" max="24" width="10.44140625" style="1" bestFit="1" customWidth="1"/>
    <col min="25" max="27" width="8.88671875" style="1"/>
    <col min="28" max="28" width="11.109375" style="1" customWidth="1"/>
    <col min="29" max="29" width="8.88671875" style="1"/>
    <col min="30" max="30" width="8.88671875" style="235"/>
    <col min="31" max="36" width="8.88671875" style="1"/>
    <col min="37" max="37" width="13.109375" style="1" customWidth="1"/>
    <col min="38" max="16384" width="8.88671875" style="1"/>
  </cols>
  <sheetData>
    <row r="1" spans="2:7" ht="15.75" thickBot="1" x14ac:dyDescent="0.25"/>
    <row r="2" spans="2:7" ht="16.5" thickBot="1" x14ac:dyDescent="0.3">
      <c r="B2" s="493" t="s">
        <v>534</v>
      </c>
      <c r="C2" s="494" t="s">
        <v>635</v>
      </c>
      <c r="D2" s="421" t="s">
        <v>630</v>
      </c>
      <c r="E2" s="421" t="s">
        <v>636</v>
      </c>
      <c r="F2" s="421"/>
      <c r="G2" s="422"/>
    </row>
    <row r="3" spans="2:7" ht="21" thickBot="1" x14ac:dyDescent="0.35">
      <c r="B3" s="1253" t="s">
        <v>8</v>
      </c>
      <c r="C3" s="1254">
        <v>475</v>
      </c>
      <c r="D3" s="1254">
        <v>108</v>
      </c>
      <c r="E3" s="1255">
        <f>C3/D3</f>
        <v>4.3981481481481479</v>
      </c>
      <c r="F3" s="3"/>
      <c r="G3" s="499">
        <f>IF(E3&lt;21,H20-(E3)*1.5,0)</f>
        <v>-6.5972222222222214</v>
      </c>
    </row>
    <row r="4" spans="2:7" ht="21" thickBot="1" x14ac:dyDescent="0.35">
      <c r="B4" s="1256" t="s">
        <v>9</v>
      </c>
      <c r="C4" s="1249">
        <v>947</v>
      </c>
      <c r="D4" s="1249">
        <v>107.68999999999994</v>
      </c>
      <c r="E4" s="1250">
        <f t="shared" ref="E4:E23" si="0">C4/D4</f>
        <v>8.7937598662828531</v>
      </c>
      <c r="F4" s="9"/>
      <c r="G4" s="499">
        <f t="shared" ref="G4:G18" si="1">IF(E4&lt;21,H21-(E4)*1.5,0)</f>
        <v>-13.190639799424279</v>
      </c>
    </row>
    <row r="5" spans="2:7" ht="21" thickBot="1" x14ac:dyDescent="0.35">
      <c r="B5" s="1256" t="s">
        <v>10</v>
      </c>
      <c r="C5" s="1249">
        <v>2520</v>
      </c>
      <c r="D5" s="1249">
        <v>123.24999999999999</v>
      </c>
      <c r="E5" s="1250">
        <f t="shared" si="0"/>
        <v>20.446247464503045</v>
      </c>
      <c r="F5" s="9"/>
      <c r="G5" s="499">
        <f t="shared" si="1"/>
        <v>-30.669371196754568</v>
      </c>
    </row>
    <row r="6" spans="2:7" ht="21" thickBot="1" x14ac:dyDescent="0.35">
      <c r="B6" s="1257" t="s">
        <v>11</v>
      </c>
      <c r="C6" s="1249">
        <v>572</v>
      </c>
      <c r="D6" s="1249">
        <v>134.77999999999997</v>
      </c>
      <c r="E6" s="1250">
        <f t="shared" si="0"/>
        <v>4.2439531087698477</v>
      </c>
      <c r="F6" s="9"/>
      <c r="G6" s="499">
        <f t="shared" si="1"/>
        <v>-6.3659296631547715</v>
      </c>
    </row>
    <row r="7" spans="2:7" ht="21" thickBot="1" x14ac:dyDescent="0.35">
      <c r="B7" s="1256" t="s">
        <v>12</v>
      </c>
      <c r="C7" s="1249">
        <v>500</v>
      </c>
      <c r="D7" s="1249">
        <v>84.340000000000032</v>
      </c>
      <c r="E7" s="1250">
        <f t="shared" si="0"/>
        <v>5.9283851078966068</v>
      </c>
      <c r="F7" s="9"/>
      <c r="G7" s="499">
        <f t="shared" si="1"/>
        <v>-8.8925776618449106</v>
      </c>
    </row>
    <row r="8" spans="2:7" ht="21" thickBot="1" x14ac:dyDescent="0.35">
      <c r="B8" s="1256" t="s">
        <v>13</v>
      </c>
      <c r="C8" s="1249">
        <v>1540</v>
      </c>
      <c r="D8" s="1249">
        <v>138.16999999999985</v>
      </c>
      <c r="E8" s="1250">
        <f t="shared" si="0"/>
        <v>11.145690091915768</v>
      </c>
      <c r="F8" s="9"/>
      <c r="G8" s="499">
        <f t="shared" si="1"/>
        <v>-16.718535137873651</v>
      </c>
    </row>
    <row r="9" spans="2:7" ht="21" thickBot="1" x14ac:dyDescent="0.35">
      <c r="B9" s="1256" t="s">
        <v>14</v>
      </c>
      <c r="C9" s="1249">
        <v>4424</v>
      </c>
      <c r="D9" s="1249">
        <v>142.52999999999997</v>
      </c>
      <c r="E9" s="1250">
        <f t="shared" si="0"/>
        <v>31.03907949203677</v>
      </c>
      <c r="F9" s="9"/>
      <c r="G9" s="499">
        <f t="shared" si="1"/>
        <v>0</v>
      </c>
    </row>
    <row r="10" spans="2:7" ht="21" thickBot="1" x14ac:dyDescent="0.35">
      <c r="B10" s="1256" t="s">
        <v>15</v>
      </c>
      <c r="C10" s="1249">
        <v>330</v>
      </c>
      <c r="D10" s="1249">
        <v>99.259999999999991</v>
      </c>
      <c r="E10" s="1250">
        <f t="shared" si="0"/>
        <v>3.3246020552085436</v>
      </c>
      <c r="F10" s="9"/>
      <c r="G10" s="499">
        <f t="shared" si="1"/>
        <v>-4.9869030828128151</v>
      </c>
    </row>
    <row r="11" spans="2:7" ht="21" thickBot="1" x14ac:dyDescent="0.35">
      <c r="B11" s="1258" t="s">
        <v>16</v>
      </c>
      <c r="C11" s="1249">
        <v>251</v>
      </c>
      <c r="D11" s="1249">
        <v>63.550000000000182</v>
      </c>
      <c r="E11" s="1250">
        <f t="shared" si="0"/>
        <v>3.9496459480723725</v>
      </c>
      <c r="F11" s="9"/>
      <c r="G11" s="499">
        <f t="shared" si="1"/>
        <v>-5.9244689221085585</v>
      </c>
    </row>
    <row r="12" spans="2:7" ht="21" thickBot="1" x14ac:dyDescent="0.35">
      <c r="B12" s="1256" t="s">
        <v>17</v>
      </c>
      <c r="C12" s="1249">
        <v>1926</v>
      </c>
      <c r="D12" s="1249">
        <v>113.08000000000004</v>
      </c>
      <c r="E12" s="1250">
        <f t="shared" si="0"/>
        <v>17.03218960028298</v>
      </c>
      <c r="F12" s="9"/>
      <c r="G12" s="499">
        <f t="shared" si="1"/>
        <v>-25.548284400424471</v>
      </c>
    </row>
    <row r="13" spans="2:7" ht="21" thickBot="1" x14ac:dyDescent="0.35">
      <c r="B13" s="1256" t="s">
        <v>18</v>
      </c>
      <c r="C13" s="1249">
        <v>413</v>
      </c>
      <c r="D13" s="1249">
        <v>36.26</v>
      </c>
      <c r="E13" s="1250">
        <f t="shared" si="0"/>
        <v>11.389961389961391</v>
      </c>
      <c r="F13" s="9"/>
      <c r="G13" s="499">
        <f t="shared" si="1"/>
        <v>-17.084942084942085</v>
      </c>
    </row>
    <row r="14" spans="2:7" ht="21" thickBot="1" x14ac:dyDescent="0.35">
      <c r="B14" s="1256" t="s">
        <v>19</v>
      </c>
      <c r="C14" s="1249">
        <v>1813</v>
      </c>
      <c r="D14" s="1249">
        <v>151.91999999999996</v>
      </c>
      <c r="E14" s="1250">
        <f t="shared" si="0"/>
        <v>11.933912585571356</v>
      </c>
      <c r="F14" s="9"/>
      <c r="G14" s="499">
        <f t="shared" si="1"/>
        <v>-17.900868878357034</v>
      </c>
    </row>
    <row r="15" spans="2:7" ht="21" thickBot="1" x14ac:dyDescent="0.35">
      <c r="B15" s="1256" t="s">
        <v>20</v>
      </c>
      <c r="C15" s="1249">
        <v>100</v>
      </c>
      <c r="D15" s="1249">
        <v>28.04000000000002</v>
      </c>
      <c r="E15" s="1250">
        <f t="shared" si="0"/>
        <v>3.5663338088445053</v>
      </c>
      <c r="F15" s="9"/>
      <c r="G15" s="499">
        <f t="shared" si="1"/>
        <v>-5.3495007132667585</v>
      </c>
    </row>
    <row r="16" spans="2:7" ht="21" thickBot="1" x14ac:dyDescent="0.35">
      <c r="B16" s="1256" t="s">
        <v>21</v>
      </c>
      <c r="C16" s="1249">
        <v>1029</v>
      </c>
      <c r="D16" s="1249">
        <v>108.12</v>
      </c>
      <c r="E16" s="1250">
        <f t="shared" si="0"/>
        <v>9.5172031076581565</v>
      </c>
      <c r="F16" s="9"/>
      <c r="G16" s="499">
        <f t="shared" si="1"/>
        <v>-14.275804661487236</v>
      </c>
    </row>
    <row r="17" spans="1:46" ht="21" thickBot="1" x14ac:dyDescent="0.35">
      <c r="B17" s="1256" t="s">
        <v>22</v>
      </c>
      <c r="C17" s="1249">
        <v>433</v>
      </c>
      <c r="D17" s="1249">
        <v>101.59000000000003</v>
      </c>
      <c r="E17" s="1250">
        <f t="shared" si="0"/>
        <v>4.262230534501426</v>
      </c>
      <c r="F17" s="9"/>
      <c r="G17" s="499">
        <f t="shared" si="1"/>
        <v>-6.3933458017521385</v>
      </c>
    </row>
    <row r="18" spans="1:46" ht="21" thickBot="1" x14ac:dyDescent="0.35">
      <c r="B18" s="1259" t="s">
        <v>23</v>
      </c>
      <c r="C18" s="1260">
        <v>11393</v>
      </c>
      <c r="D18" s="1260">
        <v>11.8</v>
      </c>
      <c r="E18" s="1261">
        <f t="shared" si="0"/>
        <v>965.50847457627117</v>
      </c>
      <c r="F18" s="424"/>
      <c r="G18" s="499">
        <f t="shared" si="1"/>
        <v>0</v>
      </c>
    </row>
    <row r="19" spans="1:46" ht="21" thickBot="1" x14ac:dyDescent="0.35">
      <c r="B19" s="1251" t="s">
        <v>24</v>
      </c>
      <c r="C19" s="511">
        <f>SUM(C3:C18)</f>
        <v>28666</v>
      </c>
      <c r="D19" s="511">
        <f>SUM(D3:D18)</f>
        <v>1552.3799999999999</v>
      </c>
      <c r="E19" s="1252">
        <f t="shared" si="0"/>
        <v>18.465839549594818</v>
      </c>
      <c r="F19" s="494"/>
      <c r="G19" s="495"/>
    </row>
    <row r="20" spans="1:46" ht="20.25" x14ac:dyDescent="0.3">
      <c r="B20" s="1226"/>
      <c r="C20" s="9"/>
      <c r="E20" s="1250"/>
    </row>
    <row r="21" spans="1:46" ht="20.25" x14ac:dyDescent="0.3">
      <c r="B21" s="9" t="s">
        <v>661</v>
      </c>
      <c r="C21" s="36">
        <f>C5+C16+C7</f>
        <v>4049</v>
      </c>
      <c r="D21" s="36">
        <f>D5+D16+D7</f>
        <v>315.71000000000004</v>
      </c>
      <c r="E21" s="1250">
        <f t="shared" si="0"/>
        <v>12.825060973678374</v>
      </c>
    </row>
    <row r="22" spans="1:46" ht="20.25" x14ac:dyDescent="0.3">
      <c r="B22" s="9" t="s">
        <v>660</v>
      </c>
      <c r="C22" s="36">
        <f>C3+C6+C10+C11+C17+C15</f>
        <v>2161</v>
      </c>
      <c r="D22" s="36">
        <f>D3+D6+D10+D11+D17+D15</f>
        <v>535.22000000000025</v>
      </c>
      <c r="E22" s="1250">
        <f t="shared" si="0"/>
        <v>4.0375920182354896</v>
      </c>
      <c r="F22" s="9"/>
      <c r="G22" s="9"/>
      <c r="H22" s="9"/>
      <c r="I22" s="9"/>
      <c r="J22" s="9"/>
      <c r="K22" s="9"/>
      <c r="L22" s="9"/>
      <c r="M22" s="9"/>
      <c r="N22" s="9"/>
      <c r="O22" s="9"/>
      <c r="P22" s="9"/>
      <c r="Q22" s="9"/>
      <c r="R22" s="9"/>
      <c r="S22" s="9"/>
      <c r="T22" s="9"/>
      <c r="U22" s="9"/>
      <c r="V22" s="9"/>
      <c r="W22" s="9"/>
      <c r="X22" s="9"/>
      <c r="Y22" s="9"/>
      <c r="AD22" s="235" t="s">
        <v>102</v>
      </c>
      <c r="AE22" s="1">
        <f>C34</f>
        <v>475</v>
      </c>
      <c r="AG22" s="1" t="s">
        <v>103</v>
      </c>
      <c r="AI22" s="1">
        <f t="shared" ref="AI22:AO23" si="2">I28</f>
        <v>0</v>
      </c>
      <c r="AJ22" s="1">
        <f t="shared" si="2"/>
        <v>0</v>
      </c>
      <c r="AK22" s="1">
        <f t="shared" si="2"/>
        <v>0</v>
      </c>
      <c r="AL22" s="1">
        <f t="shared" si="2"/>
        <v>0</v>
      </c>
      <c r="AM22" s="1">
        <f t="shared" si="2"/>
        <v>0</v>
      </c>
      <c r="AN22" s="1">
        <f t="shared" si="2"/>
        <v>0</v>
      </c>
      <c r="AO22" s="1">
        <f t="shared" si="2"/>
        <v>0</v>
      </c>
      <c r="AP22" s="1">
        <f t="shared" ref="AP22:AS22" si="3">U28</f>
        <v>0</v>
      </c>
      <c r="AQ22" s="1">
        <f t="shared" si="3"/>
        <v>0</v>
      </c>
      <c r="AR22" s="1">
        <f t="shared" si="3"/>
        <v>0</v>
      </c>
      <c r="AS22" s="1">
        <f t="shared" si="3"/>
        <v>0</v>
      </c>
    </row>
    <row r="23" spans="1:46" ht="20.25" x14ac:dyDescent="0.3">
      <c r="B23" s="9" t="s">
        <v>662</v>
      </c>
      <c r="C23" s="36">
        <f>C12+C13</f>
        <v>2339</v>
      </c>
      <c r="D23" s="36">
        <f>D12+D13</f>
        <v>149.34000000000003</v>
      </c>
      <c r="E23" s="1250">
        <f t="shared" si="0"/>
        <v>15.662247221106197</v>
      </c>
      <c r="F23" s="9"/>
      <c r="G23" s="6"/>
      <c r="H23" s="9"/>
      <c r="I23" s="9"/>
      <c r="J23" s="9"/>
      <c r="K23" s="9"/>
      <c r="L23" s="9"/>
      <c r="M23" s="9"/>
      <c r="N23" s="9"/>
      <c r="O23" s="9"/>
      <c r="P23" s="9"/>
      <c r="Q23" s="9"/>
      <c r="R23" s="9"/>
      <c r="S23" s="9"/>
      <c r="T23" s="9"/>
      <c r="U23" s="9"/>
      <c r="V23" s="9"/>
      <c r="W23" s="9"/>
      <c r="X23" s="9"/>
      <c r="Y23" s="9"/>
      <c r="AI23" s="1">
        <f t="shared" si="2"/>
        <v>0</v>
      </c>
      <c r="AJ23" s="1">
        <f t="shared" si="2"/>
        <v>0</v>
      </c>
      <c r="AK23" s="1">
        <f t="shared" si="2"/>
        <v>0</v>
      </c>
      <c r="AL23" s="1">
        <f t="shared" si="2"/>
        <v>0</v>
      </c>
      <c r="AM23" s="1">
        <f t="shared" si="2"/>
        <v>0</v>
      </c>
      <c r="AN23" s="1">
        <f t="shared" si="2"/>
        <v>0</v>
      </c>
      <c r="AO23" s="1">
        <f t="shared" si="2"/>
        <v>0</v>
      </c>
      <c r="AP23" s="1">
        <f t="shared" ref="AP23:AT23" si="4">U29</f>
        <v>0</v>
      </c>
      <c r="AQ23" s="1">
        <f t="shared" si="4"/>
        <v>0</v>
      </c>
      <c r="AR23" s="1">
        <f t="shared" si="4"/>
        <v>0</v>
      </c>
      <c r="AS23" s="1">
        <f t="shared" si="4"/>
        <v>0</v>
      </c>
      <c r="AT23" s="1">
        <f t="shared" si="4"/>
        <v>0</v>
      </c>
    </row>
    <row r="24" spans="1:46" ht="15.75" x14ac:dyDescent="0.25">
      <c r="B24" s="1223"/>
      <c r="C24" s="9"/>
      <c r="F24" s="9"/>
      <c r="G24" s="194"/>
      <c r="H24" s="194"/>
      <c r="I24" s="194"/>
      <c r="J24" s="194"/>
      <c r="K24" s="194"/>
      <c r="L24" s="194"/>
      <c r="M24" s="194"/>
      <c r="N24" s="194"/>
      <c r="O24" s="194"/>
      <c r="P24" s="194"/>
      <c r="Q24" s="194"/>
      <c r="R24" s="194"/>
      <c r="S24" s="194"/>
      <c r="T24" s="194"/>
      <c r="U24" s="194"/>
      <c r="V24" s="194"/>
      <c r="W24" s="194"/>
      <c r="X24" s="194"/>
      <c r="Y24" s="194"/>
      <c r="AD24" s="235" t="s">
        <v>33</v>
      </c>
      <c r="AE24" s="1">
        <f>SUM(AI24:AT24)</f>
        <v>0</v>
      </c>
      <c r="AG24" s="1" t="s">
        <v>106</v>
      </c>
      <c r="AI24" s="1">
        <f t="shared" ref="AI24:AS24" si="5">IF($AE$22&gt;AI23,(IF($AE$22-AJ23&gt;0,(AJ23-AI23)*$B$26*AI26,($AE$22-AI23)*$B$26*AI26)),0)</f>
        <v>0</v>
      </c>
      <c r="AJ24" s="1">
        <f t="shared" si="5"/>
        <v>0</v>
      </c>
      <c r="AK24" s="1">
        <f t="shared" si="5"/>
        <v>0</v>
      </c>
      <c r="AL24" s="1">
        <f t="shared" si="5"/>
        <v>0</v>
      </c>
      <c r="AM24" s="1">
        <f t="shared" si="5"/>
        <v>0</v>
      </c>
      <c r="AN24" s="1">
        <f t="shared" si="5"/>
        <v>0</v>
      </c>
      <c r="AO24" s="1">
        <f t="shared" si="5"/>
        <v>0</v>
      </c>
      <c r="AP24" s="1">
        <f t="shared" si="5"/>
        <v>0</v>
      </c>
      <c r="AQ24" s="1">
        <f t="shared" si="5"/>
        <v>0</v>
      </c>
      <c r="AR24" s="1">
        <f t="shared" si="5"/>
        <v>0</v>
      </c>
      <c r="AS24" s="1">
        <f t="shared" si="5"/>
        <v>0</v>
      </c>
    </row>
    <row r="25" spans="1:46" ht="15.75" x14ac:dyDescent="0.25">
      <c r="B25" s="1228"/>
      <c r="C25" s="9"/>
      <c r="F25" s="9"/>
      <c r="G25" s="194"/>
      <c r="H25" s="194"/>
      <c r="I25" s="150"/>
      <c r="J25" s="194"/>
      <c r="K25" s="194"/>
      <c r="L25" s="194"/>
      <c r="M25" s="194"/>
      <c r="N25" s="194"/>
      <c r="O25" s="194"/>
      <c r="P25" s="194"/>
      <c r="Q25" s="194"/>
      <c r="R25" s="194"/>
      <c r="S25" s="194"/>
      <c r="T25" s="194"/>
      <c r="U25" s="194"/>
      <c r="V25" s="194"/>
      <c r="W25" s="194"/>
      <c r="X25" s="194"/>
      <c r="Y25" s="194"/>
    </row>
    <row r="26" spans="1:46" ht="15.75" x14ac:dyDescent="0.25">
      <c r="B26" s="1229"/>
      <c r="C26" s="1227"/>
      <c r="F26" s="9"/>
      <c r="G26" s="194"/>
      <c r="H26" s="1221"/>
      <c r="I26" s="1221"/>
      <c r="J26" s="194"/>
      <c r="K26" s="194"/>
      <c r="L26" s="194"/>
      <c r="M26" s="194"/>
      <c r="N26" s="194"/>
      <c r="O26" s="194"/>
      <c r="P26" s="194"/>
      <c r="Q26" s="194"/>
      <c r="R26" s="194"/>
      <c r="S26" s="194"/>
      <c r="T26" s="194"/>
      <c r="U26" s="194"/>
      <c r="V26" s="194"/>
      <c r="W26" s="194"/>
      <c r="X26" s="194"/>
      <c r="Y26" s="194"/>
      <c r="AG26" s="1" t="s">
        <v>109</v>
      </c>
      <c r="AI26" s="218">
        <f t="shared" ref="AI26:AO26" si="6">I32</f>
        <v>0</v>
      </c>
      <c r="AJ26" s="218">
        <f t="shared" si="6"/>
        <v>0</v>
      </c>
      <c r="AK26" s="218">
        <f t="shared" si="6"/>
        <v>0</v>
      </c>
      <c r="AL26" s="218">
        <f t="shared" si="6"/>
        <v>0</v>
      </c>
      <c r="AM26" s="218">
        <f t="shared" si="6"/>
        <v>0</v>
      </c>
      <c r="AN26" s="218">
        <f t="shared" si="6"/>
        <v>0</v>
      </c>
      <c r="AO26" s="218">
        <f t="shared" si="6"/>
        <v>0</v>
      </c>
      <c r="AP26" s="218">
        <f t="shared" ref="AP26:AT26" si="7">U32</f>
        <v>0</v>
      </c>
      <c r="AQ26" s="218">
        <f t="shared" si="7"/>
        <v>0</v>
      </c>
      <c r="AR26" s="218">
        <f t="shared" si="7"/>
        <v>0</v>
      </c>
      <c r="AS26" s="218">
        <f t="shared" si="7"/>
        <v>0</v>
      </c>
      <c r="AT26" s="218">
        <f t="shared" si="7"/>
        <v>0</v>
      </c>
    </row>
    <row r="27" spans="1:46" ht="20.25" x14ac:dyDescent="0.3">
      <c r="C27" s="1230" t="s">
        <v>637</v>
      </c>
      <c r="D27" s="1230">
        <v>21</v>
      </c>
      <c r="F27" s="9"/>
      <c r="G27" s="194">
        <v>3</v>
      </c>
      <c r="H27" s="194"/>
      <c r="I27" s="194"/>
      <c r="J27" s="194"/>
      <c r="K27" s="194"/>
      <c r="L27" s="194"/>
      <c r="M27" s="194"/>
      <c r="N27" s="194"/>
      <c r="O27" s="194"/>
      <c r="P27" s="194"/>
      <c r="Q27" s="194"/>
      <c r="R27" s="194"/>
      <c r="S27" s="194"/>
      <c r="T27" s="194"/>
      <c r="U27" s="194"/>
      <c r="V27" s="194"/>
      <c r="W27" s="194"/>
      <c r="X27" s="194"/>
      <c r="Y27" s="194"/>
    </row>
    <row r="28" spans="1:46" ht="15.75" x14ac:dyDescent="0.25">
      <c r="D28" s="1">
        <v>31</v>
      </c>
      <c r="F28" s="9"/>
      <c r="G28" s="1219">
        <v>1</v>
      </c>
      <c r="H28" s="1219"/>
      <c r="I28" s="1220"/>
      <c r="J28" s="1220"/>
      <c r="K28" s="1220"/>
      <c r="L28" s="1220"/>
      <c r="M28" s="1220"/>
      <c r="N28" s="1220"/>
      <c r="O28" s="1220"/>
      <c r="P28" s="1220"/>
      <c r="Q28" s="1220"/>
      <c r="R28" s="1220"/>
      <c r="S28" s="1220"/>
      <c r="T28" s="1220"/>
      <c r="U28" s="1220"/>
      <c r="V28" s="1220"/>
      <c r="W28" s="1220"/>
      <c r="X28" s="1220"/>
      <c r="Y28" s="1219"/>
      <c r="Z28" s="5"/>
      <c r="AA28" s="5"/>
      <c r="AB28" s="5"/>
      <c r="AC28" s="5"/>
      <c r="AE28" s="5"/>
      <c r="AF28" s="5"/>
      <c r="AG28" s="5"/>
      <c r="AH28" s="5"/>
      <c r="AI28" s="5"/>
    </row>
    <row r="29" spans="1:46" ht="15.75" x14ac:dyDescent="0.25">
      <c r="D29" s="1">
        <v>61</v>
      </c>
      <c r="F29" s="1222"/>
      <c r="G29" s="1219">
        <v>0.3</v>
      </c>
      <c r="H29" s="1223"/>
      <c r="I29" s="1223"/>
      <c r="J29" s="1223"/>
      <c r="K29" s="1223"/>
      <c r="L29" s="1223"/>
      <c r="M29" s="1223"/>
      <c r="N29" s="1223"/>
      <c r="O29" s="1223"/>
      <c r="P29" s="1223"/>
      <c r="Q29" s="1223"/>
      <c r="R29" s="1223"/>
      <c r="S29" s="1223"/>
      <c r="T29" s="1223"/>
      <c r="U29" s="1223"/>
      <c r="V29" s="1223"/>
      <c r="W29" s="1223"/>
      <c r="X29" s="1223"/>
      <c r="Y29" s="1223"/>
    </row>
    <row r="30" spans="1:46" ht="15.75" x14ac:dyDescent="0.25">
      <c r="D30" s="1">
        <v>121</v>
      </c>
      <c r="F30" s="9"/>
      <c r="G30" s="1219">
        <v>0.03</v>
      </c>
      <c r="H30" s="194"/>
      <c r="I30" s="193"/>
      <c r="J30" s="193"/>
      <c r="K30" s="193"/>
      <c r="L30" s="193"/>
      <c r="M30" s="193"/>
      <c r="N30" s="193"/>
      <c r="O30" s="193"/>
      <c r="P30" s="193"/>
      <c r="Q30" s="193"/>
      <c r="R30" s="193"/>
      <c r="S30" s="193"/>
      <c r="T30" s="193"/>
      <c r="U30" s="193"/>
      <c r="V30" s="193"/>
      <c r="W30" s="193"/>
      <c r="X30" s="193"/>
      <c r="Y30" s="1224"/>
      <c r="AD30" s="235" t="s">
        <v>8</v>
      </c>
      <c r="AE30" s="1">
        <f>C35</f>
        <v>947</v>
      </c>
      <c r="AG30" s="1" t="s">
        <v>103</v>
      </c>
      <c r="AI30" s="1">
        <f t="shared" ref="AI30:AT31" si="8">AI22</f>
        <v>0</v>
      </c>
      <c r="AJ30" s="1">
        <f t="shared" si="8"/>
        <v>0</v>
      </c>
      <c r="AK30" s="1">
        <f t="shared" si="8"/>
        <v>0</v>
      </c>
      <c r="AL30" s="1">
        <f t="shared" si="8"/>
        <v>0</v>
      </c>
      <c r="AM30" s="1">
        <f t="shared" si="8"/>
        <v>0</v>
      </c>
      <c r="AN30" s="1">
        <f t="shared" si="8"/>
        <v>0</v>
      </c>
      <c r="AO30" s="1">
        <f t="shared" si="8"/>
        <v>0</v>
      </c>
      <c r="AP30" s="1">
        <f t="shared" si="8"/>
        <v>0</v>
      </c>
      <c r="AQ30" s="1">
        <f t="shared" si="8"/>
        <v>0</v>
      </c>
      <c r="AR30" s="1">
        <f t="shared" si="8"/>
        <v>0</v>
      </c>
      <c r="AS30" s="1">
        <f t="shared" si="8"/>
        <v>0</v>
      </c>
    </row>
    <row r="31" spans="1:46" ht="15.75" x14ac:dyDescent="0.25">
      <c r="A31" s="5"/>
      <c r="B31" s="5"/>
      <c r="C31" s="5"/>
      <c r="F31" s="9"/>
      <c r="G31" s="194"/>
      <c r="H31" s="194"/>
      <c r="I31" s="194"/>
      <c r="J31" s="194"/>
      <c r="K31" s="194"/>
      <c r="L31" s="194"/>
      <c r="M31" s="194"/>
      <c r="N31" s="194"/>
      <c r="O31" s="194"/>
      <c r="P31" s="194"/>
      <c r="Q31" s="194"/>
      <c r="R31" s="194"/>
      <c r="S31" s="194"/>
      <c r="T31" s="194"/>
      <c r="U31" s="194"/>
      <c r="V31" s="194"/>
      <c r="W31" s="194"/>
      <c r="X31" s="194"/>
      <c r="Y31" s="194"/>
      <c r="AI31" s="1">
        <f t="shared" si="8"/>
        <v>0</v>
      </c>
      <c r="AJ31" s="1">
        <f t="shared" si="8"/>
        <v>0</v>
      </c>
      <c r="AK31" s="1">
        <f t="shared" si="8"/>
        <v>0</v>
      </c>
      <c r="AL31" s="1">
        <f t="shared" si="8"/>
        <v>0</v>
      </c>
      <c r="AM31" s="1">
        <f t="shared" si="8"/>
        <v>0</v>
      </c>
      <c r="AN31" s="1">
        <f t="shared" si="8"/>
        <v>0</v>
      </c>
      <c r="AO31" s="1">
        <f t="shared" si="8"/>
        <v>0</v>
      </c>
      <c r="AP31" s="1">
        <f t="shared" si="8"/>
        <v>0</v>
      </c>
      <c r="AQ31" s="1">
        <f t="shared" si="8"/>
        <v>0</v>
      </c>
      <c r="AR31" s="1">
        <f t="shared" si="8"/>
        <v>0</v>
      </c>
      <c r="AS31" s="1">
        <f t="shared" si="8"/>
        <v>0</v>
      </c>
      <c r="AT31" s="1">
        <f t="shared" si="8"/>
        <v>0</v>
      </c>
    </row>
    <row r="32" spans="1:46" ht="15.75" x14ac:dyDescent="0.25">
      <c r="A32" s="5"/>
      <c r="B32" s="5"/>
      <c r="C32" s="5"/>
      <c r="F32" s="1222"/>
      <c r="G32" s="1223"/>
      <c r="H32" s="1223"/>
      <c r="I32" s="1225"/>
      <c r="J32" s="1225"/>
      <c r="K32" s="1225"/>
      <c r="L32" s="1225"/>
      <c r="M32" s="1225"/>
      <c r="N32" s="1225"/>
      <c r="O32" s="1225"/>
      <c r="P32" s="1225"/>
      <c r="Q32" s="1225"/>
      <c r="R32" s="1225"/>
      <c r="S32" s="1225"/>
      <c r="T32" s="1225"/>
      <c r="U32" s="1225"/>
      <c r="V32" s="1225"/>
      <c r="W32" s="1225"/>
      <c r="X32" s="1225"/>
      <c r="Y32" s="1225"/>
      <c r="AD32" s="235" t="s">
        <v>33</v>
      </c>
      <c r="AE32" s="1">
        <f>SUM(AI32:AT32)</f>
        <v>0</v>
      </c>
      <c r="AG32" s="1" t="s">
        <v>106</v>
      </c>
      <c r="AI32" s="1">
        <f t="shared" ref="AI32:AS32" si="9">IF($AE$30&gt;AI31,(IF($AE$30-AJ31&gt;0,(AJ31-AI31)*$B$26*AI34,($AE$30-AI31)*$B$26*AI34)),0)</f>
        <v>0</v>
      </c>
      <c r="AJ32" s="1">
        <f t="shared" si="9"/>
        <v>0</v>
      </c>
      <c r="AK32" s="1">
        <f t="shared" si="9"/>
        <v>0</v>
      </c>
      <c r="AL32" s="1">
        <f t="shared" si="9"/>
        <v>0</v>
      </c>
      <c r="AM32" s="1">
        <f t="shared" si="9"/>
        <v>0</v>
      </c>
      <c r="AN32" s="1">
        <f t="shared" si="9"/>
        <v>0</v>
      </c>
      <c r="AO32" s="1">
        <f t="shared" si="9"/>
        <v>0</v>
      </c>
      <c r="AP32" s="1">
        <f t="shared" si="9"/>
        <v>0</v>
      </c>
      <c r="AQ32" s="1">
        <f t="shared" si="9"/>
        <v>0</v>
      </c>
      <c r="AR32" s="1">
        <f t="shared" si="9"/>
        <v>0</v>
      </c>
      <c r="AS32" s="1">
        <f t="shared" si="9"/>
        <v>0</v>
      </c>
    </row>
    <row r="33" spans="1:46" ht="15.75" x14ac:dyDescent="0.25">
      <c r="A33" s="252"/>
      <c r="B33" s="5" t="s">
        <v>534</v>
      </c>
      <c r="C33" s="5" t="s">
        <v>635</v>
      </c>
      <c r="D33" s="1" t="s">
        <v>630</v>
      </c>
      <c r="E33" s="1" t="s">
        <v>636</v>
      </c>
      <c r="F33" s="9"/>
      <c r="G33" s="194"/>
      <c r="H33" s="194"/>
      <c r="I33" s="194"/>
      <c r="J33" s="194"/>
      <c r="K33" s="194"/>
      <c r="L33" s="194"/>
      <c r="M33" s="194"/>
      <c r="N33" s="194"/>
      <c r="O33" s="194"/>
      <c r="P33" s="194"/>
      <c r="Q33" s="194"/>
      <c r="R33" s="194"/>
      <c r="S33" s="194"/>
      <c r="T33" s="194"/>
      <c r="U33" s="194"/>
      <c r="V33" s="194"/>
      <c r="W33" s="194"/>
      <c r="X33" s="194"/>
      <c r="Y33" s="194"/>
    </row>
    <row r="34" spans="1:46" ht="20.25" x14ac:dyDescent="0.3">
      <c r="B34" s="229" t="s">
        <v>8</v>
      </c>
      <c r="C34" s="1211">
        <v>475</v>
      </c>
      <c r="D34" s="1213">
        <v>108</v>
      </c>
      <c r="E34" s="1">
        <f>C34/D34</f>
        <v>4.3981481481481479</v>
      </c>
      <c r="F34" s="9"/>
      <c r="G34" s="194"/>
      <c r="H34" s="194"/>
      <c r="I34" s="194"/>
      <c r="J34" s="194"/>
      <c r="K34" s="194"/>
      <c r="L34" s="194"/>
      <c r="M34" s="194"/>
      <c r="N34" s="194"/>
      <c r="O34" s="194"/>
      <c r="P34" s="194"/>
      <c r="Q34" s="194"/>
      <c r="R34" s="194"/>
      <c r="S34" s="194"/>
      <c r="T34" s="194"/>
      <c r="U34" s="194"/>
      <c r="V34" s="194"/>
      <c r="W34" s="194"/>
      <c r="X34" s="194"/>
      <c r="Y34" s="194"/>
      <c r="AG34" s="1" t="s">
        <v>109</v>
      </c>
      <c r="AI34" s="218">
        <f t="shared" ref="AI34:AT34" si="10">AI26</f>
        <v>0</v>
      </c>
      <c r="AJ34" s="218">
        <f t="shared" si="10"/>
        <v>0</v>
      </c>
      <c r="AK34" s="218">
        <f t="shared" si="10"/>
        <v>0</v>
      </c>
      <c r="AL34" s="218">
        <f t="shared" si="10"/>
        <v>0</v>
      </c>
      <c r="AM34" s="218">
        <f t="shared" si="10"/>
        <v>0</v>
      </c>
      <c r="AN34" s="218">
        <f t="shared" si="10"/>
        <v>0</v>
      </c>
      <c r="AO34" s="218">
        <f t="shared" si="10"/>
        <v>0</v>
      </c>
      <c r="AP34" s="218">
        <f t="shared" si="10"/>
        <v>0</v>
      </c>
      <c r="AQ34" s="218">
        <f t="shared" si="10"/>
        <v>0</v>
      </c>
      <c r="AR34" s="218">
        <f t="shared" si="10"/>
        <v>0</v>
      </c>
      <c r="AS34" s="218">
        <f t="shared" si="10"/>
        <v>0</v>
      </c>
      <c r="AT34" s="218">
        <f t="shared" si="10"/>
        <v>0</v>
      </c>
    </row>
    <row r="35" spans="1:46" ht="20.25" x14ac:dyDescent="0.3">
      <c r="B35" s="229" t="s">
        <v>9</v>
      </c>
      <c r="C35" s="1211">
        <v>947</v>
      </c>
      <c r="D35" s="1213">
        <v>107.68999999999994</v>
      </c>
      <c r="E35" s="1">
        <f t="shared" ref="E35:E49" si="11">C35/D35</f>
        <v>8.7937598662828531</v>
      </c>
    </row>
    <row r="36" spans="1:46" ht="20.25" x14ac:dyDescent="0.3">
      <c r="B36" s="229" t="s">
        <v>10</v>
      </c>
      <c r="C36" s="1211">
        <v>2520</v>
      </c>
      <c r="D36" s="1213">
        <v>123.24999999999999</v>
      </c>
      <c r="E36" s="1">
        <f t="shared" si="11"/>
        <v>20.446247464503045</v>
      </c>
      <c r="L36" s="22"/>
    </row>
    <row r="37" spans="1:46" ht="20.25" x14ac:dyDescent="0.3">
      <c r="B37" s="254" t="s">
        <v>11</v>
      </c>
      <c r="C37" s="1211">
        <v>572</v>
      </c>
      <c r="D37" s="1213">
        <v>134.77999999999997</v>
      </c>
      <c r="E37" s="1">
        <f t="shared" si="11"/>
        <v>4.2439531087698477</v>
      </c>
      <c r="G37" s="1">
        <f>(C40+C49)/(D40+D49)</f>
        <v>102.48817469059809</v>
      </c>
      <c r="AD37" s="235" t="s">
        <v>11</v>
      </c>
      <c r="AE37" s="1">
        <f>C36</f>
        <v>2520</v>
      </c>
      <c r="AG37" s="1" t="s">
        <v>103</v>
      </c>
      <c r="AI37" s="1">
        <f t="shared" ref="AI37:AS37" si="12">AI30</f>
        <v>0</v>
      </c>
      <c r="AJ37" s="1">
        <f t="shared" si="12"/>
        <v>0</v>
      </c>
      <c r="AK37" s="1">
        <f t="shared" si="12"/>
        <v>0</v>
      </c>
      <c r="AL37" s="1">
        <f t="shared" si="12"/>
        <v>0</v>
      </c>
      <c r="AM37" s="1">
        <f t="shared" si="12"/>
        <v>0</v>
      </c>
      <c r="AN37" s="1">
        <f t="shared" si="12"/>
        <v>0</v>
      </c>
      <c r="AO37" s="1">
        <f t="shared" si="12"/>
        <v>0</v>
      </c>
      <c r="AP37" s="1">
        <f t="shared" si="12"/>
        <v>0</v>
      </c>
      <c r="AQ37" s="1">
        <f t="shared" si="12"/>
        <v>0</v>
      </c>
      <c r="AR37" s="1">
        <f t="shared" si="12"/>
        <v>0</v>
      </c>
      <c r="AS37" s="1">
        <f t="shared" si="12"/>
        <v>0</v>
      </c>
    </row>
    <row r="38" spans="1:46" ht="20.25" x14ac:dyDescent="0.3">
      <c r="B38" s="229" t="s">
        <v>12</v>
      </c>
      <c r="C38" s="1211">
        <v>500</v>
      </c>
      <c r="D38" s="1213">
        <v>84.340000000000032</v>
      </c>
      <c r="E38" s="1">
        <f t="shared" si="11"/>
        <v>5.9283851078966068</v>
      </c>
      <c r="AI38" s="1">
        <f t="shared" ref="AI38:AT38" si="13">AI23</f>
        <v>0</v>
      </c>
      <c r="AJ38" s="1">
        <f t="shared" si="13"/>
        <v>0</v>
      </c>
      <c r="AK38" s="1">
        <f t="shared" si="13"/>
        <v>0</v>
      </c>
      <c r="AL38" s="1">
        <f t="shared" si="13"/>
        <v>0</v>
      </c>
      <c r="AM38" s="1">
        <f t="shared" si="13"/>
        <v>0</v>
      </c>
      <c r="AN38" s="1">
        <f t="shared" si="13"/>
        <v>0</v>
      </c>
      <c r="AO38" s="1">
        <f t="shared" si="13"/>
        <v>0</v>
      </c>
      <c r="AP38" s="1">
        <f t="shared" si="13"/>
        <v>0</v>
      </c>
      <c r="AQ38" s="1">
        <f t="shared" si="13"/>
        <v>0</v>
      </c>
      <c r="AR38" s="1">
        <f t="shared" si="13"/>
        <v>0</v>
      </c>
      <c r="AS38" s="1">
        <f t="shared" si="13"/>
        <v>0</v>
      </c>
      <c r="AT38" s="1">
        <f t="shared" si="13"/>
        <v>0</v>
      </c>
    </row>
    <row r="39" spans="1:46" ht="20.25" x14ac:dyDescent="0.3">
      <c r="B39" s="229" t="s">
        <v>13</v>
      </c>
      <c r="C39" s="1211">
        <v>1540</v>
      </c>
      <c r="D39" s="1213">
        <v>138.16999999999985</v>
      </c>
      <c r="E39" s="1">
        <f t="shared" si="11"/>
        <v>11.145690091915768</v>
      </c>
      <c r="G39" s="5" t="s">
        <v>33</v>
      </c>
      <c r="H39" s="5"/>
      <c r="I39" s="217">
        <f>SUM(I30:X30)</f>
        <v>0</v>
      </c>
      <c r="AD39" s="235" t="s">
        <v>33</v>
      </c>
      <c r="AE39" s="1">
        <f>SUM(AI39:AT39)</f>
        <v>0</v>
      </c>
      <c r="AG39" s="1" t="s">
        <v>106</v>
      </c>
      <c r="AI39" s="1">
        <f t="shared" ref="AI39:AS39" si="14">IF($AE$37&gt;AI38,(IF($AE$37-AJ38&gt;0,(AJ38-AI38)*$B$26*AI41,($AE$37-AI38)*$B$26*AI41)),0)</f>
        <v>0</v>
      </c>
      <c r="AJ39" s="1">
        <f t="shared" si="14"/>
        <v>0</v>
      </c>
      <c r="AK39" s="1">
        <f t="shared" si="14"/>
        <v>0</v>
      </c>
      <c r="AL39" s="1">
        <f t="shared" si="14"/>
        <v>0</v>
      </c>
      <c r="AM39" s="1">
        <f t="shared" si="14"/>
        <v>0</v>
      </c>
      <c r="AN39" s="1">
        <f t="shared" si="14"/>
        <v>0</v>
      </c>
      <c r="AO39" s="1">
        <f t="shared" si="14"/>
        <v>0</v>
      </c>
      <c r="AP39" s="1">
        <f t="shared" si="14"/>
        <v>0</v>
      </c>
      <c r="AQ39" s="1">
        <f t="shared" si="14"/>
        <v>0</v>
      </c>
      <c r="AR39" s="1">
        <f t="shared" si="14"/>
        <v>0</v>
      </c>
      <c r="AS39" s="1">
        <f t="shared" si="14"/>
        <v>0</v>
      </c>
    </row>
    <row r="40" spans="1:46" ht="20.25" x14ac:dyDescent="0.3">
      <c r="B40" s="229" t="s">
        <v>14</v>
      </c>
      <c r="C40" s="1211">
        <v>4424</v>
      </c>
      <c r="D40" s="1213">
        <v>142.52999999999997</v>
      </c>
      <c r="E40" s="1">
        <f t="shared" si="11"/>
        <v>31.03907949203677</v>
      </c>
    </row>
    <row r="41" spans="1:46" ht="21" thickBot="1" x14ac:dyDescent="0.35">
      <c r="B41" s="229" t="s">
        <v>15</v>
      </c>
      <c r="C41" s="1211">
        <v>330</v>
      </c>
      <c r="D41" s="1213">
        <v>99.259999999999991</v>
      </c>
      <c r="E41" s="1">
        <f t="shared" si="11"/>
        <v>3.3246020552085436</v>
      </c>
      <c r="G41" s="1269"/>
      <c r="H41" s="1269" t="s">
        <v>666</v>
      </c>
      <c r="I41" s="1269" t="s">
        <v>667</v>
      </c>
      <c r="J41" s="1269" t="s">
        <v>668</v>
      </c>
      <c r="K41" s="1269" t="s">
        <v>669</v>
      </c>
      <c r="L41" s="1269" t="s">
        <v>665</v>
      </c>
      <c r="M41" s="1269" t="s">
        <v>664</v>
      </c>
      <c r="N41" s="1269" t="s">
        <v>670</v>
      </c>
      <c r="AG41" s="1" t="s">
        <v>109</v>
      </c>
      <c r="AI41" s="218">
        <f t="shared" ref="AI41:AT41" si="15">AI26</f>
        <v>0</v>
      </c>
      <c r="AJ41" s="218">
        <f t="shared" si="15"/>
        <v>0</v>
      </c>
      <c r="AK41" s="218">
        <f t="shared" si="15"/>
        <v>0</v>
      </c>
      <c r="AL41" s="218">
        <f t="shared" si="15"/>
        <v>0</v>
      </c>
      <c r="AM41" s="218">
        <f t="shared" si="15"/>
        <v>0</v>
      </c>
      <c r="AN41" s="218">
        <f t="shared" si="15"/>
        <v>0</v>
      </c>
      <c r="AO41" s="218">
        <f t="shared" si="15"/>
        <v>0</v>
      </c>
      <c r="AP41" s="218">
        <f t="shared" si="15"/>
        <v>0</v>
      </c>
      <c r="AQ41" s="218">
        <f t="shared" si="15"/>
        <v>0</v>
      </c>
      <c r="AR41" s="218">
        <f t="shared" si="15"/>
        <v>0</v>
      </c>
      <c r="AS41" s="218">
        <f t="shared" si="15"/>
        <v>0</v>
      </c>
      <c r="AT41" s="218">
        <f t="shared" si="15"/>
        <v>0</v>
      </c>
    </row>
    <row r="42" spans="1:46" ht="21" thickBot="1" x14ac:dyDescent="0.35">
      <c r="B42" s="256" t="s">
        <v>16</v>
      </c>
      <c r="C42" s="1211">
        <v>251</v>
      </c>
      <c r="D42" s="1213">
        <v>63.550000000000182</v>
      </c>
      <c r="E42" s="1">
        <f t="shared" si="11"/>
        <v>3.9496459480723725</v>
      </c>
      <c r="G42" s="1270" t="s">
        <v>8</v>
      </c>
      <c r="H42" s="1271">
        <f t="shared" ref="H42:H57" si="16">IF($D$27-E34&gt;0,($D$27-E34)*C34*$G$27,0)</f>
        <v>23657.638888888891</v>
      </c>
      <c r="I42" s="1271">
        <f t="shared" ref="I42:I57" si="17">IF($D$28-E34&gt;0,($D$28-E34)*C34*$G$28,0)</f>
        <v>12635.87962962963</v>
      </c>
      <c r="J42" s="1271">
        <f t="shared" ref="J42:J57" si="18">IF($D$29-E34&gt;0,($D$29-E34)*C34*$G$29,0)</f>
        <v>8065.7638888888887</v>
      </c>
      <c r="K42" s="1271">
        <f t="shared" ref="K42:K57" si="19">IF($D$30-E34&gt;0,($D$30-E34)*C34*$G$30,0)</f>
        <v>1661.5763888888887</v>
      </c>
      <c r="L42" s="1272">
        <f>SUM(H42:K42)</f>
        <v>46020.858796296299</v>
      </c>
      <c r="M42" s="1273">
        <f t="shared" ref="M42:M57" si="20">L42/C34</f>
        <v>96.886018518518526</v>
      </c>
      <c r="N42" s="21">
        <f>L42/E34</f>
        <v>10463.69</v>
      </c>
      <c r="O42" s="9"/>
      <c r="P42" s="9"/>
      <c r="Q42" s="9"/>
      <c r="R42" s="9"/>
      <c r="S42" s="9"/>
      <c r="T42" s="9"/>
      <c r="U42" s="9"/>
      <c r="V42" s="9"/>
      <c r="W42" s="9"/>
      <c r="X42" s="9"/>
    </row>
    <row r="43" spans="1:46" ht="20.25" x14ac:dyDescent="0.3">
      <c r="B43" s="229" t="s">
        <v>17</v>
      </c>
      <c r="C43" s="1211">
        <v>1926</v>
      </c>
      <c r="D43" s="1213">
        <v>113.08000000000004</v>
      </c>
      <c r="E43" s="1">
        <f t="shared" si="11"/>
        <v>17.03218960028298</v>
      </c>
      <c r="G43" s="1274" t="s">
        <v>9</v>
      </c>
      <c r="H43" s="118">
        <f t="shared" si="16"/>
        <v>34677.928219890411</v>
      </c>
      <c r="I43" s="118">
        <f t="shared" si="17"/>
        <v>21029.309406630135</v>
      </c>
      <c r="J43" s="118">
        <f t="shared" si="18"/>
        <v>14831.79282198904</v>
      </c>
      <c r="K43" s="118">
        <f t="shared" si="19"/>
        <v>3187.7792821989042</v>
      </c>
      <c r="L43" s="1265">
        <f t="shared" ref="L43:L59" si="21">SUM(H43:K43)</f>
        <v>73726.809730708483</v>
      </c>
      <c r="M43" s="1275">
        <f t="shared" si="20"/>
        <v>77.853019778995233</v>
      </c>
      <c r="N43" s="21">
        <f t="shared" ref="N43:N57" si="22">L43/E35</f>
        <v>8383.9916999999914</v>
      </c>
      <c r="O43" s="1262"/>
      <c r="P43" s="1262"/>
      <c r="Q43" s="1262"/>
      <c r="R43" s="1262"/>
      <c r="S43" s="1262"/>
      <c r="T43" s="1262"/>
      <c r="U43" s="1262"/>
      <c r="V43" s="1262"/>
      <c r="W43" s="1262"/>
      <c r="X43" s="1262"/>
      <c r="Y43" s="259"/>
    </row>
    <row r="44" spans="1:46" ht="20.25" x14ac:dyDescent="0.3">
      <c r="B44" s="229" t="s">
        <v>18</v>
      </c>
      <c r="C44" s="1211">
        <v>413</v>
      </c>
      <c r="D44" s="1213">
        <v>36.26</v>
      </c>
      <c r="E44" s="1">
        <f t="shared" si="11"/>
        <v>11.389961389961391</v>
      </c>
      <c r="G44" s="1274" t="s">
        <v>10</v>
      </c>
      <c r="H44" s="118">
        <f t="shared" si="16"/>
        <v>4186.3691683569768</v>
      </c>
      <c r="I44" s="118">
        <f t="shared" si="17"/>
        <v>26595.456389452327</v>
      </c>
      <c r="J44" s="118">
        <f t="shared" si="18"/>
        <v>30658.636916835698</v>
      </c>
      <c r="K44" s="118">
        <f t="shared" si="19"/>
        <v>7601.8636916835694</v>
      </c>
      <c r="L44" s="1265">
        <f t="shared" si="21"/>
        <v>69042.326166328567</v>
      </c>
      <c r="M44" s="1275">
        <f t="shared" si="20"/>
        <v>27.397748478701811</v>
      </c>
      <c r="N44" s="21">
        <f t="shared" si="22"/>
        <v>3376.7724999999978</v>
      </c>
      <c r="U44" s="1262"/>
      <c r="V44" s="1262"/>
      <c r="W44" s="1262"/>
      <c r="X44" s="1262"/>
      <c r="Y44" s="264"/>
    </row>
    <row r="45" spans="1:46" ht="20.25" x14ac:dyDescent="0.3">
      <c r="B45" s="229" t="s">
        <v>19</v>
      </c>
      <c r="C45" s="1211">
        <v>1813</v>
      </c>
      <c r="D45" s="1213">
        <v>151.91999999999996</v>
      </c>
      <c r="E45" s="1">
        <f t="shared" si="11"/>
        <v>11.933912585571356</v>
      </c>
      <c r="G45" s="1276" t="s">
        <v>11</v>
      </c>
      <c r="H45" s="118">
        <f t="shared" si="16"/>
        <v>28753.376465350939</v>
      </c>
      <c r="I45" s="118">
        <f t="shared" si="17"/>
        <v>15304.458821783646</v>
      </c>
      <c r="J45" s="118">
        <f t="shared" si="18"/>
        <v>9739.3376465350939</v>
      </c>
      <c r="K45" s="118">
        <f t="shared" si="19"/>
        <v>2003.5337646535093</v>
      </c>
      <c r="L45" s="1265">
        <f t="shared" si="21"/>
        <v>55800.706698323193</v>
      </c>
      <c r="M45" s="1275">
        <f t="shared" si="20"/>
        <v>97.553683039026566</v>
      </c>
      <c r="N45" s="21">
        <f t="shared" si="22"/>
        <v>13148.285399999999</v>
      </c>
      <c r="U45" s="1262"/>
      <c r="V45" s="1263"/>
      <c r="W45" s="1262"/>
      <c r="X45" s="1262"/>
      <c r="Y45" s="264"/>
      <c r="AD45" s="235" t="s">
        <v>22</v>
      </c>
      <c r="AE45" s="1">
        <f>C37</f>
        <v>572</v>
      </c>
      <c r="AG45" s="1" t="s">
        <v>103</v>
      </c>
      <c r="AI45" s="1">
        <f t="shared" ref="AI45:AS45" si="23">AI30</f>
        <v>0</v>
      </c>
      <c r="AJ45" s="1">
        <f t="shared" si="23"/>
        <v>0</v>
      </c>
      <c r="AK45" s="1">
        <f t="shared" si="23"/>
        <v>0</v>
      </c>
      <c r="AL45" s="1">
        <f t="shared" si="23"/>
        <v>0</v>
      </c>
      <c r="AM45" s="1">
        <f t="shared" si="23"/>
        <v>0</v>
      </c>
      <c r="AN45" s="1">
        <f t="shared" si="23"/>
        <v>0</v>
      </c>
      <c r="AO45" s="1">
        <f t="shared" si="23"/>
        <v>0</v>
      </c>
      <c r="AP45" s="1">
        <f t="shared" si="23"/>
        <v>0</v>
      </c>
      <c r="AQ45" s="1">
        <f t="shared" si="23"/>
        <v>0</v>
      </c>
      <c r="AR45" s="1">
        <f t="shared" si="23"/>
        <v>0</v>
      </c>
      <c r="AS45" s="1">
        <f t="shared" si="23"/>
        <v>0</v>
      </c>
    </row>
    <row r="46" spans="1:46" ht="20.25" x14ac:dyDescent="0.3">
      <c r="B46" s="229" t="s">
        <v>20</v>
      </c>
      <c r="C46" s="1211">
        <v>100</v>
      </c>
      <c r="D46" s="1213">
        <v>28.04000000000002</v>
      </c>
      <c r="E46" s="1">
        <f t="shared" si="11"/>
        <v>3.5663338088445053</v>
      </c>
      <c r="G46" s="1274" t="s">
        <v>12</v>
      </c>
      <c r="H46" s="118">
        <f t="shared" si="16"/>
        <v>22607.422338155091</v>
      </c>
      <c r="I46" s="118">
        <f t="shared" si="17"/>
        <v>12535.807446051696</v>
      </c>
      <c r="J46" s="118">
        <f t="shared" si="18"/>
        <v>8260.7422338155084</v>
      </c>
      <c r="K46" s="118">
        <f t="shared" si="19"/>
        <v>1726.0742233815511</v>
      </c>
      <c r="L46" s="1265">
        <f t="shared" si="21"/>
        <v>45130.046241403848</v>
      </c>
      <c r="M46" s="1275">
        <f t="shared" si="20"/>
        <v>90.260092482807693</v>
      </c>
      <c r="N46" s="21">
        <f t="shared" si="22"/>
        <v>7612.5362000000041</v>
      </c>
      <c r="U46" s="1262"/>
      <c r="V46" s="1263"/>
      <c r="W46" s="1262"/>
      <c r="X46" s="1262"/>
      <c r="Y46" s="264"/>
      <c r="AI46" s="1">
        <f t="shared" ref="AI46:AT46" si="24">AI23</f>
        <v>0</v>
      </c>
      <c r="AJ46" s="1">
        <f t="shared" si="24"/>
        <v>0</v>
      </c>
      <c r="AK46" s="1">
        <f t="shared" si="24"/>
        <v>0</v>
      </c>
      <c r="AL46" s="1">
        <f t="shared" si="24"/>
        <v>0</v>
      </c>
      <c r="AM46" s="1">
        <f t="shared" si="24"/>
        <v>0</v>
      </c>
      <c r="AN46" s="1">
        <f t="shared" si="24"/>
        <v>0</v>
      </c>
      <c r="AO46" s="1">
        <f t="shared" si="24"/>
        <v>0</v>
      </c>
      <c r="AP46" s="1">
        <f t="shared" si="24"/>
        <v>0</v>
      </c>
      <c r="AQ46" s="1">
        <f t="shared" si="24"/>
        <v>0</v>
      </c>
      <c r="AR46" s="1">
        <f t="shared" si="24"/>
        <v>0</v>
      </c>
      <c r="AS46" s="1">
        <f t="shared" si="24"/>
        <v>0</v>
      </c>
      <c r="AT46" s="1">
        <f t="shared" si="24"/>
        <v>0</v>
      </c>
    </row>
    <row r="47" spans="1:46" ht="20.25" x14ac:dyDescent="0.3">
      <c r="B47" s="229" t="s">
        <v>21</v>
      </c>
      <c r="C47" s="1211">
        <v>1029</v>
      </c>
      <c r="D47" s="1213">
        <v>108.12</v>
      </c>
      <c r="E47" s="1">
        <f t="shared" si="11"/>
        <v>9.5172031076581565</v>
      </c>
      <c r="G47" s="1274" t="s">
        <v>13</v>
      </c>
      <c r="H47" s="118">
        <f t="shared" si="16"/>
        <v>45526.911775349159</v>
      </c>
      <c r="I47" s="118">
        <f t="shared" si="17"/>
        <v>30575.637258449719</v>
      </c>
      <c r="J47" s="118">
        <f t="shared" si="18"/>
        <v>23032.691177534914</v>
      </c>
      <c r="K47" s="118">
        <f t="shared" si="19"/>
        <v>5075.2691177534916</v>
      </c>
      <c r="L47" s="1265">
        <f t="shared" si="21"/>
        <v>104210.50932908728</v>
      </c>
      <c r="M47" s="1275">
        <f t="shared" si="20"/>
        <v>67.669161902004731</v>
      </c>
      <c r="N47" s="21">
        <f t="shared" si="22"/>
        <v>9349.8480999999829</v>
      </c>
      <c r="U47" s="1262"/>
      <c r="V47" s="1263"/>
      <c r="W47" s="1262"/>
      <c r="X47" s="1262"/>
      <c r="Y47" s="264"/>
      <c r="AD47" s="235" t="s">
        <v>33</v>
      </c>
      <c r="AE47" s="1">
        <f>SUM(AI47:AT47)</f>
        <v>0</v>
      </c>
      <c r="AG47" s="1" t="s">
        <v>106</v>
      </c>
      <c r="AI47" s="1">
        <f t="shared" ref="AI47:AS47" si="25">IF($AE$45&gt;AI46,(IF($AE$45-AJ46&gt;0,(AJ46-AI46)*$B$26*AI49,($AE$45-AI46)*$B$26*AI49)),0)</f>
        <v>0</v>
      </c>
      <c r="AJ47" s="1">
        <f t="shared" si="25"/>
        <v>0</v>
      </c>
      <c r="AK47" s="1">
        <f t="shared" si="25"/>
        <v>0</v>
      </c>
      <c r="AL47" s="1">
        <f t="shared" si="25"/>
        <v>0</v>
      </c>
      <c r="AM47" s="1">
        <f t="shared" si="25"/>
        <v>0</v>
      </c>
      <c r="AN47" s="1">
        <f t="shared" si="25"/>
        <v>0</v>
      </c>
      <c r="AO47" s="1">
        <f t="shared" si="25"/>
        <v>0</v>
      </c>
      <c r="AP47" s="1">
        <f t="shared" si="25"/>
        <v>0</v>
      </c>
      <c r="AQ47" s="1">
        <f t="shared" si="25"/>
        <v>0</v>
      </c>
      <c r="AR47" s="1">
        <f t="shared" si="25"/>
        <v>0</v>
      </c>
      <c r="AS47" s="1">
        <f t="shared" si="25"/>
        <v>0</v>
      </c>
    </row>
    <row r="48" spans="1:46" ht="20.25" x14ac:dyDescent="0.3">
      <c r="B48" s="229" t="s">
        <v>22</v>
      </c>
      <c r="C48" s="1211">
        <v>433</v>
      </c>
      <c r="D48" s="1213">
        <v>101.59000000000003</v>
      </c>
      <c r="E48" s="1">
        <f t="shared" si="11"/>
        <v>4.262230534501426</v>
      </c>
      <c r="G48" s="1274" t="s">
        <v>14</v>
      </c>
      <c r="H48" s="118">
        <f t="shared" si="16"/>
        <v>0</v>
      </c>
      <c r="I48" s="118">
        <f t="shared" si="17"/>
        <v>0</v>
      </c>
      <c r="J48" s="118">
        <f t="shared" si="18"/>
        <v>39764.133698168793</v>
      </c>
      <c r="K48" s="118">
        <f t="shared" si="19"/>
        <v>11939.61336981688</v>
      </c>
      <c r="L48" s="1265">
        <f t="shared" si="21"/>
        <v>51703.747067985671</v>
      </c>
      <c r="M48" s="1275">
        <f t="shared" si="20"/>
        <v>11.687103767627864</v>
      </c>
      <c r="N48" s="21">
        <f t="shared" si="22"/>
        <v>1665.7628999999993</v>
      </c>
      <c r="U48" s="1262"/>
      <c r="V48" s="1263"/>
      <c r="W48" s="1262"/>
      <c r="X48" s="1262"/>
      <c r="Y48" s="264"/>
    </row>
    <row r="49" spans="2:46" ht="15.75" customHeight="1" x14ac:dyDescent="0.3">
      <c r="B49" s="229" t="s">
        <v>135</v>
      </c>
      <c r="C49" s="1212">
        <v>11393</v>
      </c>
      <c r="D49" s="1213">
        <v>11.8</v>
      </c>
      <c r="E49" s="1">
        <f t="shared" si="11"/>
        <v>965.50847457627117</v>
      </c>
      <c r="G49" s="1274" t="s">
        <v>15</v>
      </c>
      <c r="H49" s="118">
        <f t="shared" si="16"/>
        <v>17498.643965343541</v>
      </c>
      <c r="I49" s="118">
        <f t="shared" si="17"/>
        <v>9132.8813217811803</v>
      </c>
      <c r="J49" s="118">
        <f t="shared" si="18"/>
        <v>5709.8643965343535</v>
      </c>
      <c r="K49" s="118">
        <f t="shared" si="19"/>
        <v>1164.9864396534356</v>
      </c>
      <c r="L49" s="1265">
        <f t="shared" si="21"/>
        <v>33506.376123312511</v>
      </c>
      <c r="M49" s="1275">
        <f t="shared" si="20"/>
        <v>101.53447310094701</v>
      </c>
      <c r="N49" s="21">
        <f t="shared" si="22"/>
        <v>10078.311799999999</v>
      </c>
      <c r="U49" s="1262"/>
      <c r="V49" s="1263"/>
      <c r="W49" s="1262"/>
      <c r="X49" s="1262"/>
      <c r="Y49" s="264"/>
      <c r="AG49" s="1" t="s">
        <v>109</v>
      </c>
      <c r="AI49" s="218">
        <f t="shared" ref="AI49:AT49" si="26">AI26</f>
        <v>0</v>
      </c>
      <c r="AJ49" s="218">
        <f t="shared" si="26"/>
        <v>0</v>
      </c>
      <c r="AK49" s="218">
        <f t="shared" si="26"/>
        <v>0</v>
      </c>
      <c r="AL49" s="218">
        <f t="shared" si="26"/>
        <v>0</v>
      </c>
      <c r="AM49" s="218">
        <f t="shared" si="26"/>
        <v>0</v>
      </c>
      <c r="AN49" s="218">
        <f t="shared" si="26"/>
        <v>0</v>
      </c>
      <c r="AO49" s="218">
        <f t="shared" si="26"/>
        <v>0</v>
      </c>
      <c r="AP49" s="218">
        <f t="shared" si="26"/>
        <v>0</v>
      </c>
      <c r="AQ49" s="218">
        <f t="shared" si="26"/>
        <v>0</v>
      </c>
      <c r="AR49" s="218">
        <f t="shared" si="26"/>
        <v>0</v>
      </c>
      <c r="AS49" s="218">
        <f t="shared" si="26"/>
        <v>0</v>
      </c>
      <c r="AT49" s="218">
        <f t="shared" si="26"/>
        <v>0</v>
      </c>
    </row>
    <row r="50" spans="2:46" ht="15" customHeight="1" x14ac:dyDescent="0.25">
      <c r="B50" s="229"/>
      <c r="C50" s="229"/>
      <c r="G50" s="1277" t="s">
        <v>16</v>
      </c>
      <c r="H50" s="118">
        <f t="shared" si="16"/>
        <v>12838.916601101504</v>
      </c>
      <c r="I50" s="118">
        <f t="shared" si="17"/>
        <v>6789.6388670338347</v>
      </c>
      <c r="J50" s="118">
        <f t="shared" si="18"/>
        <v>4295.89166011015</v>
      </c>
      <c r="K50" s="118">
        <f t="shared" si="19"/>
        <v>881.38916601101505</v>
      </c>
      <c r="L50" s="1265">
        <f t="shared" si="21"/>
        <v>24805.836294256507</v>
      </c>
      <c r="M50" s="1275">
        <f t="shared" si="20"/>
        <v>98.828033044846649</v>
      </c>
      <c r="N50" s="21">
        <f t="shared" si="22"/>
        <v>6280.5215000000226</v>
      </c>
      <c r="U50" s="1262"/>
      <c r="V50" s="1263"/>
      <c r="W50" s="1262"/>
      <c r="X50" s="1262"/>
      <c r="Y50" s="264"/>
    </row>
    <row r="51" spans="2:46" ht="20.25" x14ac:dyDescent="0.3">
      <c r="B51" s="229" t="s">
        <v>32</v>
      </c>
      <c r="C51" s="36"/>
      <c r="D51" s="36"/>
      <c r="E51" s="1250"/>
      <c r="G51" s="1274" t="s">
        <v>17</v>
      </c>
      <c r="H51" s="118">
        <f t="shared" si="16"/>
        <v>22926.008489564945</v>
      </c>
      <c r="I51" s="118">
        <f t="shared" si="17"/>
        <v>26902.002829854981</v>
      </c>
      <c r="J51" s="118">
        <f t="shared" si="18"/>
        <v>25404.600848956496</v>
      </c>
      <c r="K51" s="118">
        <f t="shared" si="19"/>
        <v>6007.260084895649</v>
      </c>
      <c r="L51" s="1265">
        <f t="shared" si="21"/>
        <v>81239.872253272071</v>
      </c>
      <c r="M51" s="1275">
        <f t="shared" si="20"/>
        <v>42.1806190307747</v>
      </c>
      <c r="N51" s="21">
        <f t="shared" si="22"/>
        <v>4769.784400000005</v>
      </c>
      <c r="U51" s="1262"/>
      <c r="V51" s="1263"/>
      <c r="W51" s="1262"/>
      <c r="X51" s="1262"/>
      <c r="Y51" s="264"/>
    </row>
    <row r="52" spans="2:46" ht="20.25" x14ac:dyDescent="0.3">
      <c r="B52" s="229"/>
      <c r="C52" s="36"/>
      <c r="D52" s="36"/>
      <c r="E52" s="1250"/>
      <c r="G52" s="1274" t="s">
        <v>18</v>
      </c>
      <c r="H52" s="118">
        <f t="shared" si="16"/>
        <v>11906.837837837837</v>
      </c>
      <c r="I52" s="118">
        <f t="shared" si="17"/>
        <v>8098.9459459459449</v>
      </c>
      <c r="J52" s="118">
        <f t="shared" si="18"/>
        <v>6146.6837837837829</v>
      </c>
      <c r="K52" s="118">
        <f t="shared" si="19"/>
        <v>1358.0683783783784</v>
      </c>
      <c r="L52" s="1265">
        <f t="shared" si="21"/>
        <v>27510.53594594594</v>
      </c>
      <c r="M52" s="1275">
        <f t="shared" si="20"/>
        <v>66.611467181467162</v>
      </c>
      <c r="N52" s="21">
        <f t="shared" si="22"/>
        <v>2415.3317999999995</v>
      </c>
      <c r="U52" s="1262"/>
      <c r="V52" s="1263"/>
      <c r="W52" s="1262"/>
      <c r="X52" s="1262"/>
      <c r="Y52" s="264"/>
      <c r="AD52" s="235" t="s">
        <v>15</v>
      </c>
      <c r="AE52" s="1">
        <f>C38</f>
        <v>500</v>
      </c>
      <c r="AG52" s="1" t="s">
        <v>103</v>
      </c>
      <c r="AI52" s="1">
        <f t="shared" ref="AI52:AS52" si="27">AI30</f>
        <v>0</v>
      </c>
      <c r="AJ52" s="1">
        <f t="shared" si="27"/>
        <v>0</v>
      </c>
      <c r="AK52" s="1">
        <f t="shared" si="27"/>
        <v>0</v>
      </c>
      <c r="AL52" s="1">
        <f t="shared" si="27"/>
        <v>0</v>
      </c>
      <c r="AM52" s="1">
        <f t="shared" si="27"/>
        <v>0</v>
      </c>
      <c r="AN52" s="1">
        <f t="shared" si="27"/>
        <v>0</v>
      </c>
      <c r="AO52" s="1">
        <f t="shared" si="27"/>
        <v>0</v>
      </c>
      <c r="AP52" s="1">
        <f t="shared" si="27"/>
        <v>0</v>
      </c>
      <c r="AQ52" s="1">
        <f t="shared" si="27"/>
        <v>0</v>
      </c>
      <c r="AR52" s="1">
        <f t="shared" si="27"/>
        <v>0</v>
      </c>
      <c r="AS52" s="1">
        <f t="shared" si="27"/>
        <v>0</v>
      </c>
    </row>
    <row r="53" spans="2:46" ht="20.25" x14ac:dyDescent="0.3">
      <c r="B53" s="229" t="s">
        <v>136</v>
      </c>
      <c r="C53" s="36"/>
      <c r="D53" s="36"/>
      <c r="E53" s="1250"/>
      <c r="G53" s="1274" t="s">
        <v>19</v>
      </c>
      <c r="H53" s="118">
        <f t="shared" si="16"/>
        <v>49310.449447077393</v>
      </c>
      <c r="I53" s="118">
        <f t="shared" si="17"/>
        <v>34566.816482359129</v>
      </c>
      <c r="J53" s="118">
        <f t="shared" si="18"/>
        <v>26687.044944707741</v>
      </c>
      <c r="K53" s="118">
        <f t="shared" si="19"/>
        <v>5932.1044944707728</v>
      </c>
      <c r="L53" s="1265">
        <f t="shared" si="21"/>
        <v>116496.41536861502</v>
      </c>
      <c r="M53" s="1275">
        <f t="shared" si="20"/>
        <v>64.256158504476019</v>
      </c>
      <c r="N53" s="21">
        <f t="shared" si="22"/>
        <v>9761.795599999994</v>
      </c>
      <c r="U53" s="1262"/>
      <c r="V53" s="1263"/>
      <c r="W53" s="1262"/>
      <c r="X53" s="1262"/>
      <c r="Y53" s="264"/>
      <c r="AI53" s="1">
        <f t="shared" ref="AI53:AT53" si="28">AI23</f>
        <v>0</v>
      </c>
      <c r="AJ53" s="1">
        <f t="shared" si="28"/>
        <v>0</v>
      </c>
      <c r="AK53" s="1">
        <f t="shared" si="28"/>
        <v>0</v>
      </c>
      <c r="AL53" s="1">
        <f t="shared" si="28"/>
        <v>0</v>
      </c>
      <c r="AM53" s="1">
        <f t="shared" si="28"/>
        <v>0</v>
      </c>
      <c r="AN53" s="1">
        <f t="shared" si="28"/>
        <v>0</v>
      </c>
      <c r="AO53" s="1">
        <f t="shared" si="28"/>
        <v>0</v>
      </c>
      <c r="AP53" s="1">
        <f t="shared" si="28"/>
        <v>0</v>
      </c>
      <c r="AQ53" s="1">
        <f t="shared" si="28"/>
        <v>0</v>
      </c>
      <c r="AR53" s="1">
        <f t="shared" si="28"/>
        <v>0</v>
      </c>
      <c r="AS53" s="1">
        <f t="shared" si="28"/>
        <v>0</v>
      </c>
      <c r="AT53" s="1">
        <f t="shared" si="28"/>
        <v>0</v>
      </c>
    </row>
    <row r="54" spans="2:46" ht="15.75" x14ac:dyDescent="0.25">
      <c r="G54" s="1274" t="s">
        <v>20</v>
      </c>
      <c r="H54" s="118">
        <f t="shared" si="16"/>
        <v>5230.0998573466486</v>
      </c>
      <c r="I54" s="118">
        <f t="shared" si="17"/>
        <v>2743.3666191155494</v>
      </c>
      <c r="J54" s="118">
        <f t="shared" si="18"/>
        <v>1723.009985734665</v>
      </c>
      <c r="K54" s="118">
        <f t="shared" si="19"/>
        <v>352.30099857346647</v>
      </c>
      <c r="L54" s="1265">
        <f t="shared" si="21"/>
        <v>10048.777460770329</v>
      </c>
      <c r="M54" s="1275">
        <f t="shared" si="20"/>
        <v>100.48777460770329</v>
      </c>
      <c r="N54" s="21">
        <f t="shared" si="22"/>
        <v>2817.6772000000019</v>
      </c>
      <c r="U54" s="1262"/>
      <c r="V54" s="1263"/>
      <c r="W54" s="1262"/>
      <c r="X54" s="1262"/>
      <c r="Y54" s="264"/>
      <c r="AD54" s="235" t="s">
        <v>33</v>
      </c>
      <c r="AE54" s="1">
        <f>SUM(AI54:AT54)</f>
        <v>0</v>
      </c>
      <c r="AG54" s="1" t="s">
        <v>106</v>
      </c>
      <c r="AI54" s="1">
        <f t="shared" ref="AI54:AS54" si="29">IF($AE$52&gt;AI53,(IF($AE$52-AJ53&gt;0,(AJ53-AI53)*$B$26*AI56,($AE$52-AI53)*$B$26*AI56)),0)</f>
        <v>0</v>
      </c>
      <c r="AJ54" s="1">
        <f t="shared" si="29"/>
        <v>0</v>
      </c>
      <c r="AK54" s="1">
        <f t="shared" si="29"/>
        <v>0</v>
      </c>
      <c r="AL54" s="1">
        <f t="shared" si="29"/>
        <v>0</v>
      </c>
      <c r="AM54" s="1">
        <f t="shared" si="29"/>
        <v>0</v>
      </c>
      <c r="AN54" s="1">
        <f t="shared" si="29"/>
        <v>0</v>
      </c>
      <c r="AO54" s="1">
        <f t="shared" si="29"/>
        <v>0</v>
      </c>
      <c r="AP54" s="1">
        <f t="shared" si="29"/>
        <v>0</v>
      </c>
      <c r="AQ54" s="1">
        <f t="shared" si="29"/>
        <v>0</v>
      </c>
      <c r="AR54" s="1">
        <f t="shared" si="29"/>
        <v>0</v>
      </c>
      <c r="AS54" s="1">
        <f t="shared" si="29"/>
        <v>0</v>
      </c>
    </row>
    <row r="55" spans="2:46" ht="20.25" x14ac:dyDescent="0.3">
      <c r="B55" s="9" t="s">
        <v>661</v>
      </c>
      <c r="C55" s="36">
        <v>4049</v>
      </c>
      <c r="D55" s="36">
        <v>315.71000000000004</v>
      </c>
      <c r="E55" s="1250">
        <v>12.825060973678374</v>
      </c>
      <c r="G55" s="1274" t="s">
        <v>21</v>
      </c>
      <c r="H55" s="118">
        <f t="shared" si="16"/>
        <v>35447.39400665927</v>
      </c>
      <c r="I55" s="118">
        <f t="shared" si="17"/>
        <v>22105.798002219759</v>
      </c>
      <c r="J55" s="118">
        <f t="shared" si="18"/>
        <v>15892.739400665927</v>
      </c>
      <c r="K55" s="118">
        <f t="shared" si="19"/>
        <v>3441.4739400665921</v>
      </c>
      <c r="L55" s="1265">
        <f t="shared" si="21"/>
        <v>76887.405349611538</v>
      </c>
      <c r="M55" s="1275">
        <f t="shared" si="20"/>
        <v>74.720510543840177</v>
      </c>
      <c r="N55" s="21">
        <f t="shared" si="22"/>
        <v>8078.7816000000003</v>
      </c>
      <c r="U55" s="1262"/>
      <c r="V55" s="1263"/>
      <c r="W55" s="1262"/>
      <c r="X55" s="1262"/>
      <c r="Y55" s="264"/>
    </row>
    <row r="56" spans="2:46" ht="20.25" x14ac:dyDescent="0.3">
      <c r="B56" s="9" t="s">
        <v>660</v>
      </c>
      <c r="C56" s="36">
        <v>2161</v>
      </c>
      <c r="D56" s="36">
        <v>535.22000000000025</v>
      </c>
      <c r="E56" s="1250">
        <v>4.0375920182354896</v>
      </c>
      <c r="G56" s="1274" t="s">
        <v>22</v>
      </c>
      <c r="H56" s="118">
        <f t="shared" si="16"/>
        <v>21742.362535682649</v>
      </c>
      <c r="I56" s="118">
        <f t="shared" si="17"/>
        <v>11577.454178560882</v>
      </c>
      <c r="J56" s="118">
        <f t="shared" si="18"/>
        <v>7370.2362535682641</v>
      </c>
      <c r="K56" s="118">
        <f t="shared" si="19"/>
        <v>1516.4236253568265</v>
      </c>
      <c r="L56" s="1265">
        <f t="shared" si="21"/>
        <v>42206.476593168612</v>
      </c>
      <c r="M56" s="1275">
        <f t="shared" si="20"/>
        <v>97.474541785608807</v>
      </c>
      <c r="N56" s="21">
        <f t="shared" si="22"/>
        <v>9902.4387000000024</v>
      </c>
      <c r="U56" s="1262"/>
      <c r="V56" s="1263"/>
      <c r="W56" s="1262"/>
      <c r="X56" s="1262"/>
      <c r="Y56" s="264"/>
      <c r="AG56" s="1" t="s">
        <v>109</v>
      </c>
      <c r="AI56" s="218">
        <f t="shared" ref="AI56:AT56" si="30">AI26</f>
        <v>0</v>
      </c>
      <c r="AJ56" s="218">
        <f t="shared" si="30"/>
        <v>0</v>
      </c>
      <c r="AK56" s="218">
        <f t="shared" si="30"/>
        <v>0</v>
      </c>
      <c r="AL56" s="218">
        <f t="shared" si="30"/>
        <v>0</v>
      </c>
      <c r="AM56" s="218">
        <f t="shared" si="30"/>
        <v>0</v>
      </c>
      <c r="AN56" s="218">
        <f t="shared" si="30"/>
        <v>0</v>
      </c>
      <c r="AO56" s="218">
        <f t="shared" si="30"/>
        <v>0</v>
      </c>
      <c r="AP56" s="218">
        <f t="shared" si="30"/>
        <v>0</v>
      </c>
      <c r="AQ56" s="218">
        <f t="shared" si="30"/>
        <v>0</v>
      </c>
      <c r="AR56" s="218">
        <f t="shared" si="30"/>
        <v>0</v>
      </c>
      <c r="AS56" s="218">
        <f t="shared" si="30"/>
        <v>0</v>
      </c>
      <c r="AT56" s="218">
        <f t="shared" si="30"/>
        <v>0</v>
      </c>
    </row>
    <row r="57" spans="2:46" ht="21" thickBot="1" x14ac:dyDescent="0.35">
      <c r="B57" s="9" t="s">
        <v>662</v>
      </c>
      <c r="C57" s="36">
        <v>2339</v>
      </c>
      <c r="D57" s="36">
        <v>149.34000000000003</v>
      </c>
      <c r="E57" s="1250">
        <v>15.662247221106197</v>
      </c>
      <c r="G57" s="1278" t="s">
        <v>135</v>
      </c>
      <c r="H57" s="1279">
        <f t="shared" si="16"/>
        <v>0</v>
      </c>
      <c r="I57" s="1279">
        <f t="shared" si="17"/>
        <v>0</v>
      </c>
      <c r="J57" s="1279">
        <f t="shared" si="18"/>
        <v>0</v>
      </c>
      <c r="K57" s="1279">
        <f t="shared" si="19"/>
        <v>0</v>
      </c>
      <c r="L57" s="1280">
        <f t="shared" si="21"/>
        <v>0</v>
      </c>
      <c r="M57" s="1281">
        <f t="shared" si="20"/>
        <v>0</v>
      </c>
      <c r="N57" s="21">
        <f t="shared" si="22"/>
        <v>0</v>
      </c>
      <c r="U57" s="1262"/>
      <c r="V57" s="1263"/>
      <c r="W57" s="1262"/>
      <c r="X57" s="1262"/>
      <c r="Y57" s="264"/>
    </row>
    <row r="58" spans="2:46" ht="16.5" thickBot="1" x14ac:dyDescent="0.3">
      <c r="G58" s="1264"/>
      <c r="H58" s="1264"/>
      <c r="I58" s="1264"/>
      <c r="J58" s="1264"/>
      <c r="K58" s="1264"/>
      <c r="L58" s="1265"/>
      <c r="M58" s="1264"/>
      <c r="U58" s="1262"/>
      <c r="V58" s="1263"/>
      <c r="W58" s="1262"/>
      <c r="X58" s="1262"/>
      <c r="Y58" s="264"/>
    </row>
    <row r="59" spans="2:46" ht="21" thickBot="1" x14ac:dyDescent="0.35">
      <c r="B59" s="1" t="s">
        <v>24</v>
      </c>
      <c r="C59" s="511">
        <f>SUM(C43:C58)</f>
        <v>25656</v>
      </c>
      <c r="D59" s="511">
        <f>SUM(D43:D58)</f>
        <v>1551.0800000000004</v>
      </c>
      <c r="E59" s="1252">
        <f t="shared" ref="E59" si="31">C59/D59</f>
        <v>16.54073290868298</v>
      </c>
      <c r="G59" s="1264"/>
      <c r="H59" s="118">
        <f>SUM(H42:H57)</f>
        <v>336310.35959660518</v>
      </c>
      <c r="I59" s="118">
        <f>SUM(I42:I57)</f>
        <v>240593.4531988684</v>
      </c>
      <c r="J59" s="118">
        <f>SUM(J42:J57)</f>
        <v>227583.16965782933</v>
      </c>
      <c r="K59" s="118">
        <f>SUM(K42:K57)</f>
        <v>53849.716965782929</v>
      </c>
      <c r="L59" s="1265">
        <f t="shared" si="21"/>
        <v>858336.69941908587</v>
      </c>
      <c r="M59" s="118"/>
      <c r="U59" s="1262"/>
      <c r="V59" s="1263"/>
      <c r="W59" s="1262"/>
      <c r="X59" s="1262"/>
      <c r="Y59" s="264"/>
    </row>
    <row r="60" spans="2:46" ht="15.75" x14ac:dyDescent="0.25">
      <c r="G60" s="1264"/>
      <c r="H60" s="1264"/>
      <c r="I60" s="1264"/>
      <c r="J60" s="1264"/>
      <c r="K60" s="1264"/>
      <c r="L60" s="1219"/>
      <c r="M60" s="1264"/>
      <c r="U60" s="1262"/>
      <c r="V60" s="1263"/>
      <c r="W60" s="1262"/>
      <c r="X60" s="1262"/>
      <c r="Y60" s="264"/>
      <c r="AD60" s="235" t="s">
        <v>128</v>
      </c>
      <c r="AE60" s="1">
        <f>C39</f>
        <v>1540</v>
      </c>
      <c r="AG60" s="1" t="s">
        <v>103</v>
      </c>
      <c r="AI60" s="1">
        <f t="shared" ref="AI60:AS60" si="32">AI30</f>
        <v>0</v>
      </c>
      <c r="AJ60" s="1">
        <f t="shared" si="32"/>
        <v>0</v>
      </c>
      <c r="AK60" s="1">
        <f t="shared" si="32"/>
        <v>0</v>
      </c>
      <c r="AL60" s="1">
        <f t="shared" si="32"/>
        <v>0</v>
      </c>
      <c r="AM60" s="1">
        <f t="shared" si="32"/>
        <v>0</v>
      </c>
      <c r="AN60" s="1">
        <f t="shared" si="32"/>
        <v>0</v>
      </c>
      <c r="AO60" s="1">
        <f t="shared" si="32"/>
        <v>0</v>
      </c>
      <c r="AP60" s="1">
        <f t="shared" si="32"/>
        <v>0</v>
      </c>
      <c r="AQ60" s="1">
        <f t="shared" si="32"/>
        <v>0</v>
      </c>
      <c r="AR60" s="1">
        <f t="shared" si="32"/>
        <v>0</v>
      </c>
      <c r="AS60" s="1">
        <f t="shared" si="32"/>
        <v>0</v>
      </c>
    </row>
    <row r="61" spans="2:46" ht="15.75" x14ac:dyDescent="0.25">
      <c r="G61" s="1264"/>
      <c r="H61" s="1264"/>
      <c r="I61" s="1264"/>
      <c r="J61" s="1264"/>
      <c r="K61" s="1264"/>
      <c r="L61" s="1219"/>
      <c r="M61" s="1264"/>
      <c r="U61" s="1262"/>
      <c r="V61" s="1262"/>
      <c r="W61" s="1262"/>
      <c r="X61" s="1262"/>
      <c r="Y61" s="264"/>
      <c r="AI61" s="1">
        <f t="shared" ref="AI61:AT61" si="33">AI23</f>
        <v>0</v>
      </c>
      <c r="AJ61" s="1">
        <f t="shared" si="33"/>
        <v>0</v>
      </c>
      <c r="AK61" s="1">
        <f t="shared" si="33"/>
        <v>0</v>
      </c>
      <c r="AL61" s="1">
        <f t="shared" si="33"/>
        <v>0</v>
      </c>
      <c r="AM61" s="1">
        <f t="shared" si="33"/>
        <v>0</v>
      </c>
      <c r="AN61" s="1">
        <f t="shared" si="33"/>
        <v>0</v>
      </c>
      <c r="AO61" s="1">
        <f t="shared" si="33"/>
        <v>0</v>
      </c>
      <c r="AP61" s="1">
        <f t="shared" si="33"/>
        <v>0</v>
      </c>
      <c r="AQ61" s="1">
        <f t="shared" si="33"/>
        <v>0</v>
      </c>
      <c r="AR61" s="1">
        <f t="shared" si="33"/>
        <v>0</v>
      </c>
      <c r="AS61" s="1">
        <f t="shared" si="33"/>
        <v>0</v>
      </c>
      <c r="AT61" s="1">
        <f t="shared" si="33"/>
        <v>0</v>
      </c>
    </row>
    <row r="62" spans="2:46" ht="15.75" x14ac:dyDescent="0.25">
      <c r="G62" s="1264"/>
      <c r="H62" s="1264">
        <f t="shared" ref="H62:H68" si="34">IF($D$27-E54&gt;0,($D$27-E54)*C54*$G$27,0)</f>
        <v>0</v>
      </c>
      <c r="I62" s="1264">
        <f t="shared" ref="I62:I68" si="35">IF($D$28-E54&gt;0,($D$28-E54)*C54*$G$28,0)</f>
        <v>0</v>
      </c>
      <c r="J62" s="1264">
        <f t="shared" ref="J62:J68" si="36">IF($D$29-E54&gt;0,($D$29-E54)*C54*$G$29,0)</f>
        <v>0</v>
      </c>
      <c r="K62" s="1264">
        <f t="shared" ref="K62:K68" si="37">IF($D$30-E54&gt;0,($D$30-E54)*C54*$G$30,0)</f>
        <v>0</v>
      </c>
      <c r="L62" s="1219">
        <f t="shared" ref="L62" si="38">SUM(H62:K62)</f>
        <v>0</v>
      </c>
      <c r="M62" s="1264"/>
      <c r="U62" s="1263"/>
      <c r="V62" s="1263"/>
      <c r="W62" s="1262"/>
      <c r="X62" s="1262"/>
      <c r="Y62" s="264"/>
      <c r="AD62" s="235" t="s">
        <v>33</v>
      </c>
      <c r="AE62" s="1">
        <f>SUM(AI62:AT62)</f>
        <v>0</v>
      </c>
      <c r="AG62" s="1" t="s">
        <v>106</v>
      </c>
      <c r="AI62" s="1">
        <f t="shared" ref="AI62:AS62" si="39">IF($AE$60&gt;AI61,(IF($AE$60-AJ61&gt;0,(AJ61-AI61)*$B$26*AI64,($AE$60-AI61)*$B$26*AI64)),0)</f>
        <v>0</v>
      </c>
      <c r="AJ62" s="1">
        <f t="shared" si="39"/>
        <v>0</v>
      </c>
      <c r="AK62" s="1">
        <f t="shared" si="39"/>
        <v>0</v>
      </c>
      <c r="AL62" s="1">
        <f t="shared" si="39"/>
        <v>0</v>
      </c>
      <c r="AM62" s="1">
        <f t="shared" si="39"/>
        <v>0</v>
      </c>
      <c r="AN62" s="1">
        <f t="shared" si="39"/>
        <v>0</v>
      </c>
      <c r="AO62" s="1">
        <f t="shared" si="39"/>
        <v>0</v>
      </c>
      <c r="AP62" s="1">
        <f t="shared" si="39"/>
        <v>0</v>
      </c>
      <c r="AQ62" s="1">
        <f t="shared" si="39"/>
        <v>0</v>
      </c>
      <c r="AR62" s="1">
        <f t="shared" si="39"/>
        <v>0</v>
      </c>
      <c r="AS62" s="1">
        <f t="shared" si="39"/>
        <v>0</v>
      </c>
    </row>
    <row r="63" spans="2:46" ht="15.75" x14ac:dyDescent="0.25">
      <c r="G63" s="9" t="s">
        <v>661</v>
      </c>
      <c r="H63" s="118">
        <f t="shared" si="34"/>
        <v>99300.984352728789</v>
      </c>
      <c r="I63" s="118">
        <f t="shared" si="35"/>
        <v>73590.328117576253</v>
      </c>
      <c r="J63" s="118">
        <f t="shared" si="36"/>
        <v>58518.098435272877</v>
      </c>
      <c r="K63" s="118">
        <f t="shared" si="37"/>
        <v>13140.009843527287</v>
      </c>
      <c r="L63" s="1265">
        <f t="shared" ref="L63:L65" si="40">SUM(H63:K63)</f>
        <v>244549.42074910519</v>
      </c>
      <c r="M63" s="1264"/>
      <c r="U63" s="1262"/>
      <c r="V63" s="1262"/>
      <c r="W63" s="1262"/>
      <c r="X63" s="1262"/>
      <c r="Y63" s="264"/>
    </row>
    <row r="64" spans="2:46" ht="15.75" x14ac:dyDescent="0.25">
      <c r="G64" s="9" t="s">
        <v>660</v>
      </c>
      <c r="H64" s="118">
        <f t="shared" si="34"/>
        <v>109967.29094577933</v>
      </c>
      <c r="I64" s="118">
        <f t="shared" si="35"/>
        <v>58265.763648593107</v>
      </c>
      <c r="J64" s="118">
        <f t="shared" si="36"/>
        <v>36928.729094577931</v>
      </c>
      <c r="K64" s="118">
        <f t="shared" si="37"/>
        <v>7582.6729094577931</v>
      </c>
      <c r="L64" s="1265">
        <f t="shared" si="40"/>
        <v>212744.45659840814</v>
      </c>
      <c r="M64" s="117"/>
      <c r="U64" s="1262"/>
      <c r="V64" s="1262"/>
      <c r="W64" s="1262"/>
      <c r="X64" s="1262"/>
      <c r="Y64" s="264"/>
      <c r="AG64" s="1" t="s">
        <v>109</v>
      </c>
      <c r="AI64" s="218">
        <f t="shared" ref="AI64:AT64" si="41">AI26</f>
        <v>0</v>
      </c>
      <c r="AJ64" s="218">
        <f t="shared" si="41"/>
        <v>0</v>
      </c>
      <c r="AK64" s="218">
        <f t="shared" si="41"/>
        <v>0</v>
      </c>
      <c r="AL64" s="218">
        <f t="shared" si="41"/>
        <v>0</v>
      </c>
      <c r="AM64" s="218">
        <f t="shared" si="41"/>
        <v>0</v>
      </c>
      <c r="AN64" s="218">
        <f t="shared" si="41"/>
        <v>0</v>
      </c>
      <c r="AO64" s="218">
        <f t="shared" si="41"/>
        <v>0</v>
      </c>
      <c r="AP64" s="218">
        <f t="shared" si="41"/>
        <v>0</v>
      </c>
      <c r="AQ64" s="218">
        <f t="shared" si="41"/>
        <v>0</v>
      </c>
      <c r="AR64" s="218">
        <f t="shared" si="41"/>
        <v>0</v>
      </c>
      <c r="AS64" s="218">
        <f t="shared" si="41"/>
        <v>0</v>
      </c>
      <c r="AT64" s="218">
        <f t="shared" si="41"/>
        <v>0</v>
      </c>
    </row>
    <row r="65" spans="7:46" ht="15.75" x14ac:dyDescent="0.25">
      <c r="G65" s="9" t="s">
        <v>662</v>
      </c>
      <c r="H65" s="118">
        <f t="shared" si="34"/>
        <v>37455.011249497817</v>
      </c>
      <c r="I65" s="118">
        <f t="shared" si="35"/>
        <v>35875.003749832606</v>
      </c>
      <c r="J65" s="118">
        <f t="shared" si="36"/>
        <v>31813.501124949777</v>
      </c>
      <c r="K65" s="118">
        <f t="shared" si="37"/>
        <v>7391.5501124949778</v>
      </c>
      <c r="L65" s="1265">
        <f t="shared" si="40"/>
        <v>112535.06623677518</v>
      </c>
      <c r="M65" s="117"/>
      <c r="U65" s="1262"/>
      <c r="V65" s="1262"/>
      <c r="W65" s="1262"/>
      <c r="X65" s="1262"/>
      <c r="Y65" s="264"/>
    </row>
    <row r="66" spans="7:46" ht="16.5" thickBot="1" x14ac:dyDescent="0.3">
      <c r="G66" s="117"/>
      <c r="H66" s="118">
        <f t="shared" si="34"/>
        <v>0</v>
      </c>
      <c r="I66" s="118">
        <f t="shared" si="35"/>
        <v>0</v>
      </c>
      <c r="J66" s="118">
        <f t="shared" si="36"/>
        <v>0</v>
      </c>
      <c r="K66" s="118">
        <f t="shared" si="37"/>
        <v>0</v>
      </c>
      <c r="L66" s="1265">
        <f t="shared" ref="L66:L68" si="42">SUM(H66:K66)</f>
        <v>0</v>
      </c>
      <c r="M66" s="117"/>
      <c r="U66" s="1262"/>
      <c r="V66" s="1262"/>
      <c r="W66" s="1262"/>
      <c r="X66" s="1262"/>
      <c r="Y66" s="279"/>
    </row>
    <row r="67" spans="7:46" ht="15.75" x14ac:dyDescent="0.25">
      <c r="G67" s="119" t="s">
        <v>24</v>
      </c>
      <c r="H67" s="1266">
        <f t="shared" si="34"/>
        <v>343220.86948448839</v>
      </c>
      <c r="I67" s="1266">
        <f t="shared" si="35"/>
        <v>370966.95649482944</v>
      </c>
      <c r="J67" s="1266">
        <f t="shared" si="36"/>
        <v>342194.08694844879</v>
      </c>
      <c r="K67" s="1266">
        <f t="shared" si="37"/>
        <v>80400.20869484487</v>
      </c>
      <c r="L67" s="1267">
        <f t="shared" si="42"/>
        <v>1136782.1216226115</v>
      </c>
      <c r="M67" s="119"/>
      <c r="U67" s="9"/>
      <c r="V67" s="9"/>
      <c r="W67" s="9"/>
      <c r="X67" s="9"/>
      <c r="AD67" s="280" t="s">
        <v>16</v>
      </c>
      <c r="AE67" s="1">
        <f>C40</f>
        <v>4424</v>
      </c>
      <c r="AG67" s="1" t="s">
        <v>103</v>
      </c>
      <c r="AI67" s="1">
        <f t="shared" ref="AI67:AS67" si="43">AI30</f>
        <v>0</v>
      </c>
      <c r="AJ67" s="1">
        <f t="shared" si="43"/>
        <v>0</v>
      </c>
      <c r="AK67" s="1">
        <f t="shared" si="43"/>
        <v>0</v>
      </c>
      <c r="AL67" s="1">
        <f t="shared" si="43"/>
        <v>0</v>
      </c>
      <c r="AM67" s="1">
        <f t="shared" si="43"/>
        <v>0</v>
      </c>
      <c r="AN67" s="1">
        <f t="shared" si="43"/>
        <v>0</v>
      </c>
      <c r="AO67" s="1">
        <f t="shared" si="43"/>
        <v>0</v>
      </c>
      <c r="AP67" s="1">
        <f t="shared" si="43"/>
        <v>0</v>
      </c>
      <c r="AQ67" s="1">
        <f t="shared" si="43"/>
        <v>0</v>
      </c>
      <c r="AR67" s="1">
        <f t="shared" si="43"/>
        <v>0</v>
      </c>
      <c r="AS67" s="1">
        <f t="shared" si="43"/>
        <v>0</v>
      </c>
    </row>
    <row r="68" spans="7:46" x14ac:dyDescent="0.2">
      <c r="G68" s="1268"/>
      <c r="H68" s="1266">
        <f t="shared" si="34"/>
        <v>0</v>
      </c>
      <c r="I68" s="1266">
        <f t="shared" si="35"/>
        <v>0</v>
      </c>
      <c r="J68" s="1266">
        <f t="shared" si="36"/>
        <v>0</v>
      </c>
      <c r="K68" s="1266">
        <f t="shared" si="37"/>
        <v>0</v>
      </c>
      <c r="L68" s="1266">
        <f t="shared" si="42"/>
        <v>0</v>
      </c>
      <c r="M68" s="1268"/>
      <c r="U68" s="9"/>
      <c r="V68" s="9"/>
      <c r="W68" s="9"/>
      <c r="X68" s="9"/>
      <c r="AI68" s="1">
        <f t="shared" ref="AI68:AT68" si="44">AI23</f>
        <v>0</v>
      </c>
      <c r="AJ68" s="1">
        <f t="shared" si="44"/>
        <v>0</v>
      </c>
      <c r="AK68" s="1">
        <f t="shared" si="44"/>
        <v>0</v>
      </c>
      <c r="AL68" s="1">
        <f t="shared" si="44"/>
        <v>0</v>
      </c>
      <c r="AM68" s="1">
        <f t="shared" si="44"/>
        <v>0</v>
      </c>
      <c r="AN68" s="1">
        <f t="shared" si="44"/>
        <v>0</v>
      </c>
      <c r="AO68" s="1">
        <f t="shared" si="44"/>
        <v>0</v>
      </c>
      <c r="AP68" s="1">
        <f t="shared" si="44"/>
        <v>0</v>
      </c>
      <c r="AQ68" s="1">
        <f t="shared" si="44"/>
        <v>0</v>
      </c>
      <c r="AR68" s="1">
        <f t="shared" si="44"/>
        <v>0</v>
      </c>
      <c r="AS68" s="1">
        <f t="shared" si="44"/>
        <v>0</v>
      </c>
      <c r="AT68" s="1">
        <f t="shared" si="44"/>
        <v>0</v>
      </c>
    </row>
    <row r="69" spans="7:46" x14ac:dyDescent="0.2">
      <c r="G69" s="9"/>
      <c r="H69" s="9"/>
      <c r="I69" s="9"/>
      <c r="J69" s="9"/>
      <c r="K69" s="9"/>
      <c r="L69" s="9"/>
      <c r="M69" s="9"/>
      <c r="U69" s="9"/>
      <c r="V69" s="9"/>
      <c r="W69" s="9"/>
      <c r="X69" s="9"/>
      <c r="AD69" s="235" t="s">
        <v>33</v>
      </c>
      <c r="AE69" s="1">
        <f>SUM(AI69:AT69)</f>
        <v>0</v>
      </c>
      <c r="AG69" s="1" t="s">
        <v>106</v>
      </c>
      <c r="AI69" s="1">
        <f t="shared" ref="AI69:AS69" si="45">IF($AE$67&gt;AI68,(IF($AE$67-AJ68&gt;0,(AJ68-AI68)*$B$26*AI71,($AE$67-AI68)*$B$26*AI71)),0)</f>
        <v>0</v>
      </c>
      <c r="AJ69" s="1">
        <f t="shared" si="45"/>
        <v>0</v>
      </c>
      <c r="AK69" s="1">
        <f t="shared" si="45"/>
        <v>0</v>
      </c>
      <c r="AL69" s="1">
        <f t="shared" si="45"/>
        <v>0</v>
      </c>
      <c r="AM69" s="1">
        <f t="shared" si="45"/>
        <v>0</v>
      </c>
      <c r="AN69" s="1">
        <f t="shared" si="45"/>
        <v>0</v>
      </c>
      <c r="AO69" s="1">
        <f t="shared" si="45"/>
        <v>0</v>
      </c>
      <c r="AP69" s="1">
        <f t="shared" si="45"/>
        <v>0</v>
      </c>
      <c r="AQ69" s="1">
        <f t="shared" si="45"/>
        <v>0</v>
      </c>
      <c r="AR69" s="1">
        <f t="shared" si="45"/>
        <v>0</v>
      </c>
      <c r="AS69" s="1">
        <f t="shared" si="45"/>
        <v>0</v>
      </c>
    </row>
    <row r="70" spans="7:46" x14ac:dyDescent="0.2">
      <c r="G70" s="1" t="s">
        <v>137</v>
      </c>
    </row>
    <row r="71" spans="7:46" x14ac:dyDescent="0.2">
      <c r="G71" s="219"/>
      <c r="H71" s="219"/>
      <c r="I71" s="219"/>
      <c r="J71" s="219"/>
      <c r="K71" s="219"/>
      <c r="L71" s="219"/>
      <c r="M71" s="219"/>
      <c r="U71" s="219"/>
      <c r="V71" s="219"/>
      <c r="W71" s="219"/>
      <c r="X71" s="219"/>
      <c r="Y71" s="219"/>
      <c r="Z71" s="219"/>
      <c r="AA71" s="219"/>
      <c r="AG71" s="1" t="s">
        <v>109</v>
      </c>
      <c r="AI71" s="218">
        <f t="shared" ref="AI71:AT71" si="46">AI26</f>
        <v>0</v>
      </c>
      <c r="AJ71" s="218">
        <f t="shared" si="46"/>
        <v>0</v>
      </c>
      <c r="AK71" s="218">
        <f t="shared" si="46"/>
        <v>0</v>
      </c>
      <c r="AL71" s="218">
        <f t="shared" si="46"/>
        <v>0</v>
      </c>
      <c r="AM71" s="218">
        <f t="shared" si="46"/>
        <v>0</v>
      </c>
      <c r="AN71" s="218">
        <f t="shared" si="46"/>
        <v>0</v>
      </c>
      <c r="AO71" s="218">
        <f t="shared" si="46"/>
        <v>0</v>
      </c>
      <c r="AP71" s="218">
        <f t="shared" si="46"/>
        <v>0</v>
      </c>
      <c r="AQ71" s="218">
        <f t="shared" si="46"/>
        <v>0</v>
      </c>
      <c r="AR71" s="218">
        <f t="shared" si="46"/>
        <v>0</v>
      </c>
      <c r="AS71" s="218">
        <f t="shared" si="46"/>
        <v>0</v>
      </c>
      <c r="AT71" s="218">
        <f t="shared" si="46"/>
        <v>0</v>
      </c>
    </row>
    <row r="72" spans="7:46" x14ac:dyDescent="0.2">
      <c r="G72" s="219"/>
      <c r="H72" s="219"/>
      <c r="I72" s="219"/>
      <c r="J72" s="219"/>
      <c r="K72" s="219"/>
      <c r="L72" s="219"/>
      <c r="M72" s="219"/>
      <c r="N72" s="219"/>
      <c r="O72" s="219"/>
      <c r="P72" s="219"/>
      <c r="Q72" s="219"/>
      <c r="R72" s="219"/>
      <c r="S72" s="219"/>
      <c r="T72" s="219"/>
      <c r="U72" s="219"/>
      <c r="V72" s="219"/>
      <c r="W72" s="219"/>
      <c r="X72" s="219"/>
      <c r="Y72" s="219"/>
      <c r="Z72" s="219"/>
      <c r="AA72" s="219"/>
      <c r="AB72" s="219"/>
    </row>
    <row r="73" spans="7:46" x14ac:dyDescent="0.2">
      <c r="G73" s="1" t="s">
        <v>8</v>
      </c>
      <c r="H73" s="1" t="s">
        <v>9</v>
      </c>
      <c r="I73" s="1" t="s">
        <v>10</v>
      </c>
      <c r="J73" s="1" t="s">
        <v>11</v>
      </c>
      <c r="K73" s="1" t="s">
        <v>12</v>
      </c>
      <c r="L73" s="1" t="s">
        <v>13</v>
      </c>
      <c r="M73" s="1" t="s">
        <v>14</v>
      </c>
      <c r="N73" s="1" t="s">
        <v>15</v>
      </c>
      <c r="O73" s="1" t="s">
        <v>16</v>
      </c>
      <c r="U73" s="1" t="s">
        <v>17</v>
      </c>
      <c r="V73" s="1" t="s">
        <v>18</v>
      </c>
      <c r="W73" s="1" t="s">
        <v>19</v>
      </c>
      <c r="X73" s="1" t="s">
        <v>20</v>
      </c>
      <c r="Y73" s="1" t="s">
        <v>21</v>
      </c>
      <c r="Z73" s="1" t="s">
        <v>22</v>
      </c>
      <c r="AA73" s="1" t="s">
        <v>23</v>
      </c>
    </row>
    <row r="74" spans="7:46" x14ac:dyDescent="0.2">
      <c r="G74" s="22" t="e">
        <f>#REF!</f>
        <v>#REF!</v>
      </c>
      <c r="H74" s="22" t="e">
        <f>#REF!</f>
        <v>#REF!</v>
      </c>
      <c r="I74" s="22" t="e">
        <f>#REF!</f>
        <v>#REF!</v>
      </c>
      <c r="J74" s="22" t="e">
        <f>#REF!</f>
        <v>#REF!</v>
      </c>
      <c r="K74" s="22" t="e">
        <f>#REF!</f>
        <v>#REF!</v>
      </c>
      <c r="L74" s="22" t="e">
        <f>#REF!</f>
        <v>#REF!</v>
      </c>
      <c r="M74" s="22" t="e">
        <f>#REF!</f>
        <v>#REF!</v>
      </c>
      <c r="N74" s="22" t="e">
        <f>#REF!</f>
        <v>#REF!</v>
      </c>
      <c r="O74" s="22" t="e">
        <f>#REF!</f>
        <v>#REF!</v>
      </c>
      <c r="P74" s="22"/>
      <c r="Q74" s="22"/>
      <c r="R74" s="22"/>
      <c r="S74" s="22"/>
      <c r="T74" s="22"/>
      <c r="U74" s="22" t="e">
        <f>#REF!</f>
        <v>#REF!</v>
      </c>
      <c r="V74" s="22" t="e">
        <f>#REF!</f>
        <v>#REF!</v>
      </c>
      <c r="W74" s="22" t="e">
        <f>#REF!</f>
        <v>#REF!</v>
      </c>
      <c r="X74" s="22" t="e">
        <f>#REF!</f>
        <v>#REF!</v>
      </c>
      <c r="Y74" s="22" t="e">
        <f>#REF!</f>
        <v>#REF!</v>
      </c>
      <c r="Z74" s="22" t="e">
        <f>#REF!</f>
        <v>#REF!</v>
      </c>
      <c r="AA74" s="22" t="e">
        <f>#REF!</f>
        <v>#REF!</v>
      </c>
    </row>
    <row r="75" spans="7:46" x14ac:dyDescent="0.2">
      <c r="AD75" s="235" t="s">
        <v>9</v>
      </c>
      <c r="AE75" s="1">
        <f>C41</f>
        <v>330</v>
      </c>
      <c r="AG75" s="1" t="s">
        <v>103</v>
      </c>
      <c r="AI75" s="1">
        <f t="shared" ref="AI75:AS75" si="47">AI30</f>
        <v>0</v>
      </c>
      <c r="AJ75" s="1">
        <f t="shared" si="47"/>
        <v>0</v>
      </c>
      <c r="AK75" s="1">
        <f t="shared" si="47"/>
        <v>0</v>
      </c>
      <c r="AL75" s="1">
        <f t="shared" si="47"/>
        <v>0</v>
      </c>
      <c r="AM75" s="1">
        <f t="shared" si="47"/>
        <v>0</v>
      </c>
      <c r="AN75" s="1">
        <f t="shared" si="47"/>
        <v>0</v>
      </c>
      <c r="AO75" s="1">
        <f t="shared" si="47"/>
        <v>0</v>
      </c>
      <c r="AP75" s="1">
        <f t="shared" si="47"/>
        <v>0</v>
      </c>
      <c r="AQ75" s="1">
        <f t="shared" si="47"/>
        <v>0</v>
      </c>
      <c r="AR75" s="1">
        <f t="shared" si="47"/>
        <v>0</v>
      </c>
      <c r="AS75" s="1">
        <f t="shared" si="47"/>
        <v>0</v>
      </c>
    </row>
    <row r="76" spans="7:46" x14ac:dyDescent="0.2">
      <c r="L76" s="22"/>
      <c r="AI76" s="1">
        <f t="shared" ref="AI76:AT76" si="48">AI23</f>
        <v>0</v>
      </c>
      <c r="AJ76" s="1">
        <f t="shared" si="48"/>
        <v>0</v>
      </c>
      <c r="AK76" s="1">
        <f t="shared" si="48"/>
        <v>0</v>
      </c>
      <c r="AL76" s="1">
        <f t="shared" si="48"/>
        <v>0</v>
      </c>
      <c r="AM76" s="1">
        <f t="shared" si="48"/>
        <v>0</v>
      </c>
      <c r="AN76" s="1">
        <f t="shared" si="48"/>
        <v>0</v>
      </c>
      <c r="AO76" s="1">
        <f t="shared" si="48"/>
        <v>0</v>
      </c>
      <c r="AP76" s="1">
        <f t="shared" si="48"/>
        <v>0</v>
      </c>
      <c r="AQ76" s="1">
        <f t="shared" si="48"/>
        <v>0</v>
      </c>
      <c r="AR76" s="1">
        <f t="shared" si="48"/>
        <v>0</v>
      </c>
      <c r="AS76" s="1">
        <f t="shared" si="48"/>
        <v>0</v>
      </c>
      <c r="AT76" s="1">
        <f t="shared" si="48"/>
        <v>0</v>
      </c>
    </row>
    <row r="77" spans="7:46" x14ac:dyDescent="0.2">
      <c r="AD77" s="235" t="s">
        <v>33</v>
      </c>
      <c r="AE77" s="1">
        <f>SUM(AI77:AT77)</f>
        <v>0</v>
      </c>
      <c r="AG77" s="1" t="s">
        <v>106</v>
      </c>
      <c r="AI77" s="1">
        <f t="shared" ref="AI77:AS77" si="49">IF($AE$75&gt;AI76,(IF($AE$75-AJ76&gt;0,(AJ76-AI76)*$B$26*AI79,($AE$75-AI76)*$B$26*AI79)),0)</f>
        <v>0</v>
      </c>
      <c r="AJ77" s="1">
        <f t="shared" si="49"/>
        <v>0</v>
      </c>
      <c r="AK77" s="1">
        <f t="shared" si="49"/>
        <v>0</v>
      </c>
      <c r="AL77" s="1">
        <f t="shared" si="49"/>
        <v>0</v>
      </c>
      <c r="AM77" s="1">
        <f t="shared" si="49"/>
        <v>0</v>
      </c>
      <c r="AN77" s="1">
        <f t="shared" si="49"/>
        <v>0</v>
      </c>
      <c r="AO77" s="1">
        <f t="shared" si="49"/>
        <v>0</v>
      </c>
      <c r="AP77" s="1">
        <f t="shared" si="49"/>
        <v>0</v>
      </c>
      <c r="AQ77" s="1">
        <f t="shared" si="49"/>
        <v>0</v>
      </c>
      <c r="AR77" s="1">
        <f t="shared" si="49"/>
        <v>0</v>
      </c>
      <c r="AS77" s="1">
        <f t="shared" si="49"/>
        <v>0</v>
      </c>
    </row>
    <row r="79" spans="7:46" x14ac:dyDescent="0.2">
      <c r="AG79" s="1" t="s">
        <v>109</v>
      </c>
      <c r="AI79" s="218">
        <f t="shared" ref="AI79:AT79" si="50">AI26</f>
        <v>0</v>
      </c>
      <c r="AJ79" s="218">
        <f t="shared" si="50"/>
        <v>0</v>
      </c>
      <c r="AK79" s="218">
        <f t="shared" si="50"/>
        <v>0</v>
      </c>
      <c r="AL79" s="218">
        <f t="shared" si="50"/>
        <v>0</v>
      </c>
      <c r="AM79" s="218">
        <f t="shared" si="50"/>
        <v>0</v>
      </c>
      <c r="AN79" s="218">
        <f t="shared" si="50"/>
        <v>0</v>
      </c>
      <c r="AO79" s="218">
        <f t="shared" si="50"/>
        <v>0</v>
      </c>
      <c r="AP79" s="218">
        <f t="shared" si="50"/>
        <v>0</v>
      </c>
      <c r="AQ79" s="218">
        <f t="shared" si="50"/>
        <v>0</v>
      </c>
      <c r="AR79" s="218">
        <f t="shared" si="50"/>
        <v>0</v>
      </c>
      <c r="AS79" s="218">
        <f t="shared" si="50"/>
        <v>0</v>
      </c>
      <c r="AT79" s="218">
        <f t="shared" si="50"/>
        <v>0</v>
      </c>
    </row>
    <row r="82" spans="3:46" x14ac:dyDescent="0.2">
      <c r="AD82" s="235" t="s">
        <v>21</v>
      </c>
      <c r="AE82" s="1">
        <f>C42</f>
        <v>251</v>
      </c>
      <c r="AG82" s="1" t="s">
        <v>103</v>
      </c>
      <c r="AI82" s="1">
        <f t="shared" ref="AI82:AS82" si="51">AI30</f>
        <v>0</v>
      </c>
      <c r="AJ82" s="1">
        <f t="shared" si="51"/>
        <v>0</v>
      </c>
      <c r="AK82" s="1">
        <f t="shared" si="51"/>
        <v>0</v>
      </c>
      <c r="AL82" s="1">
        <f t="shared" si="51"/>
        <v>0</v>
      </c>
      <c r="AM82" s="1">
        <f t="shared" si="51"/>
        <v>0</v>
      </c>
      <c r="AN82" s="1">
        <f t="shared" si="51"/>
        <v>0</v>
      </c>
      <c r="AO82" s="1">
        <f t="shared" si="51"/>
        <v>0</v>
      </c>
      <c r="AP82" s="1">
        <f t="shared" si="51"/>
        <v>0</v>
      </c>
      <c r="AQ82" s="1">
        <f t="shared" si="51"/>
        <v>0</v>
      </c>
      <c r="AR82" s="1">
        <f t="shared" si="51"/>
        <v>0</v>
      </c>
      <c r="AS82" s="1">
        <f t="shared" si="51"/>
        <v>0</v>
      </c>
    </row>
    <row r="83" spans="3:46" x14ac:dyDescent="0.2">
      <c r="AI83" s="1">
        <f t="shared" ref="AI83:AT83" si="52">AI23</f>
        <v>0</v>
      </c>
      <c r="AJ83" s="1">
        <f t="shared" si="52"/>
        <v>0</v>
      </c>
      <c r="AK83" s="1">
        <f t="shared" si="52"/>
        <v>0</v>
      </c>
      <c r="AL83" s="1">
        <f t="shared" si="52"/>
        <v>0</v>
      </c>
      <c r="AM83" s="1">
        <f t="shared" si="52"/>
        <v>0</v>
      </c>
      <c r="AN83" s="1">
        <f t="shared" si="52"/>
        <v>0</v>
      </c>
      <c r="AO83" s="1">
        <f t="shared" si="52"/>
        <v>0</v>
      </c>
      <c r="AP83" s="1">
        <f t="shared" si="52"/>
        <v>0</v>
      </c>
      <c r="AQ83" s="1">
        <f t="shared" si="52"/>
        <v>0</v>
      </c>
      <c r="AR83" s="1">
        <f t="shared" si="52"/>
        <v>0</v>
      </c>
      <c r="AS83" s="1">
        <f t="shared" si="52"/>
        <v>0</v>
      </c>
      <c r="AT83" s="1">
        <f t="shared" si="52"/>
        <v>0</v>
      </c>
    </row>
    <row r="84" spans="3:46" x14ac:dyDescent="0.2">
      <c r="AD84" s="235" t="s">
        <v>33</v>
      </c>
      <c r="AE84" s="1">
        <f>SUM(AI84:AT84)</f>
        <v>0</v>
      </c>
      <c r="AG84" s="1" t="s">
        <v>106</v>
      </c>
      <c r="AI84" s="1">
        <f t="shared" ref="AI84:AS84" si="53">IF($AE$82&gt;AI83,(IF($AE$82-AJ83&gt;0,(AJ83-AI83)*$B$26*AI86,($AE$82-AI83)*$B$26*AI86)),0)</f>
        <v>0</v>
      </c>
      <c r="AJ84" s="1">
        <f t="shared" si="53"/>
        <v>0</v>
      </c>
      <c r="AK84" s="1">
        <f t="shared" si="53"/>
        <v>0</v>
      </c>
      <c r="AL84" s="1">
        <f t="shared" si="53"/>
        <v>0</v>
      </c>
      <c r="AM84" s="1">
        <f t="shared" si="53"/>
        <v>0</v>
      </c>
      <c r="AN84" s="1">
        <f t="shared" si="53"/>
        <v>0</v>
      </c>
      <c r="AO84" s="1">
        <f t="shared" si="53"/>
        <v>0</v>
      </c>
      <c r="AP84" s="1">
        <f t="shared" si="53"/>
        <v>0</v>
      </c>
      <c r="AQ84" s="1">
        <f t="shared" si="53"/>
        <v>0</v>
      </c>
      <c r="AR84" s="1">
        <f t="shared" si="53"/>
        <v>0</v>
      </c>
      <c r="AS84" s="1">
        <f t="shared" si="53"/>
        <v>0</v>
      </c>
    </row>
    <row r="85" spans="3:46" x14ac:dyDescent="0.2">
      <c r="C85" s="1" t="s">
        <v>630</v>
      </c>
      <c r="D85" s="1" t="s">
        <v>638</v>
      </c>
    </row>
    <row r="86" spans="3:46" x14ac:dyDescent="0.2">
      <c r="C86" s="1">
        <v>108</v>
      </c>
      <c r="D86" s="1">
        <v>1479.84453781513</v>
      </c>
      <c r="AG86" s="1" t="s">
        <v>109</v>
      </c>
      <c r="AI86" s="218">
        <f t="shared" ref="AI86:AT86" si="54">AI26</f>
        <v>0</v>
      </c>
      <c r="AJ86" s="218">
        <f t="shared" si="54"/>
        <v>0</v>
      </c>
      <c r="AK86" s="218">
        <f t="shared" si="54"/>
        <v>0</v>
      </c>
      <c r="AL86" s="218">
        <f t="shared" si="54"/>
        <v>0</v>
      </c>
      <c r="AM86" s="218">
        <f t="shared" si="54"/>
        <v>0</v>
      </c>
      <c r="AN86" s="218">
        <f t="shared" si="54"/>
        <v>0</v>
      </c>
      <c r="AO86" s="218">
        <f t="shared" si="54"/>
        <v>0</v>
      </c>
      <c r="AP86" s="218">
        <f t="shared" si="54"/>
        <v>0</v>
      </c>
      <c r="AQ86" s="218">
        <f t="shared" si="54"/>
        <v>0</v>
      </c>
      <c r="AR86" s="218">
        <f t="shared" si="54"/>
        <v>0</v>
      </c>
      <c r="AS86" s="218">
        <f t="shared" si="54"/>
        <v>0</v>
      </c>
      <c r="AT86" s="218">
        <f t="shared" si="54"/>
        <v>0</v>
      </c>
    </row>
    <row r="87" spans="3:46" x14ac:dyDescent="0.2">
      <c r="C87" s="1">
        <v>107.68999999999994</v>
      </c>
      <c r="D87" s="1">
        <v>1242.0625</v>
      </c>
    </row>
    <row r="88" spans="3:46" x14ac:dyDescent="0.2">
      <c r="C88" s="1">
        <v>123.24999999999999</v>
      </c>
      <c r="D88" s="1">
        <v>1427.5827736072699</v>
      </c>
    </row>
    <row r="89" spans="3:46" x14ac:dyDescent="0.2">
      <c r="C89" s="1">
        <v>134.77999999999997</v>
      </c>
      <c r="D89" s="1">
        <v>1711.0276816608996</v>
      </c>
    </row>
    <row r="90" spans="3:46" x14ac:dyDescent="0.2">
      <c r="C90" s="1">
        <v>84.340000000000032</v>
      </c>
      <c r="D90" s="1">
        <v>1649.7575757575758</v>
      </c>
      <c r="AD90" s="235" t="s">
        <v>18</v>
      </c>
      <c r="AE90" s="1">
        <f>C43</f>
        <v>1926</v>
      </c>
      <c r="AG90" s="1" t="s">
        <v>103</v>
      </c>
      <c r="AI90" s="1">
        <f t="shared" ref="AI90:AS90" si="55">AI30</f>
        <v>0</v>
      </c>
      <c r="AJ90" s="1">
        <f t="shared" si="55"/>
        <v>0</v>
      </c>
      <c r="AK90" s="1">
        <f t="shared" si="55"/>
        <v>0</v>
      </c>
      <c r="AL90" s="1">
        <f t="shared" si="55"/>
        <v>0</v>
      </c>
      <c r="AM90" s="1">
        <f t="shared" si="55"/>
        <v>0</v>
      </c>
      <c r="AN90" s="1">
        <f t="shared" si="55"/>
        <v>0</v>
      </c>
      <c r="AO90" s="1">
        <f t="shared" si="55"/>
        <v>0</v>
      </c>
      <c r="AP90" s="1">
        <f t="shared" si="55"/>
        <v>0</v>
      </c>
      <c r="AQ90" s="1">
        <f t="shared" si="55"/>
        <v>0</v>
      </c>
      <c r="AR90" s="1">
        <f t="shared" si="55"/>
        <v>0</v>
      </c>
      <c r="AS90" s="1">
        <f t="shared" si="55"/>
        <v>0</v>
      </c>
    </row>
    <row r="91" spans="3:46" x14ac:dyDescent="0.2">
      <c r="C91" s="1">
        <v>138.16999999999985</v>
      </c>
      <c r="D91" s="1">
        <v>1452.3074901445466</v>
      </c>
      <c r="AI91" s="1">
        <f t="shared" ref="AI91:AT91" si="56">AI23</f>
        <v>0</v>
      </c>
      <c r="AJ91" s="1">
        <f t="shared" si="56"/>
        <v>0</v>
      </c>
      <c r="AK91" s="1">
        <f t="shared" si="56"/>
        <v>0</v>
      </c>
      <c r="AL91" s="1">
        <f t="shared" si="56"/>
        <v>0</v>
      </c>
      <c r="AM91" s="1">
        <f t="shared" si="56"/>
        <v>0</v>
      </c>
      <c r="AN91" s="1">
        <f t="shared" si="56"/>
        <v>0</v>
      </c>
      <c r="AO91" s="1">
        <f t="shared" si="56"/>
        <v>0</v>
      </c>
      <c r="AP91" s="1">
        <f t="shared" si="56"/>
        <v>0</v>
      </c>
      <c r="AQ91" s="1">
        <f t="shared" si="56"/>
        <v>0</v>
      </c>
      <c r="AR91" s="1">
        <f t="shared" si="56"/>
        <v>0</v>
      </c>
      <c r="AS91" s="1">
        <f t="shared" si="56"/>
        <v>0</v>
      </c>
      <c r="AT91" s="1">
        <f t="shared" si="56"/>
        <v>0</v>
      </c>
    </row>
    <row r="92" spans="3:46" x14ac:dyDescent="0.2">
      <c r="C92" s="1">
        <v>142.52999999999997</v>
      </c>
      <c r="D92" s="1">
        <v>1458.2493685419058</v>
      </c>
      <c r="AD92" s="235" t="s">
        <v>33</v>
      </c>
      <c r="AE92" s="1">
        <f>SUM(AI92:AT92)</f>
        <v>0</v>
      </c>
      <c r="AG92" s="1" t="s">
        <v>106</v>
      </c>
      <c r="AI92" s="1">
        <f t="shared" ref="AI92:AS92" si="57">IF($AE$90&gt;AI91,(IF($AE$90-AJ91&gt;0,(AJ91-AI91)*$B$26*AI94,($AE$90-AI91)*$B$26*AI94)),0)</f>
        <v>0</v>
      </c>
      <c r="AJ92" s="1">
        <f t="shared" si="57"/>
        <v>0</v>
      </c>
      <c r="AK92" s="1">
        <f t="shared" si="57"/>
        <v>0</v>
      </c>
      <c r="AL92" s="1">
        <f t="shared" si="57"/>
        <v>0</v>
      </c>
      <c r="AM92" s="1">
        <f t="shared" si="57"/>
        <v>0</v>
      </c>
      <c r="AN92" s="1">
        <f t="shared" si="57"/>
        <v>0</v>
      </c>
      <c r="AO92" s="1">
        <f t="shared" si="57"/>
        <v>0</v>
      </c>
      <c r="AP92" s="1">
        <f t="shared" si="57"/>
        <v>0</v>
      </c>
      <c r="AQ92" s="1">
        <f t="shared" si="57"/>
        <v>0</v>
      </c>
      <c r="AR92" s="1">
        <f t="shared" si="57"/>
        <v>0</v>
      </c>
      <c r="AS92" s="1">
        <f t="shared" si="57"/>
        <v>0</v>
      </c>
    </row>
    <row r="93" spans="3:46" x14ac:dyDescent="0.2">
      <c r="C93" s="1">
        <v>99.259999999999991</v>
      </c>
      <c r="D93" s="1">
        <v>1485.2130177514794</v>
      </c>
    </row>
    <row r="94" spans="3:46" x14ac:dyDescent="0.2">
      <c r="C94" s="1">
        <v>63.550000000000182</v>
      </c>
      <c r="D94" s="1">
        <v>2024.4489795918366</v>
      </c>
      <c r="AG94" s="1" t="s">
        <v>109</v>
      </c>
      <c r="AI94" s="218">
        <f t="shared" ref="AI94:AT94" si="58">AI26</f>
        <v>0</v>
      </c>
      <c r="AJ94" s="218">
        <f t="shared" si="58"/>
        <v>0</v>
      </c>
      <c r="AK94" s="218">
        <f t="shared" si="58"/>
        <v>0</v>
      </c>
      <c r="AL94" s="218">
        <f t="shared" si="58"/>
        <v>0</v>
      </c>
      <c r="AM94" s="218">
        <f t="shared" si="58"/>
        <v>0</v>
      </c>
      <c r="AN94" s="218">
        <f t="shared" si="58"/>
        <v>0</v>
      </c>
      <c r="AO94" s="218">
        <f t="shared" si="58"/>
        <v>0</v>
      </c>
      <c r="AP94" s="218">
        <f t="shared" si="58"/>
        <v>0</v>
      </c>
      <c r="AQ94" s="218">
        <f t="shared" si="58"/>
        <v>0</v>
      </c>
      <c r="AR94" s="218">
        <f t="shared" si="58"/>
        <v>0</v>
      </c>
      <c r="AS94" s="218">
        <f t="shared" si="58"/>
        <v>0</v>
      </c>
      <c r="AT94" s="218">
        <f t="shared" si="58"/>
        <v>0</v>
      </c>
    </row>
    <row r="95" spans="3:46" x14ac:dyDescent="0.2">
      <c r="C95" s="1">
        <v>113.08000000000004</v>
      </c>
      <c r="D95" s="1">
        <v>1812.4333510355816</v>
      </c>
    </row>
    <row r="96" spans="3:46" x14ac:dyDescent="0.2">
      <c r="C96" s="1">
        <v>36.26</v>
      </c>
      <c r="D96" s="1">
        <v>1799.5102040816328</v>
      </c>
    </row>
    <row r="97" spans="3:46" x14ac:dyDescent="0.2">
      <c r="C97" s="1">
        <v>151.91999999999996</v>
      </c>
      <c r="D97" s="1">
        <v>1382.3532638507954</v>
      </c>
      <c r="AD97" s="235" t="s">
        <v>13</v>
      </c>
      <c r="AE97" s="1">
        <f>C44</f>
        <v>413</v>
      </c>
      <c r="AG97" s="1" t="s">
        <v>103</v>
      </c>
      <c r="AI97" s="1">
        <f t="shared" ref="AI97:AS97" si="59">AI30</f>
        <v>0</v>
      </c>
      <c r="AJ97" s="1">
        <f t="shared" si="59"/>
        <v>0</v>
      </c>
      <c r="AK97" s="1">
        <f t="shared" si="59"/>
        <v>0</v>
      </c>
      <c r="AL97" s="1">
        <f t="shared" si="59"/>
        <v>0</v>
      </c>
      <c r="AM97" s="1">
        <f t="shared" si="59"/>
        <v>0</v>
      </c>
      <c r="AN97" s="1">
        <f t="shared" si="59"/>
        <v>0</v>
      </c>
      <c r="AO97" s="1">
        <f t="shared" si="59"/>
        <v>0</v>
      </c>
      <c r="AP97" s="1">
        <f t="shared" si="59"/>
        <v>0</v>
      </c>
      <c r="AQ97" s="1">
        <f t="shared" si="59"/>
        <v>0</v>
      </c>
      <c r="AR97" s="1">
        <f t="shared" si="59"/>
        <v>0</v>
      </c>
      <c r="AS97" s="1">
        <f t="shared" si="59"/>
        <v>0</v>
      </c>
    </row>
    <row r="98" spans="3:46" x14ac:dyDescent="0.2">
      <c r="C98" s="1">
        <v>28.04000000000002</v>
      </c>
      <c r="D98" s="1">
        <v>863.10891089108907</v>
      </c>
      <c r="AI98" s="1">
        <f t="shared" ref="AI98:AT98" si="60">AI23</f>
        <v>0</v>
      </c>
      <c r="AJ98" s="1">
        <f t="shared" si="60"/>
        <v>0</v>
      </c>
      <c r="AK98" s="1">
        <f t="shared" si="60"/>
        <v>0</v>
      </c>
      <c r="AL98" s="1">
        <f t="shared" si="60"/>
        <v>0</v>
      </c>
      <c r="AM98" s="1">
        <f t="shared" si="60"/>
        <v>0</v>
      </c>
      <c r="AN98" s="1">
        <f t="shared" si="60"/>
        <v>0</v>
      </c>
      <c r="AO98" s="1">
        <f t="shared" si="60"/>
        <v>0</v>
      </c>
      <c r="AP98" s="1">
        <f t="shared" si="60"/>
        <v>0</v>
      </c>
      <c r="AQ98" s="1">
        <f t="shared" si="60"/>
        <v>0</v>
      </c>
      <c r="AR98" s="1">
        <f t="shared" si="60"/>
        <v>0</v>
      </c>
      <c r="AS98" s="1">
        <f t="shared" si="60"/>
        <v>0</v>
      </c>
      <c r="AT98" s="1">
        <f t="shared" si="60"/>
        <v>0</v>
      </c>
    </row>
    <row r="99" spans="3:46" x14ac:dyDescent="0.2">
      <c r="C99" s="1">
        <v>108.12</v>
      </c>
      <c r="D99" s="1">
        <v>1386.3420289855073</v>
      </c>
      <c r="AD99" s="235" t="s">
        <v>33</v>
      </c>
      <c r="AE99" s="1">
        <f>SUM(AI99:AT99)</f>
        <v>0</v>
      </c>
      <c r="AG99" s="1" t="s">
        <v>106</v>
      </c>
      <c r="AI99" s="1">
        <f t="shared" ref="AI99:AS99" si="61">IF($AE$97&gt;AI98,(IF($AE$97-AJ98&gt;0,(AJ98-AI98)*$B$26*AI101,($AE$97-AI98)*$B$26*AI101)),0)</f>
        <v>0</v>
      </c>
      <c r="AJ99" s="1">
        <f t="shared" si="61"/>
        <v>0</v>
      </c>
      <c r="AK99" s="1">
        <f t="shared" si="61"/>
        <v>0</v>
      </c>
      <c r="AL99" s="1">
        <f t="shared" si="61"/>
        <v>0</v>
      </c>
      <c r="AM99" s="1">
        <f t="shared" si="61"/>
        <v>0</v>
      </c>
      <c r="AN99" s="1">
        <f t="shared" si="61"/>
        <v>0</v>
      </c>
      <c r="AO99" s="1">
        <f t="shared" si="61"/>
        <v>0</v>
      </c>
      <c r="AP99" s="1">
        <f t="shared" si="61"/>
        <v>0</v>
      </c>
      <c r="AQ99" s="1">
        <f t="shared" si="61"/>
        <v>0</v>
      </c>
      <c r="AR99" s="1">
        <f t="shared" si="61"/>
        <v>0</v>
      </c>
      <c r="AS99" s="1">
        <f t="shared" si="61"/>
        <v>0</v>
      </c>
    </row>
    <row r="100" spans="3:46" x14ac:dyDescent="0.2">
      <c r="C100" s="1">
        <v>101.59000000000003</v>
      </c>
      <c r="D100" s="1">
        <v>1749.9383886255923</v>
      </c>
    </row>
    <row r="101" spans="3:46" x14ac:dyDescent="0.2">
      <c r="AG101" s="1" t="s">
        <v>109</v>
      </c>
      <c r="AI101" s="218">
        <f t="shared" ref="AI101:AT101" si="62">AI26</f>
        <v>0</v>
      </c>
      <c r="AJ101" s="218">
        <f t="shared" si="62"/>
        <v>0</v>
      </c>
      <c r="AK101" s="218">
        <f t="shared" si="62"/>
        <v>0</v>
      </c>
      <c r="AL101" s="218">
        <f t="shared" si="62"/>
        <v>0</v>
      </c>
      <c r="AM101" s="218">
        <f t="shared" si="62"/>
        <v>0</v>
      </c>
      <c r="AN101" s="218">
        <f t="shared" si="62"/>
        <v>0</v>
      </c>
      <c r="AO101" s="218">
        <f t="shared" si="62"/>
        <v>0</v>
      </c>
      <c r="AP101" s="218">
        <f t="shared" si="62"/>
        <v>0</v>
      </c>
      <c r="AQ101" s="218">
        <f t="shared" si="62"/>
        <v>0</v>
      </c>
      <c r="AR101" s="218">
        <f t="shared" si="62"/>
        <v>0</v>
      </c>
      <c r="AS101" s="218">
        <f t="shared" si="62"/>
        <v>0</v>
      </c>
      <c r="AT101" s="218">
        <f t="shared" si="62"/>
        <v>0</v>
      </c>
    </row>
    <row r="103" spans="3:46" x14ac:dyDescent="0.2">
      <c r="C103" s="1">
        <v>108</v>
      </c>
    </row>
    <row r="104" spans="3:46" x14ac:dyDescent="0.2">
      <c r="C104" s="1">
        <v>107.68999999999994</v>
      </c>
      <c r="E104" s="1" t="s">
        <v>8</v>
      </c>
    </row>
    <row r="105" spans="3:46" x14ac:dyDescent="0.2">
      <c r="C105" s="1">
        <v>123.24999999999999</v>
      </c>
      <c r="E105" s="1" t="s">
        <v>9</v>
      </c>
      <c r="F105" s="1">
        <v>12520.376344086022</v>
      </c>
      <c r="G105" s="1">
        <v>8.7937598662828531</v>
      </c>
      <c r="AD105" s="235" t="s">
        <v>17</v>
      </c>
      <c r="AE105" s="1">
        <f>C45</f>
        <v>1813</v>
      </c>
      <c r="AG105" s="1" t="s">
        <v>103</v>
      </c>
      <c r="AI105" s="1">
        <f t="shared" ref="AI105:AS105" si="63">AI30</f>
        <v>0</v>
      </c>
      <c r="AJ105" s="1">
        <f t="shared" si="63"/>
        <v>0</v>
      </c>
      <c r="AK105" s="1">
        <f t="shared" si="63"/>
        <v>0</v>
      </c>
      <c r="AL105" s="1">
        <f t="shared" si="63"/>
        <v>0</v>
      </c>
      <c r="AM105" s="1">
        <f t="shared" si="63"/>
        <v>0</v>
      </c>
      <c r="AN105" s="1">
        <f t="shared" si="63"/>
        <v>0</v>
      </c>
      <c r="AO105" s="1">
        <f t="shared" si="63"/>
        <v>0</v>
      </c>
      <c r="AP105" s="1">
        <f t="shared" si="63"/>
        <v>0</v>
      </c>
      <c r="AQ105" s="1">
        <f t="shared" si="63"/>
        <v>0</v>
      </c>
      <c r="AR105" s="1">
        <f t="shared" si="63"/>
        <v>0</v>
      </c>
      <c r="AS105" s="1">
        <f t="shared" si="63"/>
        <v>0</v>
      </c>
    </row>
    <row r="106" spans="3:46" x14ac:dyDescent="0.2">
      <c r="C106" s="1">
        <v>134.77999999999997</v>
      </c>
      <c r="E106" s="1" t="s">
        <v>10</v>
      </c>
      <c r="F106" s="1">
        <v>10702.848101265823</v>
      </c>
      <c r="G106" s="1">
        <v>20.446247464503045</v>
      </c>
      <c r="AI106" s="1">
        <f t="shared" ref="AI106:AT106" si="64">AI23</f>
        <v>0</v>
      </c>
      <c r="AJ106" s="1">
        <f t="shared" si="64"/>
        <v>0</v>
      </c>
      <c r="AK106" s="1">
        <f t="shared" si="64"/>
        <v>0</v>
      </c>
      <c r="AL106" s="1">
        <f t="shared" si="64"/>
        <v>0</v>
      </c>
      <c r="AM106" s="1">
        <f t="shared" si="64"/>
        <v>0</v>
      </c>
      <c r="AN106" s="1">
        <f t="shared" si="64"/>
        <v>0</v>
      </c>
      <c r="AO106" s="1">
        <f t="shared" si="64"/>
        <v>0</v>
      </c>
      <c r="AP106" s="1">
        <f t="shared" si="64"/>
        <v>0</v>
      </c>
      <c r="AQ106" s="1">
        <f t="shared" si="64"/>
        <v>0</v>
      </c>
      <c r="AR106" s="1">
        <f t="shared" si="64"/>
        <v>0</v>
      </c>
      <c r="AS106" s="1">
        <f t="shared" si="64"/>
        <v>0</v>
      </c>
      <c r="AT106" s="1">
        <f t="shared" si="64"/>
        <v>0</v>
      </c>
    </row>
    <row r="107" spans="3:46" x14ac:dyDescent="0.2">
      <c r="C107" s="1">
        <v>84.340000000000032</v>
      </c>
      <c r="E107" s="1" t="s">
        <v>11</v>
      </c>
      <c r="AD107" s="235" t="s">
        <v>33</v>
      </c>
      <c r="AE107" s="1">
        <f>SUM(AI107:AT107)</f>
        <v>0</v>
      </c>
      <c r="AG107" s="1" t="s">
        <v>106</v>
      </c>
      <c r="AI107" s="1">
        <f t="shared" ref="AI107:AS107" si="65">IF($AE$105&gt;AI106,(IF($AE$105-AJ106&gt;0,(AJ106-AI106)*$B$26*AI109,($AE$105-AI106)*$B$26*AI109)),0)</f>
        <v>0</v>
      </c>
      <c r="AJ107" s="1">
        <f t="shared" si="65"/>
        <v>0</v>
      </c>
      <c r="AK107" s="1">
        <f t="shared" si="65"/>
        <v>0</v>
      </c>
      <c r="AL107" s="1">
        <f t="shared" si="65"/>
        <v>0</v>
      </c>
      <c r="AM107" s="1">
        <f t="shared" si="65"/>
        <v>0</v>
      </c>
      <c r="AN107" s="1">
        <f t="shared" si="65"/>
        <v>0</v>
      </c>
      <c r="AO107" s="1">
        <f t="shared" si="65"/>
        <v>0</v>
      </c>
      <c r="AP107" s="1">
        <f t="shared" si="65"/>
        <v>0</v>
      </c>
      <c r="AQ107" s="1">
        <f t="shared" si="65"/>
        <v>0</v>
      </c>
      <c r="AR107" s="1">
        <f t="shared" si="65"/>
        <v>0</v>
      </c>
      <c r="AS107" s="1">
        <f t="shared" si="65"/>
        <v>0</v>
      </c>
    </row>
    <row r="108" spans="3:46" x14ac:dyDescent="0.2">
      <c r="C108" s="1">
        <v>138.16999999999985</v>
      </c>
      <c r="E108" s="1" t="s">
        <v>12</v>
      </c>
      <c r="F108" s="1">
        <v>12729.056603773584</v>
      </c>
      <c r="G108" s="1">
        <v>5.9283851078966068</v>
      </c>
    </row>
    <row r="109" spans="3:46" x14ac:dyDescent="0.2">
      <c r="C109" s="1">
        <v>142.52999999999997</v>
      </c>
      <c r="E109" s="1" t="s">
        <v>13</v>
      </c>
      <c r="F109" s="1">
        <v>10558.469387755102</v>
      </c>
      <c r="G109" s="1">
        <v>11.145690091915768</v>
      </c>
      <c r="H109" s="22"/>
      <c r="I109" s="22"/>
      <c r="J109" s="22"/>
      <c r="K109" s="22"/>
      <c r="L109" s="22"/>
      <c r="M109" s="22"/>
      <c r="N109" s="22"/>
      <c r="O109" s="22"/>
      <c r="P109" s="22"/>
      <c r="Q109" s="22"/>
      <c r="R109" s="22"/>
      <c r="S109" s="22"/>
      <c r="T109" s="22"/>
      <c r="U109" s="22"/>
      <c r="V109" s="22"/>
      <c r="W109" s="22"/>
      <c r="X109" s="22"/>
      <c r="Y109" s="22"/>
      <c r="Z109" s="22"/>
      <c r="AA109" s="22"/>
      <c r="AB109" s="22"/>
      <c r="AG109" s="1" t="s">
        <v>109</v>
      </c>
      <c r="AI109" s="218">
        <f t="shared" ref="AI109:AT109" si="66">AI26</f>
        <v>0</v>
      </c>
      <c r="AJ109" s="218">
        <f t="shared" si="66"/>
        <v>0</v>
      </c>
      <c r="AK109" s="218">
        <f t="shared" si="66"/>
        <v>0</v>
      </c>
      <c r="AL109" s="218">
        <f t="shared" si="66"/>
        <v>0</v>
      </c>
      <c r="AM109" s="218">
        <f t="shared" si="66"/>
        <v>0</v>
      </c>
      <c r="AN109" s="218">
        <f t="shared" si="66"/>
        <v>0</v>
      </c>
      <c r="AO109" s="218">
        <f t="shared" si="66"/>
        <v>0</v>
      </c>
      <c r="AP109" s="218">
        <f t="shared" si="66"/>
        <v>0</v>
      </c>
      <c r="AQ109" s="218">
        <f t="shared" si="66"/>
        <v>0</v>
      </c>
      <c r="AR109" s="218">
        <f t="shared" si="66"/>
        <v>0</v>
      </c>
      <c r="AS109" s="218">
        <f t="shared" si="66"/>
        <v>0</v>
      </c>
      <c r="AT109" s="218">
        <f t="shared" si="66"/>
        <v>0</v>
      </c>
    </row>
    <row r="110" spans="3:46" x14ac:dyDescent="0.2">
      <c r="C110" s="1">
        <v>99.259999999999991</v>
      </c>
      <c r="E110" s="1" t="s">
        <v>14</v>
      </c>
      <c r="F110" s="1">
        <v>9692.4089403973503</v>
      </c>
      <c r="G110" s="1">
        <v>31.03907949203677</v>
      </c>
      <c r="H110" s="22"/>
      <c r="I110" s="22"/>
      <c r="J110" s="22"/>
      <c r="K110" s="22"/>
      <c r="L110" s="22"/>
      <c r="M110" s="22"/>
      <c r="N110" s="22"/>
      <c r="O110" s="22"/>
      <c r="P110" s="22"/>
      <c r="Q110" s="22"/>
      <c r="R110" s="22"/>
      <c r="S110" s="22"/>
      <c r="T110" s="22"/>
      <c r="U110" s="22"/>
      <c r="V110" s="22"/>
      <c r="W110" s="22"/>
      <c r="X110" s="22"/>
      <c r="Y110" s="22"/>
      <c r="Z110" s="22"/>
      <c r="AA110" s="22"/>
      <c r="AB110" s="22"/>
    </row>
    <row r="111" spans="3:46" x14ac:dyDescent="0.2">
      <c r="C111" s="1">
        <v>63.550000000000182</v>
      </c>
      <c r="E111" s="1" t="s">
        <v>15</v>
      </c>
      <c r="H111" s="22"/>
      <c r="I111" s="22"/>
      <c r="J111" s="22"/>
      <c r="K111" s="22"/>
      <c r="L111" s="22"/>
      <c r="M111" s="22"/>
      <c r="N111" s="22"/>
      <c r="O111" s="22"/>
      <c r="P111" s="22"/>
      <c r="Q111" s="22"/>
      <c r="R111" s="22"/>
      <c r="S111" s="22"/>
      <c r="T111" s="22"/>
      <c r="U111" s="22"/>
      <c r="V111" s="22"/>
      <c r="W111" s="22"/>
      <c r="X111" s="22"/>
      <c r="Y111" s="22"/>
      <c r="Z111" s="22"/>
      <c r="AA111" s="22"/>
      <c r="AB111" s="22"/>
    </row>
    <row r="112" spans="3:46" x14ac:dyDescent="0.2">
      <c r="C112" s="1">
        <v>113.08000000000004</v>
      </c>
      <c r="E112" s="1" t="s">
        <v>16</v>
      </c>
      <c r="AD112" s="235" t="s">
        <v>19</v>
      </c>
      <c r="AE112" s="1">
        <f>C46</f>
        <v>100</v>
      </c>
      <c r="AG112" s="1" t="s">
        <v>103</v>
      </c>
      <c r="AI112" s="1">
        <f t="shared" ref="AI112:AS112" si="67">AI30</f>
        <v>0</v>
      </c>
      <c r="AJ112" s="1">
        <f t="shared" si="67"/>
        <v>0</v>
      </c>
      <c r="AK112" s="1">
        <f t="shared" si="67"/>
        <v>0</v>
      </c>
      <c r="AL112" s="1">
        <f t="shared" si="67"/>
        <v>0</v>
      </c>
      <c r="AM112" s="1">
        <f t="shared" si="67"/>
        <v>0</v>
      </c>
      <c r="AN112" s="1">
        <f t="shared" si="67"/>
        <v>0</v>
      </c>
      <c r="AO112" s="1">
        <f t="shared" si="67"/>
        <v>0</v>
      </c>
      <c r="AP112" s="1">
        <f t="shared" si="67"/>
        <v>0</v>
      </c>
      <c r="AQ112" s="1">
        <f t="shared" si="67"/>
        <v>0</v>
      </c>
      <c r="AR112" s="1">
        <f t="shared" si="67"/>
        <v>0</v>
      </c>
      <c r="AS112" s="1">
        <f t="shared" si="67"/>
        <v>0</v>
      </c>
    </row>
    <row r="113" spans="3:46" x14ac:dyDescent="0.2">
      <c r="C113" s="1">
        <v>36.26</v>
      </c>
      <c r="E113" s="1" t="s">
        <v>17</v>
      </c>
      <c r="F113" s="1">
        <v>12690.152671755724</v>
      </c>
      <c r="G113" s="1">
        <v>17.03218960028298</v>
      </c>
      <c r="H113" s="22"/>
      <c r="I113" s="22"/>
      <c r="J113" s="22"/>
      <c r="K113" s="22"/>
      <c r="L113" s="22"/>
      <c r="M113" s="22"/>
      <c r="N113" s="22"/>
      <c r="O113" s="22"/>
      <c r="P113" s="22"/>
      <c r="Q113" s="22"/>
      <c r="R113" s="22"/>
      <c r="S113" s="22"/>
      <c r="T113" s="22"/>
      <c r="U113" s="22"/>
      <c r="V113" s="22"/>
      <c r="W113" s="22"/>
      <c r="X113" s="22"/>
      <c r="Y113" s="22"/>
      <c r="Z113" s="22"/>
      <c r="AA113" s="22"/>
      <c r="AB113" s="22"/>
      <c r="AI113" s="1">
        <f t="shared" ref="AI113:AT113" si="68">AI23</f>
        <v>0</v>
      </c>
      <c r="AJ113" s="1">
        <f t="shared" si="68"/>
        <v>0</v>
      </c>
      <c r="AK113" s="1">
        <f t="shared" si="68"/>
        <v>0</v>
      </c>
      <c r="AL113" s="1">
        <f t="shared" si="68"/>
        <v>0</v>
      </c>
      <c r="AM113" s="1">
        <f t="shared" si="68"/>
        <v>0</v>
      </c>
      <c r="AN113" s="1">
        <f t="shared" si="68"/>
        <v>0</v>
      </c>
      <c r="AO113" s="1">
        <f t="shared" si="68"/>
        <v>0</v>
      </c>
      <c r="AP113" s="1">
        <f t="shared" si="68"/>
        <v>0</v>
      </c>
      <c r="AQ113" s="1">
        <f t="shared" si="68"/>
        <v>0</v>
      </c>
      <c r="AR113" s="1">
        <f t="shared" si="68"/>
        <v>0</v>
      </c>
      <c r="AS113" s="1">
        <f t="shared" si="68"/>
        <v>0</v>
      </c>
      <c r="AT113" s="1">
        <f t="shared" si="68"/>
        <v>0</v>
      </c>
    </row>
    <row r="114" spans="3:46" x14ac:dyDescent="0.2">
      <c r="C114" s="1">
        <v>151.91999999999996</v>
      </c>
      <c r="E114" s="1" t="s">
        <v>18</v>
      </c>
      <c r="F114" s="1">
        <v>14000</v>
      </c>
      <c r="G114" s="1">
        <v>11.389961389961391</v>
      </c>
      <c r="AD114" s="235" t="s">
        <v>33</v>
      </c>
      <c r="AE114" s="1">
        <f>SUM(AI114:AT114)</f>
        <v>0</v>
      </c>
      <c r="AG114" s="1" t="s">
        <v>106</v>
      </c>
      <c r="AI114" s="1">
        <f t="shared" ref="AI114:AS114" si="69">IF($AE$112&gt;AI113,(IF($AE$112-AJ113&gt;0,(AJ113-AI113)*$B$26*AI116,($AE$112-AI113)*$B$26*AI116)),0)</f>
        <v>0</v>
      </c>
      <c r="AJ114" s="1">
        <f t="shared" si="69"/>
        <v>0</v>
      </c>
      <c r="AK114" s="1">
        <f t="shared" si="69"/>
        <v>0</v>
      </c>
      <c r="AL114" s="1">
        <f t="shared" si="69"/>
        <v>0</v>
      </c>
      <c r="AM114" s="1">
        <f t="shared" si="69"/>
        <v>0</v>
      </c>
      <c r="AN114" s="1">
        <f t="shared" si="69"/>
        <v>0</v>
      </c>
      <c r="AO114" s="1">
        <f t="shared" si="69"/>
        <v>0</v>
      </c>
      <c r="AP114" s="1">
        <f t="shared" si="69"/>
        <v>0</v>
      </c>
      <c r="AQ114" s="1">
        <f t="shared" si="69"/>
        <v>0</v>
      </c>
      <c r="AR114" s="1">
        <f t="shared" si="69"/>
        <v>0</v>
      </c>
      <c r="AS114" s="1">
        <f t="shared" si="69"/>
        <v>0</v>
      </c>
    </row>
    <row r="115" spans="3:46" x14ac:dyDescent="0.2">
      <c r="C115" s="1">
        <v>28.04000000000002</v>
      </c>
      <c r="E115" s="1" t="s">
        <v>19</v>
      </c>
      <c r="F115" s="1">
        <v>10865.431818181818</v>
      </c>
      <c r="G115" s="1">
        <v>11.933912585571356</v>
      </c>
    </row>
    <row r="116" spans="3:46" x14ac:dyDescent="0.2">
      <c r="C116" s="1">
        <v>108.12</v>
      </c>
      <c r="E116" s="1" t="s">
        <v>20</v>
      </c>
      <c r="AG116" s="1" t="s">
        <v>109</v>
      </c>
      <c r="AI116" s="218">
        <f t="shared" ref="AI116:AT116" si="70">AI26</f>
        <v>0</v>
      </c>
      <c r="AJ116" s="218">
        <f t="shared" si="70"/>
        <v>0</v>
      </c>
      <c r="AK116" s="218">
        <f t="shared" si="70"/>
        <v>0</v>
      </c>
      <c r="AL116" s="218">
        <f t="shared" si="70"/>
        <v>0</v>
      </c>
      <c r="AM116" s="218">
        <f t="shared" si="70"/>
        <v>0</v>
      </c>
      <c r="AN116" s="218">
        <f t="shared" si="70"/>
        <v>0</v>
      </c>
      <c r="AO116" s="218">
        <f t="shared" si="70"/>
        <v>0</v>
      </c>
      <c r="AP116" s="218">
        <f t="shared" si="70"/>
        <v>0</v>
      </c>
      <c r="AQ116" s="218">
        <f t="shared" si="70"/>
        <v>0</v>
      </c>
      <c r="AR116" s="218">
        <f t="shared" si="70"/>
        <v>0</v>
      </c>
      <c r="AS116" s="218">
        <f t="shared" si="70"/>
        <v>0</v>
      </c>
      <c r="AT116" s="218">
        <f t="shared" si="70"/>
        <v>0</v>
      </c>
    </row>
    <row r="117" spans="3:46" x14ac:dyDescent="0.2">
      <c r="C117" s="1">
        <v>101.59000000000003</v>
      </c>
      <c r="E117" s="1" t="s">
        <v>21</v>
      </c>
      <c r="F117" s="1">
        <v>11773.10924369748</v>
      </c>
      <c r="G117" s="1">
        <v>9.5172031076581565</v>
      </c>
    </row>
    <row r="118" spans="3:46" x14ac:dyDescent="0.2">
      <c r="E118" s="1" t="s">
        <v>22</v>
      </c>
    </row>
    <row r="119" spans="3:46" x14ac:dyDescent="0.2">
      <c r="E119" s="287" t="s">
        <v>23</v>
      </c>
    </row>
    <row r="120" spans="3:46" x14ac:dyDescent="0.2">
      <c r="H120" s="22"/>
      <c r="AD120" s="235" t="s">
        <v>10</v>
      </c>
      <c r="AE120" s="1">
        <f>C47</f>
        <v>1029</v>
      </c>
      <c r="AG120" s="1" t="s">
        <v>103</v>
      </c>
      <c r="AI120" s="1">
        <f t="shared" ref="AI120:AS120" si="71">AI30</f>
        <v>0</v>
      </c>
      <c r="AJ120" s="1">
        <f t="shared" si="71"/>
        <v>0</v>
      </c>
      <c r="AK120" s="1">
        <f t="shared" si="71"/>
        <v>0</v>
      </c>
      <c r="AL120" s="1">
        <f t="shared" si="71"/>
        <v>0</v>
      </c>
      <c r="AM120" s="1">
        <f t="shared" si="71"/>
        <v>0</v>
      </c>
      <c r="AN120" s="1">
        <f t="shared" si="71"/>
        <v>0</v>
      </c>
      <c r="AO120" s="1">
        <f t="shared" si="71"/>
        <v>0</v>
      </c>
      <c r="AP120" s="1">
        <f t="shared" si="71"/>
        <v>0</v>
      </c>
      <c r="AQ120" s="1">
        <f t="shared" si="71"/>
        <v>0</v>
      </c>
      <c r="AR120" s="1">
        <f t="shared" si="71"/>
        <v>0</v>
      </c>
      <c r="AS120" s="1">
        <f t="shared" si="71"/>
        <v>0</v>
      </c>
    </row>
    <row r="121" spans="3:46" x14ac:dyDescent="0.2">
      <c r="AI121" s="1">
        <f t="shared" ref="AI121:AT121" si="72">AI23</f>
        <v>0</v>
      </c>
      <c r="AJ121" s="1">
        <f t="shared" si="72"/>
        <v>0</v>
      </c>
      <c r="AK121" s="1">
        <f t="shared" si="72"/>
        <v>0</v>
      </c>
      <c r="AL121" s="1">
        <f t="shared" si="72"/>
        <v>0</v>
      </c>
      <c r="AM121" s="1">
        <f t="shared" si="72"/>
        <v>0</v>
      </c>
      <c r="AN121" s="1">
        <f t="shared" si="72"/>
        <v>0</v>
      </c>
      <c r="AO121" s="1">
        <f t="shared" si="72"/>
        <v>0</v>
      </c>
      <c r="AP121" s="1">
        <f t="shared" si="72"/>
        <v>0</v>
      </c>
      <c r="AQ121" s="1">
        <f t="shared" si="72"/>
        <v>0</v>
      </c>
      <c r="AR121" s="1">
        <f t="shared" si="72"/>
        <v>0</v>
      </c>
      <c r="AS121" s="1">
        <f t="shared" si="72"/>
        <v>0</v>
      </c>
      <c r="AT121" s="1">
        <f t="shared" si="72"/>
        <v>0</v>
      </c>
    </row>
    <row r="122" spans="3:46" x14ac:dyDescent="0.2">
      <c r="AD122" s="235" t="s">
        <v>33</v>
      </c>
      <c r="AE122" s="1">
        <f>SUM(AI122:AT122)</f>
        <v>0</v>
      </c>
      <c r="AG122" s="1" t="s">
        <v>106</v>
      </c>
      <c r="AI122" s="1">
        <f t="shared" ref="AI122:AS122" si="73">IF($AE$120&gt;AI121,(IF($AE$120-AJ121&gt;0,(AJ121-AI121)*$B$26*AI124,($AE$120-AI121)*$B$26*AI124)),0)</f>
        <v>0</v>
      </c>
      <c r="AJ122" s="1">
        <f t="shared" si="73"/>
        <v>0</v>
      </c>
      <c r="AK122" s="1">
        <f t="shared" si="73"/>
        <v>0</v>
      </c>
      <c r="AL122" s="1">
        <f t="shared" si="73"/>
        <v>0</v>
      </c>
      <c r="AM122" s="1">
        <f t="shared" si="73"/>
        <v>0</v>
      </c>
      <c r="AN122" s="1">
        <f t="shared" si="73"/>
        <v>0</v>
      </c>
      <c r="AO122" s="1">
        <f t="shared" si="73"/>
        <v>0</v>
      </c>
      <c r="AP122" s="1">
        <f t="shared" si="73"/>
        <v>0</v>
      </c>
      <c r="AQ122" s="1">
        <f t="shared" si="73"/>
        <v>0</v>
      </c>
      <c r="AR122" s="1">
        <f t="shared" si="73"/>
        <v>0</v>
      </c>
      <c r="AS122" s="1">
        <f t="shared" si="73"/>
        <v>0</v>
      </c>
    </row>
    <row r="124" spans="3:46" x14ac:dyDescent="0.2">
      <c r="AG124" s="1" t="s">
        <v>109</v>
      </c>
      <c r="AI124" s="218">
        <f t="shared" ref="AI124:AT124" si="74">AI26</f>
        <v>0</v>
      </c>
      <c r="AJ124" s="218">
        <f t="shared" si="74"/>
        <v>0</v>
      </c>
      <c r="AK124" s="218">
        <f t="shared" si="74"/>
        <v>0</v>
      </c>
      <c r="AL124" s="218">
        <f t="shared" si="74"/>
        <v>0</v>
      </c>
      <c r="AM124" s="218">
        <f t="shared" si="74"/>
        <v>0</v>
      </c>
      <c r="AN124" s="218">
        <f t="shared" si="74"/>
        <v>0</v>
      </c>
      <c r="AO124" s="218">
        <f t="shared" si="74"/>
        <v>0</v>
      </c>
      <c r="AP124" s="218">
        <f t="shared" si="74"/>
        <v>0</v>
      </c>
      <c r="AQ124" s="218">
        <f t="shared" si="74"/>
        <v>0</v>
      </c>
      <c r="AR124" s="218">
        <f t="shared" si="74"/>
        <v>0</v>
      </c>
      <c r="AS124" s="218">
        <f t="shared" si="74"/>
        <v>0</v>
      </c>
      <c r="AT124" s="218">
        <f t="shared" si="74"/>
        <v>0</v>
      </c>
    </row>
    <row r="127" spans="3:46" x14ac:dyDescent="0.2">
      <c r="H127" s="22"/>
      <c r="I127" s="22"/>
      <c r="J127" s="22"/>
      <c r="K127" s="22"/>
      <c r="L127" s="22"/>
      <c r="M127" s="22"/>
      <c r="N127" s="22"/>
      <c r="O127" s="22"/>
      <c r="P127" s="22"/>
      <c r="Q127" s="22"/>
      <c r="R127" s="22"/>
      <c r="S127" s="22"/>
      <c r="T127" s="22"/>
      <c r="U127" s="22"/>
      <c r="V127" s="22"/>
      <c r="W127" s="22"/>
      <c r="X127" s="22"/>
      <c r="Y127" s="22"/>
      <c r="Z127" s="22"/>
      <c r="AA127" s="22"/>
      <c r="AB127" s="22"/>
      <c r="AD127" s="235" t="s">
        <v>14</v>
      </c>
      <c r="AE127" s="1">
        <f>C48</f>
        <v>433</v>
      </c>
      <c r="AG127" s="1" t="s">
        <v>103</v>
      </c>
      <c r="AI127" s="1">
        <f t="shared" ref="AI127:AS127" si="75">AI30</f>
        <v>0</v>
      </c>
      <c r="AJ127" s="1">
        <f t="shared" si="75"/>
        <v>0</v>
      </c>
      <c r="AK127" s="1">
        <f t="shared" si="75"/>
        <v>0</v>
      </c>
      <c r="AL127" s="1">
        <f t="shared" si="75"/>
        <v>0</v>
      </c>
      <c r="AM127" s="1">
        <f t="shared" si="75"/>
        <v>0</v>
      </c>
      <c r="AN127" s="1">
        <f t="shared" si="75"/>
        <v>0</v>
      </c>
      <c r="AO127" s="1">
        <f t="shared" si="75"/>
        <v>0</v>
      </c>
      <c r="AP127" s="1">
        <f t="shared" si="75"/>
        <v>0</v>
      </c>
      <c r="AQ127" s="1">
        <f t="shared" si="75"/>
        <v>0</v>
      </c>
      <c r="AR127" s="1">
        <f t="shared" si="75"/>
        <v>0</v>
      </c>
      <c r="AS127" s="1">
        <f t="shared" si="75"/>
        <v>0</v>
      </c>
    </row>
    <row r="128" spans="3:46" x14ac:dyDescent="0.2">
      <c r="H128" s="22"/>
      <c r="I128" s="22"/>
      <c r="J128" s="22"/>
      <c r="K128" s="22"/>
      <c r="L128" s="22"/>
      <c r="M128" s="22"/>
      <c r="N128" s="22"/>
      <c r="O128" s="22"/>
      <c r="P128" s="22"/>
      <c r="Q128" s="22"/>
      <c r="R128" s="22"/>
      <c r="S128" s="22"/>
      <c r="T128" s="22"/>
      <c r="U128" s="22"/>
      <c r="V128" s="22"/>
      <c r="W128" s="22"/>
      <c r="X128" s="22"/>
      <c r="Y128" s="22"/>
      <c r="Z128" s="22"/>
      <c r="AA128" s="22"/>
      <c r="AB128" s="22"/>
      <c r="AI128" s="1">
        <f t="shared" ref="AI128:AT128" si="76">AI23</f>
        <v>0</v>
      </c>
      <c r="AJ128" s="1">
        <f t="shared" si="76"/>
        <v>0</v>
      </c>
      <c r="AK128" s="1">
        <f t="shared" si="76"/>
        <v>0</v>
      </c>
      <c r="AL128" s="1">
        <f t="shared" si="76"/>
        <v>0</v>
      </c>
      <c r="AM128" s="1">
        <f t="shared" si="76"/>
        <v>0</v>
      </c>
      <c r="AN128" s="1">
        <f t="shared" si="76"/>
        <v>0</v>
      </c>
      <c r="AO128" s="1">
        <f t="shared" si="76"/>
        <v>0</v>
      </c>
      <c r="AP128" s="1">
        <f t="shared" si="76"/>
        <v>0</v>
      </c>
      <c r="AQ128" s="1">
        <f t="shared" si="76"/>
        <v>0</v>
      </c>
      <c r="AR128" s="1">
        <f t="shared" si="76"/>
        <v>0</v>
      </c>
      <c r="AS128" s="1">
        <f t="shared" si="76"/>
        <v>0</v>
      </c>
      <c r="AT128" s="1">
        <f t="shared" si="76"/>
        <v>0</v>
      </c>
    </row>
    <row r="129" spans="4:46" x14ac:dyDescent="0.2">
      <c r="AD129" s="235" t="s">
        <v>33</v>
      </c>
      <c r="AE129" s="1">
        <f>SUM(AI129:AT129)</f>
        <v>0</v>
      </c>
      <c r="AG129" s="1" t="s">
        <v>106</v>
      </c>
      <c r="AI129" s="1">
        <f t="shared" ref="AI129:AS129" si="77">IF($AE$127&gt;AI128,(IF($AE$127-AJ128&gt;0,(AJ128-AI128)*$B$26*AI131,($AE$127-AI128)*$B$26*AI131)),0)</f>
        <v>0</v>
      </c>
      <c r="AJ129" s="1">
        <f t="shared" si="77"/>
        <v>0</v>
      </c>
      <c r="AK129" s="1">
        <f t="shared" si="77"/>
        <v>0</v>
      </c>
      <c r="AL129" s="1">
        <f t="shared" si="77"/>
        <v>0</v>
      </c>
      <c r="AM129" s="1">
        <f t="shared" si="77"/>
        <v>0</v>
      </c>
      <c r="AN129" s="1">
        <f t="shared" si="77"/>
        <v>0</v>
      </c>
      <c r="AO129" s="1">
        <f t="shared" si="77"/>
        <v>0</v>
      </c>
      <c r="AP129" s="1">
        <f t="shared" si="77"/>
        <v>0</v>
      </c>
      <c r="AQ129" s="1">
        <f t="shared" si="77"/>
        <v>0</v>
      </c>
      <c r="AR129" s="1">
        <f t="shared" si="77"/>
        <v>0</v>
      </c>
      <c r="AS129" s="1">
        <f t="shared" si="77"/>
        <v>0</v>
      </c>
    </row>
    <row r="130" spans="4:46" x14ac:dyDescent="0.2">
      <c r="D130" s="1" t="s">
        <v>639</v>
      </c>
      <c r="G130" s="24"/>
      <c r="H130" s="281"/>
      <c r="I130" s="281"/>
      <c r="J130" s="281"/>
      <c r="K130" s="281"/>
      <c r="L130" s="281"/>
      <c r="M130" s="281"/>
      <c r="N130" s="281"/>
      <c r="O130" s="281"/>
      <c r="P130" s="281"/>
      <c r="Q130" s="281"/>
      <c r="R130" s="281"/>
      <c r="S130" s="281"/>
      <c r="T130" s="281"/>
      <c r="U130" s="281"/>
      <c r="V130" s="281"/>
      <c r="W130" s="281"/>
      <c r="X130" s="281"/>
      <c r="Y130" s="281"/>
      <c r="Z130" s="281"/>
      <c r="AA130" s="281"/>
      <c r="AB130" s="281"/>
    </row>
    <row r="131" spans="4:46" x14ac:dyDescent="0.2">
      <c r="H131" s="25"/>
      <c r="I131" s="25"/>
      <c r="J131" s="25"/>
      <c r="K131" s="25"/>
      <c r="L131" s="25"/>
      <c r="M131" s="25"/>
      <c r="N131" s="25"/>
      <c r="O131" s="25"/>
      <c r="P131" s="25"/>
      <c r="Q131" s="25"/>
      <c r="R131" s="25"/>
      <c r="S131" s="25"/>
      <c r="T131" s="25"/>
      <c r="U131" s="25"/>
      <c r="V131" s="25"/>
      <c r="W131" s="25"/>
      <c r="X131" s="25"/>
      <c r="Y131" s="25"/>
      <c r="Z131" s="25"/>
      <c r="AA131" s="25"/>
      <c r="AB131" s="25"/>
      <c r="AG131" s="1" t="s">
        <v>109</v>
      </c>
      <c r="AI131" s="218">
        <f t="shared" ref="AI131:AT131" si="78">AI26</f>
        <v>0</v>
      </c>
      <c r="AJ131" s="218">
        <f t="shared" si="78"/>
        <v>0</v>
      </c>
      <c r="AK131" s="218">
        <f t="shared" si="78"/>
        <v>0</v>
      </c>
      <c r="AL131" s="218">
        <f t="shared" si="78"/>
        <v>0</v>
      </c>
      <c r="AM131" s="218">
        <f t="shared" si="78"/>
        <v>0</v>
      </c>
      <c r="AN131" s="218">
        <f t="shared" si="78"/>
        <v>0</v>
      </c>
      <c r="AO131" s="218">
        <f t="shared" si="78"/>
        <v>0</v>
      </c>
      <c r="AP131" s="218">
        <f t="shared" si="78"/>
        <v>0</v>
      </c>
      <c r="AQ131" s="218">
        <f t="shared" si="78"/>
        <v>0</v>
      </c>
      <c r="AR131" s="218">
        <f t="shared" si="78"/>
        <v>0</v>
      </c>
      <c r="AS131" s="218">
        <f t="shared" si="78"/>
        <v>0</v>
      </c>
      <c r="AT131" s="218">
        <f t="shared" si="78"/>
        <v>0</v>
      </c>
    </row>
    <row r="132" spans="4:46" x14ac:dyDescent="0.2">
      <c r="E132" s="1" t="s">
        <v>8</v>
      </c>
      <c r="F132" s="1" t="s">
        <v>9</v>
      </c>
      <c r="G132" s="1" t="s">
        <v>10</v>
      </c>
      <c r="H132" s="1" t="s">
        <v>11</v>
      </c>
      <c r="I132" s="1" t="s">
        <v>12</v>
      </c>
      <c r="J132" s="1" t="s">
        <v>13</v>
      </c>
      <c r="K132" s="1" t="s">
        <v>14</v>
      </c>
      <c r="L132" s="1" t="s">
        <v>15</v>
      </c>
      <c r="M132" s="1" t="s">
        <v>16</v>
      </c>
      <c r="N132" s="1" t="s">
        <v>17</v>
      </c>
      <c r="O132" s="1" t="s">
        <v>18</v>
      </c>
      <c r="P132" s="1" t="s">
        <v>19</v>
      </c>
      <c r="Q132" s="1" t="s">
        <v>20</v>
      </c>
      <c r="R132" s="1" t="s">
        <v>21</v>
      </c>
      <c r="S132" s="1" t="s">
        <v>22</v>
      </c>
      <c r="T132" s="287" t="s">
        <v>23</v>
      </c>
      <c r="U132" s="115"/>
      <c r="V132" s="115"/>
      <c r="W132" s="115"/>
      <c r="X132" s="115"/>
      <c r="Y132" s="115"/>
      <c r="Z132" s="115"/>
      <c r="AA132" s="115"/>
      <c r="AB132" s="115"/>
    </row>
    <row r="133" spans="4:46" x14ac:dyDescent="0.2">
      <c r="D133" s="1" t="s">
        <v>8</v>
      </c>
    </row>
    <row r="134" spans="4:46" x14ac:dyDescent="0.2">
      <c r="D134" s="1" t="s">
        <v>9</v>
      </c>
    </row>
    <row r="135" spans="4:46" x14ac:dyDescent="0.2">
      <c r="D135" s="1" t="s">
        <v>10</v>
      </c>
      <c r="AD135" s="235" t="s">
        <v>23</v>
      </c>
      <c r="AE135" s="1">
        <f>C49</f>
        <v>11393</v>
      </c>
      <c r="AG135" s="1" t="s">
        <v>103</v>
      </c>
      <c r="AI135" s="1">
        <f t="shared" ref="AI135:AS135" si="79">AI127</f>
        <v>0</v>
      </c>
      <c r="AJ135" s="1">
        <f t="shared" si="79"/>
        <v>0</v>
      </c>
      <c r="AK135" s="1">
        <f t="shared" si="79"/>
        <v>0</v>
      </c>
      <c r="AL135" s="1">
        <f t="shared" si="79"/>
        <v>0</v>
      </c>
      <c r="AM135" s="1">
        <f t="shared" si="79"/>
        <v>0</v>
      </c>
      <c r="AN135" s="1">
        <f t="shared" si="79"/>
        <v>0</v>
      </c>
      <c r="AO135" s="1">
        <f t="shared" si="79"/>
        <v>0</v>
      </c>
      <c r="AP135" s="1">
        <f t="shared" si="79"/>
        <v>0</v>
      </c>
      <c r="AQ135" s="1">
        <f t="shared" si="79"/>
        <v>0</v>
      </c>
      <c r="AR135" s="1">
        <f t="shared" si="79"/>
        <v>0</v>
      </c>
      <c r="AS135" s="1">
        <f t="shared" si="79"/>
        <v>0</v>
      </c>
    </row>
    <row r="136" spans="4:46" x14ac:dyDescent="0.2">
      <c r="D136" s="1" t="s">
        <v>11</v>
      </c>
      <c r="AI136" s="1">
        <f t="shared" ref="AI136:AT136" si="80">AI23</f>
        <v>0</v>
      </c>
      <c r="AJ136" s="1">
        <f t="shared" si="80"/>
        <v>0</v>
      </c>
      <c r="AK136" s="1">
        <f t="shared" si="80"/>
        <v>0</v>
      </c>
      <c r="AL136" s="1">
        <f t="shared" si="80"/>
        <v>0</v>
      </c>
      <c r="AM136" s="1">
        <f t="shared" si="80"/>
        <v>0</v>
      </c>
      <c r="AN136" s="1">
        <f t="shared" si="80"/>
        <v>0</v>
      </c>
      <c r="AO136" s="1">
        <f t="shared" si="80"/>
        <v>0</v>
      </c>
      <c r="AP136" s="1">
        <f t="shared" si="80"/>
        <v>0</v>
      </c>
      <c r="AQ136" s="1">
        <f t="shared" si="80"/>
        <v>0</v>
      </c>
      <c r="AR136" s="1">
        <f t="shared" si="80"/>
        <v>0</v>
      </c>
      <c r="AS136" s="1">
        <f t="shared" si="80"/>
        <v>0</v>
      </c>
      <c r="AT136" s="1">
        <f t="shared" si="80"/>
        <v>0</v>
      </c>
    </row>
    <row r="137" spans="4:46" x14ac:dyDescent="0.2">
      <c r="D137" s="1" t="s">
        <v>12</v>
      </c>
      <c r="AD137" s="235" t="s">
        <v>33</v>
      </c>
      <c r="AE137" s="1">
        <f>SUM(AI137:AT137)</f>
        <v>0</v>
      </c>
      <c r="AG137" s="1" t="s">
        <v>106</v>
      </c>
      <c r="AI137" s="1">
        <f t="shared" ref="AI137:AS137" si="81">IF($AE$135&gt;AI136,(IF($AE$135-AJ136&gt;0,(AJ136-AI136)*$B$26*AI139,($AE$135-AI136)*$B$26*AI139)),0)</f>
        <v>0</v>
      </c>
      <c r="AJ137" s="1">
        <f t="shared" si="81"/>
        <v>0</v>
      </c>
      <c r="AK137" s="1">
        <f t="shared" si="81"/>
        <v>0</v>
      </c>
      <c r="AL137" s="1">
        <f t="shared" si="81"/>
        <v>0</v>
      </c>
      <c r="AM137" s="1">
        <f t="shared" si="81"/>
        <v>0</v>
      </c>
      <c r="AN137" s="1">
        <f t="shared" si="81"/>
        <v>0</v>
      </c>
      <c r="AO137" s="1">
        <f t="shared" si="81"/>
        <v>0</v>
      </c>
      <c r="AP137" s="1">
        <f t="shared" si="81"/>
        <v>0</v>
      </c>
      <c r="AQ137" s="1">
        <f t="shared" si="81"/>
        <v>0</v>
      </c>
      <c r="AR137" s="1">
        <f t="shared" si="81"/>
        <v>0</v>
      </c>
      <c r="AS137" s="1">
        <f t="shared" si="81"/>
        <v>0</v>
      </c>
    </row>
    <row r="138" spans="4:46" x14ac:dyDescent="0.2">
      <c r="D138" s="1" t="s">
        <v>13</v>
      </c>
    </row>
    <row r="139" spans="4:46" x14ac:dyDescent="0.2">
      <c r="D139" s="1" t="s">
        <v>14</v>
      </c>
      <c r="AG139" s="1" t="s">
        <v>109</v>
      </c>
      <c r="AI139" s="218">
        <f t="shared" ref="AI139:AT139" si="82">AI26</f>
        <v>0</v>
      </c>
      <c r="AJ139" s="218">
        <f t="shared" si="82"/>
        <v>0</v>
      </c>
      <c r="AK139" s="218">
        <f t="shared" si="82"/>
        <v>0</v>
      </c>
      <c r="AL139" s="218">
        <f t="shared" si="82"/>
        <v>0</v>
      </c>
      <c r="AM139" s="218">
        <f t="shared" si="82"/>
        <v>0</v>
      </c>
      <c r="AN139" s="218">
        <f t="shared" si="82"/>
        <v>0</v>
      </c>
      <c r="AO139" s="218">
        <f t="shared" si="82"/>
        <v>0</v>
      </c>
      <c r="AP139" s="218">
        <f t="shared" si="82"/>
        <v>0</v>
      </c>
      <c r="AQ139" s="218">
        <f t="shared" si="82"/>
        <v>0</v>
      </c>
      <c r="AR139" s="218">
        <f t="shared" si="82"/>
        <v>0</v>
      </c>
      <c r="AS139" s="218">
        <f t="shared" si="82"/>
        <v>0</v>
      </c>
      <c r="AT139" s="218">
        <f t="shared" si="82"/>
        <v>0</v>
      </c>
    </row>
    <row r="140" spans="4:46" x14ac:dyDescent="0.2">
      <c r="D140" s="1" t="s">
        <v>15</v>
      </c>
    </row>
    <row r="141" spans="4:46" x14ac:dyDescent="0.2">
      <c r="D141" s="1" t="s">
        <v>16</v>
      </c>
    </row>
    <row r="142" spans="4:46" x14ac:dyDescent="0.2">
      <c r="D142" s="1" t="s">
        <v>17</v>
      </c>
      <c r="AD142" s="235" t="s">
        <v>138</v>
      </c>
      <c r="AE142" s="1">
        <f>SUM(AE135+AE127+AE120+AE112+AE105+AE97+AE90+AE82+AE75+AE67+AE60+AE52+AE45+AE37+AE30+AE22)</f>
        <v>28666</v>
      </c>
    </row>
    <row r="143" spans="4:46" x14ac:dyDescent="0.2">
      <c r="D143" s="1" t="s">
        <v>18</v>
      </c>
    </row>
    <row r="144" spans="4:46" x14ac:dyDescent="0.2">
      <c r="D144" s="1" t="s">
        <v>19</v>
      </c>
    </row>
    <row r="145" spans="4:14" x14ac:dyDescent="0.2">
      <c r="D145" s="1" t="s">
        <v>20</v>
      </c>
    </row>
    <row r="146" spans="4:14" x14ac:dyDescent="0.2">
      <c r="D146" s="1" t="s">
        <v>21</v>
      </c>
    </row>
    <row r="147" spans="4:14" x14ac:dyDescent="0.2">
      <c r="D147" s="1" t="s">
        <v>22</v>
      </c>
    </row>
    <row r="148" spans="4:14" x14ac:dyDescent="0.2">
      <c r="D148" s="287" t="s">
        <v>23</v>
      </c>
    </row>
    <row r="157" spans="4:14" x14ac:dyDescent="0.2">
      <c r="E157" s="1" t="s">
        <v>123</v>
      </c>
      <c r="F157" s="1" t="s">
        <v>129</v>
      </c>
      <c r="G157" s="1" t="s">
        <v>648</v>
      </c>
      <c r="K157" s="1" t="s">
        <v>647</v>
      </c>
      <c r="L157" s="1" t="s">
        <v>112</v>
      </c>
      <c r="M157" s="1" t="s">
        <v>113</v>
      </c>
      <c r="N157" s="1" t="s">
        <v>114</v>
      </c>
    </row>
    <row r="158" spans="4:14" x14ac:dyDescent="0.2">
      <c r="D158" s="1" t="s">
        <v>102</v>
      </c>
      <c r="E158" s="1">
        <v>50</v>
      </c>
      <c r="F158" s="22">
        <v>270270.95</v>
      </c>
      <c r="G158" s="1">
        <f t="shared" ref="G158:G173" si="83">11000*E158*0.06</f>
        <v>33000</v>
      </c>
      <c r="H158" s="1">
        <f>G158/E158</f>
        <v>660</v>
      </c>
      <c r="K158" s="1">
        <f>E158+E159+E161+E162+E163+E164</f>
        <v>211</v>
      </c>
      <c r="L158" s="1">
        <f>E160</f>
        <v>65</v>
      </c>
      <c r="M158" s="1">
        <f>E165+E166</f>
        <v>192</v>
      </c>
    </row>
    <row r="159" spans="4:14" x14ac:dyDescent="0.2">
      <c r="D159" s="1" t="s">
        <v>8</v>
      </c>
      <c r="E159" s="1">
        <v>46</v>
      </c>
      <c r="F159" s="22">
        <v>231739.45</v>
      </c>
      <c r="G159" s="1">
        <f t="shared" si="83"/>
        <v>30360</v>
      </c>
      <c r="H159" s="1">
        <f t="shared" ref="H159:H173" si="84">G159/E159</f>
        <v>660</v>
      </c>
      <c r="I159" s="1" t="s">
        <v>494</v>
      </c>
      <c r="J159" s="1">
        <v>0.05</v>
      </c>
    </row>
    <row r="160" spans="4:14" x14ac:dyDescent="0.2">
      <c r="D160" s="1" t="s">
        <v>11</v>
      </c>
      <c r="E160" s="1">
        <v>65</v>
      </c>
      <c r="F160" s="22">
        <v>289536.7</v>
      </c>
      <c r="G160" s="1">
        <f t="shared" si="83"/>
        <v>42900</v>
      </c>
      <c r="H160" s="1">
        <f t="shared" si="84"/>
        <v>660</v>
      </c>
      <c r="I160" s="1" t="s">
        <v>649</v>
      </c>
      <c r="J160" s="1">
        <v>5000</v>
      </c>
    </row>
    <row r="161" spans="4:14" x14ac:dyDescent="0.2">
      <c r="D161" s="1" t="s">
        <v>22</v>
      </c>
      <c r="E161" s="1">
        <v>44</v>
      </c>
      <c r="F161" s="22">
        <v>258711.5</v>
      </c>
      <c r="G161" s="1">
        <f t="shared" si="83"/>
        <v>29040</v>
      </c>
      <c r="H161" s="1">
        <f t="shared" si="84"/>
        <v>660</v>
      </c>
      <c r="I161" s="1" t="s">
        <v>650</v>
      </c>
      <c r="J161" s="1">
        <v>4000</v>
      </c>
      <c r="K161" s="1">
        <f>K158*J160</f>
        <v>1055000</v>
      </c>
      <c r="L161" s="1">
        <f>L158*J161</f>
        <v>260000</v>
      </c>
      <c r="M161" s="1">
        <f>M158*J162</f>
        <v>576000</v>
      </c>
      <c r="N161" s="1">
        <f>N158*1000</f>
        <v>0</v>
      </c>
    </row>
    <row r="162" spans="4:14" x14ac:dyDescent="0.2">
      <c r="D162" s="1" t="s">
        <v>15</v>
      </c>
      <c r="E162" s="1">
        <v>33</v>
      </c>
      <c r="F162" s="22">
        <v>121099</v>
      </c>
      <c r="G162" s="1">
        <f t="shared" si="83"/>
        <v>21780</v>
      </c>
      <c r="H162" s="1">
        <f t="shared" si="84"/>
        <v>660</v>
      </c>
      <c r="I162" s="1" t="s">
        <v>651</v>
      </c>
      <c r="J162" s="1">
        <v>3000</v>
      </c>
    </row>
    <row r="163" spans="4:14" x14ac:dyDescent="0.2">
      <c r="D163" s="1" t="s">
        <v>128</v>
      </c>
      <c r="E163" s="1">
        <v>8</v>
      </c>
      <c r="F163" s="22">
        <v>16513.5</v>
      </c>
      <c r="G163" s="1">
        <f t="shared" si="83"/>
        <v>5280</v>
      </c>
      <c r="H163" s="1">
        <f t="shared" si="84"/>
        <v>660</v>
      </c>
      <c r="I163" s="1" t="s">
        <v>652</v>
      </c>
      <c r="J163" s="1">
        <v>2000</v>
      </c>
    </row>
    <row r="164" spans="4:14" x14ac:dyDescent="0.2">
      <c r="D164" s="1" t="s">
        <v>16</v>
      </c>
      <c r="E164" s="1">
        <v>30</v>
      </c>
      <c r="F164" s="22">
        <v>143117</v>
      </c>
      <c r="G164" s="1">
        <f t="shared" si="83"/>
        <v>19800</v>
      </c>
      <c r="H164" s="1">
        <f t="shared" si="84"/>
        <v>660</v>
      </c>
    </row>
    <row r="165" spans="4:14" x14ac:dyDescent="0.2">
      <c r="D165" s="1" t="s">
        <v>9</v>
      </c>
      <c r="E165" s="1">
        <v>89</v>
      </c>
      <c r="F165" s="22">
        <v>362746.55</v>
      </c>
      <c r="G165" s="1">
        <f t="shared" si="83"/>
        <v>58740</v>
      </c>
      <c r="H165" s="1">
        <f t="shared" si="84"/>
        <v>660</v>
      </c>
    </row>
    <row r="166" spans="4:14" x14ac:dyDescent="0.2">
      <c r="D166" s="1" t="s">
        <v>21</v>
      </c>
      <c r="E166" s="1">
        <v>103</v>
      </c>
      <c r="F166" s="22">
        <v>399406.52</v>
      </c>
      <c r="G166" s="1">
        <f t="shared" si="83"/>
        <v>67980</v>
      </c>
      <c r="H166" s="1">
        <f t="shared" si="84"/>
        <v>660</v>
      </c>
    </row>
    <row r="167" spans="4:14" x14ac:dyDescent="0.2">
      <c r="D167" s="1" t="s">
        <v>18</v>
      </c>
      <c r="E167" s="1">
        <v>51</v>
      </c>
      <c r="F167" s="22">
        <v>277977.25</v>
      </c>
      <c r="G167" s="1">
        <f t="shared" si="83"/>
        <v>33660</v>
      </c>
      <c r="H167" s="1">
        <f t="shared" si="84"/>
        <v>660</v>
      </c>
    </row>
    <row r="168" spans="4:14" x14ac:dyDescent="0.2">
      <c r="D168" s="1" t="s">
        <v>13</v>
      </c>
      <c r="E168" s="1">
        <v>173</v>
      </c>
      <c r="F168" s="22">
        <v>485937.26</v>
      </c>
      <c r="G168" s="1">
        <f t="shared" si="83"/>
        <v>114180</v>
      </c>
      <c r="H168" s="1">
        <f t="shared" si="84"/>
        <v>660</v>
      </c>
    </row>
    <row r="169" spans="4:14" x14ac:dyDescent="0.2">
      <c r="D169" s="1" t="s">
        <v>17</v>
      </c>
      <c r="E169" s="1">
        <v>275</v>
      </c>
      <c r="F169" s="22">
        <v>528211.81999999995</v>
      </c>
      <c r="G169" s="1">
        <f t="shared" si="83"/>
        <v>181500</v>
      </c>
      <c r="H169" s="1">
        <f t="shared" si="84"/>
        <v>660</v>
      </c>
    </row>
    <row r="170" spans="4:14" x14ac:dyDescent="0.2">
      <c r="D170" s="1" t="s">
        <v>19</v>
      </c>
      <c r="E170" s="1">
        <v>208</v>
      </c>
      <c r="F170" s="22">
        <v>503111.3</v>
      </c>
      <c r="G170" s="1">
        <f t="shared" si="83"/>
        <v>137280</v>
      </c>
      <c r="H170" s="1">
        <f t="shared" si="84"/>
        <v>660</v>
      </c>
    </row>
    <row r="171" spans="4:14" x14ac:dyDescent="0.2">
      <c r="D171" s="1" t="s">
        <v>133</v>
      </c>
      <c r="E171" s="1">
        <v>318</v>
      </c>
      <c r="F171" s="22">
        <v>551991.26</v>
      </c>
      <c r="G171" s="1">
        <f t="shared" si="83"/>
        <v>209880</v>
      </c>
      <c r="H171" s="1">
        <f t="shared" si="84"/>
        <v>660</v>
      </c>
    </row>
    <row r="172" spans="4:14" x14ac:dyDescent="0.2">
      <c r="D172" s="1" t="s">
        <v>134</v>
      </c>
      <c r="E172" s="1">
        <v>565</v>
      </c>
      <c r="F172" s="22">
        <v>650852.07999999996</v>
      </c>
      <c r="G172" s="1">
        <f t="shared" si="83"/>
        <v>372900</v>
      </c>
      <c r="H172" s="1">
        <f t="shared" si="84"/>
        <v>660</v>
      </c>
    </row>
    <row r="173" spans="4:14" x14ac:dyDescent="0.2">
      <c r="D173" s="1" t="s">
        <v>135</v>
      </c>
      <c r="E173" s="1">
        <v>1080</v>
      </c>
      <c r="F173" s="22">
        <v>810042.22</v>
      </c>
      <c r="G173" s="1">
        <f t="shared" si="83"/>
        <v>712800</v>
      </c>
      <c r="H173" s="1">
        <f t="shared" si="84"/>
        <v>660</v>
      </c>
    </row>
    <row r="174" spans="4:14" x14ac:dyDescent="0.2">
      <c r="F174" s="22"/>
    </row>
    <row r="175" spans="4:14" x14ac:dyDescent="0.2">
      <c r="D175" s="1" t="s">
        <v>32</v>
      </c>
      <c r="E175" s="1">
        <v>3138</v>
      </c>
      <c r="F175" s="22">
        <v>5901264.3599999994</v>
      </c>
    </row>
    <row r="187" spans="3:7" x14ac:dyDescent="0.2">
      <c r="D187" s="1" t="s">
        <v>717</v>
      </c>
    </row>
    <row r="188" spans="3:7" x14ac:dyDescent="0.2">
      <c r="D188" s="1" t="s">
        <v>720</v>
      </c>
      <c r="E188" s="1" t="s">
        <v>718</v>
      </c>
      <c r="F188" s="1" t="s">
        <v>719</v>
      </c>
      <c r="G188" s="1" t="s">
        <v>31</v>
      </c>
    </row>
    <row r="189" spans="3:7" x14ac:dyDescent="0.2">
      <c r="C189" s="1">
        <v>1</v>
      </c>
      <c r="D189" s="1">
        <v>10451.817952143343</v>
      </c>
      <c r="E189" s="1">
        <v>17623.081993881544</v>
      </c>
      <c r="F189" s="1">
        <f>E189*1.11</f>
        <v>19561.621013208514</v>
      </c>
      <c r="G189" s="1">
        <f>(F189-D189)*0.9*0.17</f>
        <v>1393.7998683429712</v>
      </c>
    </row>
    <row r="190" spans="3:7" x14ac:dyDescent="0.2">
      <c r="C190" s="1">
        <v>2</v>
      </c>
      <c r="D190" s="1">
        <v>12003.988885277331</v>
      </c>
      <c r="E190" s="1">
        <v>17623.081993881544</v>
      </c>
      <c r="F190" s="1">
        <f t="shared" ref="F190:F204" si="85">E190*1.11</f>
        <v>19561.621013208514</v>
      </c>
      <c r="G190" s="1">
        <f t="shared" ref="G190:G203" si="86">(F190-D190)*0.9*0.17</f>
        <v>1156.3177155734711</v>
      </c>
    </row>
    <row r="191" spans="3:7" x14ac:dyDescent="0.2">
      <c r="C191" s="1">
        <v>3</v>
      </c>
      <c r="D191" s="1">
        <v>12709.530239296724</v>
      </c>
      <c r="E191" s="1">
        <v>17623.081993881544</v>
      </c>
      <c r="F191" s="1">
        <f t="shared" si="85"/>
        <v>19561.621013208514</v>
      </c>
      <c r="G191" s="1">
        <f t="shared" si="86"/>
        <v>1048.369888408504</v>
      </c>
    </row>
    <row r="192" spans="3:7" x14ac:dyDescent="0.2">
      <c r="C192" s="1">
        <v>4</v>
      </c>
      <c r="D192" s="1">
        <v>13358.782289101891</v>
      </c>
      <c r="E192" s="1">
        <v>17623.081993881544</v>
      </c>
      <c r="F192" s="1">
        <f t="shared" si="85"/>
        <v>19561.621013208514</v>
      </c>
      <c r="G192" s="1">
        <f t="shared" si="86"/>
        <v>949.03432478831337</v>
      </c>
    </row>
    <row r="193" spans="3:7" x14ac:dyDescent="0.2">
      <c r="C193" s="1">
        <v>5</v>
      </c>
      <c r="D193" s="1">
        <v>13713.700724267455</v>
      </c>
      <c r="E193" s="1">
        <v>17623.081993881544</v>
      </c>
      <c r="F193" s="1">
        <f t="shared" si="85"/>
        <v>19561.621013208514</v>
      </c>
      <c r="G193" s="1">
        <f t="shared" si="86"/>
        <v>894.73180420798212</v>
      </c>
    </row>
    <row r="194" spans="3:7" x14ac:dyDescent="0.2">
      <c r="C194" s="1">
        <v>6</v>
      </c>
      <c r="D194" s="1">
        <v>13731.490087444678</v>
      </c>
      <c r="E194" s="1">
        <v>17623.081993881544</v>
      </c>
      <c r="F194" s="1">
        <f t="shared" si="85"/>
        <v>19561.621013208514</v>
      </c>
      <c r="G194" s="1">
        <f t="shared" si="86"/>
        <v>892.01003164186716</v>
      </c>
    </row>
    <row r="195" spans="3:7" x14ac:dyDescent="0.2">
      <c r="C195" s="1">
        <v>7</v>
      </c>
      <c r="D195" s="1">
        <v>14616.288699794051</v>
      </c>
      <c r="E195" s="1">
        <v>17623.081993881544</v>
      </c>
      <c r="F195" s="1">
        <f t="shared" si="85"/>
        <v>19561.621013208514</v>
      </c>
      <c r="G195" s="1">
        <f t="shared" si="86"/>
        <v>756.63584395241287</v>
      </c>
    </row>
    <row r="196" spans="3:7" x14ac:dyDescent="0.2">
      <c r="C196" s="1">
        <v>8</v>
      </c>
      <c r="D196" s="1">
        <v>14888.134655832506</v>
      </c>
      <c r="E196" s="1">
        <v>17623.081993881544</v>
      </c>
      <c r="F196" s="1">
        <f t="shared" si="85"/>
        <v>19561.621013208514</v>
      </c>
      <c r="G196" s="1">
        <f t="shared" si="86"/>
        <v>715.04341267852942</v>
      </c>
    </row>
    <row r="197" spans="3:7" x14ac:dyDescent="0.2">
      <c r="C197" s="1">
        <v>9</v>
      </c>
      <c r="D197" s="1">
        <v>14919.35176451193</v>
      </c>
      <c r="E197" s="1">
        <v>17623.081993881544</v>
      </c>
      <c r="F197" s="1">
        <f t="shared" si="85"/>
        <v>19561.621013208514</v>
      </c>
      <c r="G197" s="1">
        <f t="shared" si="86"/>
        <v>710.26719505057747</v>
      </c>
    </row>
    <row r="198" spans="3:7" x14ac:dyDescent="0.2">
      <c r="C198" s="1">
        <v>10</v>
      </c>
      <c r="D198" s="1">
        <v>15218.860826139113</v>
      </c>
      <c r="E198" s="1">
        <v>17623.081993881544</v>
      </c>
      <c r="F198" s="1">
        <f t="shared" si="85"/>
        <v>19561.621013208514</v>
      </c>
      <c r="G198" s="1">
        <f t="shared" si="86"/>
        <v>664.44230862161851</v>
      </c>
    </row>
    <row r="199" spans="3:7" x14ac:dyDescent="0.2">
      <c r="C199" s="1">
        <v>11</v>
      </c>
      <c r="D199" s="1">
        <v>15245.44880245821</v>
      </c>
      <c r="E199" s="1">
        <v>17623.081993881544</v>
      </c>
      <c r="F199" s="1">
        <f t="shared" si="85"/>
        <v>19561.621013208514</v>
      </c>
      <c r="G199" s="1">
        <f t="shared" si="86"/>
        <v>660.37434824479669</v>
      </c>
    </row>
    <row r="200" spans="3:7" x14ac:dyDescent="0.2">
      <c r="C200" s="1">
        <v>12</v>
      </c>
      <c r="D200" s="1">
        <v>15414.225732572095</v>
      </c>
      <c r="E200" s="1">
        <v>17623.081993881544</v>
      </c>
      <c r="F200" s="1">
        <f t="shared" si="85"/>
        <v>19561.621013208514</v>
      </c>
      <c r="G200" s="1">
        <f t="shared" si="86"/>
        <v>634.55147793737228</v>
      </c>
    </row>
    <row r="201" spans="3:7" x14ac:dyDescent="0.2">
      <c r="C201" s="1">
        <v>13</v>
      </c>
      <c r="D201" s="1">
        <v>15459.630370395465</v>
      </c>
      <c r="E201" s="1">
        <v>17623.081993881544</v>
      </c>
      <c r="F201" s="1">
        <f t="shared" si="85"/>
        <v>19561.621013208514</v>
      </c>
      <c r="G201" s="1">
        <f t="shared" si="86"/>
        <v>627.60456835039656</v>
      </c>
    </row>
    <row r="202" spans="3:7" x14ac:dyDescent="0.2">
      <c r="C202" s="1">
        <v>14</v>
      </c>
      <c r="D202" s="1">
        <v>15784.794601028836</v>
      </c>
      <c r="E202" s="1">
        <v>17623.081993881544</v>
      </c>
      <c r="F202" s="1">
        <f t="shared" si="85"/>
        <v>19561.621013208514</v>
      </c>
      <c r="G202" s="1">
        <f t="shared" si="86"/>
        <v>577.85444106349087</v>
      </c>
    </row>
    <row r="203" spans="3:7" x14ac:dyDescent="0.2">
      <c r="C203" s="1">
        <v>15</v>
      </c>
      <c r="D203" s="1">
        <v>16186.792859181089</v>
      </c>
      <c r="E203" s="1">
        <v>17623.081993881544</v>
      </c>
      <c r="F203" s="1">
        <f t="shared" si="85"/>
        <v>19561.621013208514</v>
      </c>
      <c r="G203" s="1">
        <f t="shared" si="86"/>
        <v>516.34870756619625</v>
      </c>
    </row>
    <row r="204" spans="3:7" x14ac:dyDescent="0.2">
      <c r="C204" s="1">
        <v>16</v>
      </c>
      <c r="D204" s="1">
        <v>21895.99222725839</v>
      </c>
      <c r="E204" s="1">
        <v>17623.081993881544</v>
      </c>
      <c r="F204" s="1">
        <f t="shared" si="85"/>
        <v>19561.621013208514</v>
      </c>
      <c r="G204" s="1">
        <v>0</v>
      </c>
    </row>
  </sheetData>
  <sortState ref="D189:D204">
    <sortCondition ref="D189"/>
  </sortState>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127"/>
  <sheetViews>
    <sheetView topLeftCell="B74" zoomScale="85" zoomScaleNormal="85" workbookViewId="0">
      <selection activeCell="Q119" sqref="Q119"/>
    </sheetView>
  </sheetViews>
  <sheetFormatPr defaultColWidth="8.88671875" defaultRowHeight="15" x14ac:dyDescent="0.2"/>
  <cols>
    <col min="1" max="1" width="7.44140625" style="1" customWidth="1"/>
    <col min="2" max="2" width="17.21875" style="1" customWidth="1"/>
    <col min="3" max="3" width="13.21875" style="1" customWidth="1"/>
    <col min="4" max="4" width="12" style="1" customWidth="1"/>
    <col min="5" max="5" width="14.21875" style="1" customWidth="1"/>
    <col min="6" max="6" width="13.77734375" style="1" customWidth="1"/>
    <col min="7" max="7" width="10" style="1" customWidth="1"/>
    <col min="8" max="18" width="8.88671875" style="1"/>
    <col min="19" max="19" width="11.5546875" style="1" customWidth="1"/>
    <col min="20" max="16384" width="8.88671875" style="1"/>
  </cols>
  <sheetData>
    <row r="3" spans="2:20" ht="15.75" x14ac:dyDescent="0.25">
      <c r="B3" s="588" t="s">
        <v>292</v>
      </c>
      <c r="C3" s="589"/>
      <c r="D3" s="590"/>
    </row>
    <row r="4" spans="2:20" ht="15.75" x14ac:dyDescent="0.25">
      <c r="B4" s="280"/>
      <c r="C4" s="6"/>
      <c r="D4" s="585"/>
    </row>
    <row r="5" spans="2:20" ht="15.75" x14ac:dyDescent="0.25">
      <c r="B5" s="280">
        <v>204</v>
      </c>
      <c r="C5" s="6" t="s">
        <v>289</v>
      </c>
      <c r="D5" s="585"/>
    </row>
    <row r="6" spans="2:20" ht="15.75" x14ac:dyDescent="0.25">
      <c r="B6" s="280">
        <v>205</v>
      </c>
      <c r="C6" s="6" t="s">
        <v>290</v>
      </c>
      <c r="D6" s="585"/>
    </row>
    <row r="7" spans="2:20" ht="15.75" x14ac:dyDescent="0.25">
      <c r="B7" s="280">
        <v>207</v>
      </c>
      <c r="C7" s="6" t="s">
        <v>291</v>
      </c>
      <c r="D7" s="585"/>
    </row>
    <row r="8" spans="2:20" ht="15.75" x14ac:dyDescent="0.25">
      <c r="B8" s="280"/>
      <c r="C8" s="6"/>
      <c r="D8" s="585"/>
    </row>
    <row r="9" spans="2:20" ht="15.75" x14ac:dyDescent="0.25">
      <c r="B9" s="280">
        <v>220</v>
      </c>
      <c r="C9" s="6" t="s">
        <v>307</v>
      </c>
      <c r="D9" s="585"/>
    </row>
    <row r="10" spans="2:20" ht="15.75" x14ac:dyDescent="0.25">
      <c r="B10" s="280">
        <v>225</v>
      </c>
      <c r="C10" s="6" t="s">
        <v>308</v>
      </c>
      <c r="D10" s="585"/>
    </row>
    <row r="11" spans="2:20" ht="15.75" x14ac:dyDescent="0.25">
      <c r="B11" s="280">
        <v>235</v>
      </c>
      <c r="C11" s="6" t="s">
        <v>309</v>
      </c>
      <c r="D11" s="585"/>
    </row>
    <row r="12" spans="2:20" ht="15.75" x14ac:dyDescent="0.25">
      <c r="B12" s="280">
        <v>240</v>
      </c>
      <c r="C12" s="6" t="s">
        <v>310</v>
      </c>
      <c r="D12" s="585"/>
    </row>
    <row r="13" spans="2:20" ht="15.75" x14ac:dyDescent="0.25">
      <c r="B13" s="586"/>
      <c r="C13" s="290"/>
      <c r="D13" s="587"/>
    </row>
    <row r="15" spans="2:20" ht="15.75" x14ac:dyDescent="0.25">
      <c r="B15" s="1" t="s">
        <v>303</v>
      </c>
      <c r="C15" s="1" t="s">
        <v>8</v>
      </c>
      <c r="D15" s="1" t="s">
        <v>9</v>
      </c>
      <c r="E15" s="1" t="s">
        <v>10</v>
      </c>
      <c r="F15" s="1" t="s">
        <v>11</v>
      </c>
      <c r="G15" s="1" t="s">
        <v>12</v>
      </c>
      <c r="H15" s="1" t="s">
        <v>13</v>
      </c>
      <c r="I15" s="1" t="s">
        <v>14</v>
      </c>
      <c r="J15" s="1" t="s">
        <v>15</v>
      </c>
      <c r="K15" s="1" t="s">
        <v>16</v>
      </c>
      <c r="L15" s="1" t="s">
        <v>17</v>
      </c>
      <c r="M15" s="1" t="s">
        <v>18</v>
      </c>
      <c r="N15" s="1" t="s">
        <v>19</v>
      </c>
      <c r="O15" s="1" t="s">
        <v>20</v>
      </c>
      <c r="P15" s="1" t="s">
        <v>21</v>
      </c>
      <c r="Q15" s="1" t="s">
        <v>22</v>
      </c>
      <c r="R15" s="1" t="s">
        <v>23</v>
      </c>
      <c r="S15" s="5" t="s">
        <v>304</v>
      </c>
      <c r="T15" s="1" t="s">
        <v>294</v>
      </c>
    </row>
    <row r="16" spans="2:20" ht="15.75" x14ac:dyDescent="0.25">
      <c r="B16" s="1">
        <v>2013</v>
      </c>
      <c r="C16" s="1">
        <v>140</v>
      </c>
      <c r="D16" s="1">
        <v>210</v>
      </c>
      <c r="E16" s="1">
        <v>471</v>
      </c>
      <c r="F16" s="1">
        <v>158</v>
      </c>
      <c r="G16" s="1">
        <v>112</v>
      </c>
      <c r="H16" s="1">
        <v>311</v>
      </c>
      <c r="I16" s="1">
        <v>608</v>
      </c>
      <c r="J16" s="1">
        <v>97</v>
      </c>
      <c r="K16" s="1">
        <v>85</v>
      </c>
      <c r="L16" s="1">
        <v>305</v>
      </c>
      <c r="M16" s="1">
        <v>102</v>
      </c>
      <c r="N16" s="1">
        <v>383</v>
      </c>
      <c r="O16" s="1">
        <v>35</v>
      </c>
      <c r="P16" s="1">
        <v>228</v>
      </c>
      <c r="Q16" s="1">
        <v>125</v>
      </c>
      <c r="R16" s="1">
        <v>2335</v>
      </c>
      <c r="S16" s="5">
        <f>SUM(C16:R16)</f>
        <v>5705</v>
      </c>
      <c r="T16" s="1">
        <v>5705</v>
      </c>
    </row>
    <row r="17" spans="2:20" ht="15.75" x14ac:dyDescent="0.25">
      <c r="B17" s="1">
        <v>2012</v>
      </c>
      <c r="C17" s="1">
        <v>136</v>
      </c>
      <c r="D17" s="1">
        <v>209</v>
      </c>
      <c r="E17" s="1">
        <v>468</v>
      </c>
      <c r="F17" s="1">
        <v>152</v>
      </c>
      <c r="G17" s="1">
        <v>111</v>
      </c>
      <c r="H17" s="1">
        <v>297</v>
      </c>
      <c r="I17" s="1">
        <v>573</v>
      </c>
      <c r="J17" s="1">
        <v>96</v>
      </c>
      <c r="K17" s="1">
        <v>76</v>
      </c>
      <c r="L17" s="1">
        <v>292</v>
      </c>
      <c r="M17" s="1">
        <v>98</v>
      </c>
      <c r="N17" s="1">
        <v>378</v>
      </c>
      <c r="O17" s="1">
        <v>33</v>
      </c>
      <c r="P17" s="1">
        <v>224</v>
      </c>
      <c r="Q17" s="1">
        <v>121</v>
      </c>
      <c r="R17" s="1">
        <v>2263</v>
      </c>
      <c r="S17" s="5">
        <f>SUM(C17:R17)</f>
        <v>5527</v>
      </c>
      <c r="T17" s="1">
        <v>5527</v>
      </c>
    </row>
    <row r="18" spans="2:20" ht="15.75" x14ac:dyDescent="0.25">
      <c r="B18" s="1">
        <v>2011</v>
      </c>
      <c r="C18" s="1">
        <v>125</v>
      </c>
      <c r="D18" s="1">
        <v>205</v>
      </c>
      <c r="E18" s="1">
        <v>452</v>
      </c>
      <c r="F18" s="1">
        <v>154</v>
      </c>
      <c r="G18" s="1">
        <v>113</v>
      </c>
      <c r="H18" s="1">
        <v>286</v>
      </c>
      <c r="I18" s="1">
        <v>551</v>
      </c>
      <c r="J18" s="1">
        <v>101</v>
      </c>
      <c r="K18" s="1">
        <v>72</v>
      </c>
      <c r="L18" s="1">
        <v>282</v>
      </c>
      <c r="M18" s="1">
        <v>93</v>
      </c>
      <c r="N18" s="1">
        <v>378</v>
      </c>
      <c r="O18" s="1">
        <v>37</v>
      </c>
      <c r="P18" s="1">
        <v>220</v>
      </c>
      <c r="Q18" s="1">
        <v>126</v>
      </c>
      <c r="R18" s="1">
        <v>2163</v>
      </c>
      <c r="S18" s="5">
        <f>SUM(C18:R18)</f>
        <v>5358</v>
      </c>
      <c r="T18" s="1">
        <v>5358</v>
      </c>
    </row>
    <row r="19" spans="2:20" ht="15.75" x14ac:dyDescent="0.25">
      <c r="B19" s="1">
        <v>2010</v>
      </c>
      <c r="C19" s="1">
        <v>126</v>
      </c>
      <c r="D19" s="1">
        <v>195</v>
      </c>
      <c r="E19" s="1">
        <v>455</v>
      </c>
      <c r="F19" s="1">
        <v>155</v>
      </c>
      <c r="G19" s="1">
        <v>114</v>
      </c>
      <c r="H19" s="1">
        <v>273</v>
      </c>
      <c r="I19" s="1">
        <v>523</v>
      </c>
      <c r="J19" s="1">
        <v>102</v>
      </c>
      <c r="K19" s="1">
        <v>65</v>
      </c>
      <c r="L19" s="1">
        <v>268</v>
      </c>
      <c r="M19" s="1">
        <v>86</v>
      </c>
      <c r="N19" s="1">
        <v>363</v>
      </c>
      <c r="O19" s="1">
        <v>35</v>
      </c>
      <c r="P19" s="1">
        <v>201</v>
      </c>
      <c r="Q19" s="1">
        <v>122</v>
      </c>
      <c r="R19" s="1">
        <v>2062</v>
      </c>
      <c r="S19" s="5">
        <f>SUM(C19:R19)</f>
        <v>5145</v>
      </c>
      <c r="T19" s="1">
        <v>5145</v>
      </c>
    </row>
    <row r="22" spans="2:20" x14ac:dyDescent="0.2">
      <c r="B22" s="1" t="s">
        <v>297</v>
      </c>
    </row>
    <row r="23" spans="2:20" ht="15.75" x14ac:dyDescent="0.25">
      <c r="C23" s="1" t="s">
        <v>8</v>
      </c>
      <c r="D23" s="1" t="s">
        <v>9</v>
      </c>
      <c r="E23" s="1" t="s">
        <v>10</v>
      </c>
      <c r="F23" s="1" t="s">
        <v>11</v>
      </c>
      <c r="G23" s="1" t="s">
        <v>12</v>
      </c>
      <c r="H23" s="1" t="s">
        <v>13</v>
      </c>
      <c r="I23" s="1" t="s">
        <v>14</v>
      </c>
      <c r="J23" s="1" t="s">
        <v>15</v>
      </c>
      <c r="K23" s="1" t="s">
        <v>16</v>
      </c>
      <c r="L23" s="1" t="s">
        <v>17</v>
      </c>
      <c r="M23" s="1" t="s">
        <v>18</v>
      </c>
      <c r="N23" s="1" t="s">
        <v>19</v>
      </c>
      <c r="O23" s="1" t="s">
        <v>20</v>
      </c>
      <c r="P23" s="1" t="s">
        <v>21</v>
      </c>
      <c r="Q23" s="1" t="s">
        <v>22</v>
      </c>
      <c r="R23" s="1" t="s">
        <v>23</v>
      </c>
      <c r="S23" s="5" t="s">
        <v>302</v>
      </c>
      <c r="T23" s="1" t="s">
        <v>294</v>
      </c>
    </row>
    <row r="24" spans="2:20" ht="15.75" x14ac:dyDescent="0.25">
      <c r="B24" s="1">
        <v>2013</v>
      </c>
      <c r="C24" s="1">
        <v>15</v>
      </c>
      <c r="D24" s="1">
        <v>64</v>
      </c>
      <c r="E24" s="1">
        <v>214</v>
      </c>
      <c r="F24" s="1">
        <v>25</v>
      </c>
      <c r="G24" s="1">
        <v>33</v>
      </c>
      <c r="H24" s="1">
        <v>127</v>
      </c>
      <c r="I24" s="1">
        <v>471</v>
      </c>
      <c r="J24" s="1">
        <v>12</v>
      </c>
      <c r="K24" s="1">
        <v>8</v>
      </c>
      <c r="L24" s="1">
        <v>173</v>
      </c>
      <c r="M24" s="1">
        <v>36</v>
      </c>
      <c r="N24" s="1">
        <v>144</v>
      </c>
      <c r="O24" s="1">
        <v>0</v>
      </c>
      <c r="P24" s="1">
        <v>71</v>
      </c>
      <c r="Q24" s="1">
        <v>26</v>
      </c>
      <c r="R24" s="1">
        <v>717</v>
      </c>
      <c r="S24" s="5">
        <f>SUM(C24:R24)</f>
        <v>2136</v>
      </c>
      <c r="T24" s="1">
        <v>2136</v>
      </c>
    </row>
    <row r="25" spans="2:20" ht="15.75" x14ac:dyDescent="0.25">
      <c r="B25" s="1">
        <v>2012</v>
      </c>
      <c r="C25" s="1">
        <v>17</v>
      </c>
      <c r="D25" s="1">
        <v>69</v>
      </c>
      <c r="E25" s="1">
        <v>223</v>
      </c>
      <c r="F25" s="1">
        <v>24</v>
      </c>
      <c r="G25" s="1">
        <v>42</v>
      </c>
      <c r="H25" s="1">
        <v>128</v>
      </c>
      <c r="I25" s="1">
        <v>480</v>
      </c>
      <c r="J25" s="1">
        <v>13</v>
      </c>
      <c r="K25" s="1">
        <v>8</v>
      </c>
      <c r="L25" s="1">
        <v>159</v>
      </c>
      <c r="M25" s="1">
        <v>25</v>
      </c>
      <c r="N25" s="1">
        <v>147</v>
      </c>
      <c r="O25" s="1">
        <v>1</v>
      </c>
      <c r="P25" s="1">
        <v>75</v>
      </c>
      <c r="Q25" s="1">
        <v>29</v>
      </c>
      <c r="R25" s="1">
        <v>726</v>
      </c>
      <c r="S25" s="5">
        <f>SUM(C25:R25)</f>
        <v>2166</v>
      </c>
      <c r="T25" s="1">
        <v>2166</v>
      </c>
    </row>
    <row r="26" spans="2:20" ht="15.75" x14ac:dyDescent="0.25">
      <c r="B26" s="1">
        <v>2011</v>
      </c>
      <c r="C26" s="1">
        <v>18</v>
      </c>
      <c r="D26" s="1">
        <v>69</v>
      </c>
      <c r="E26" s="1">
        <v>226</v>
      </c>
      <c r="F26" s="1">
        <v>24</v>
      </c>
      <c r="G26" s="1">
        <v>38</v>
      </c>
      <c r="H26" s="1">
        <v>136</v>
      </c>
      <c r="I26" s="1">
        <v>448</v>
      </c>
      <c r="J26" s="1">
        <v>17</v>
      </c>
      <c r="K26" s="1">
        <v>11</v>
      </c>
      <c r="L26" s="1">
        <v>155</v>
      </c>
      <c r="M26" s="1">
        <v>26</v>
      </c>
      <c r="N26" s="1">
        <v>135</v>
      </c>
      <c r="O26" s="1">
        <v>1</v>
      </c>
      <c r="P26" s="1">
        <v>83</v>
      </c>
      <c r="Q26" s="1">
        <v>29</v>
      </c>
      <c r="R26" s="1">
        <v>714</v>
      </c>
      <c r="S26" s="5">
        <f>SUM(C26:R26)</f>
        <v>2130</v>
      </c>
      <c r="T26" s="1">
        <v>2130</v>
      </c>
    </row>
    <row r="27" spans="2:20" ht="15.75" x14ac:dyDescent="0.25">
      <c r="B27" s="1">
        <v>2010</v>
      </c>
      <c r="C27" s="1">
        <v>22</v>
      </c>
      <c r="D27" s="1">
        <v>63</v>
      </c>
      <c r="E27" s="1">
        <v>220</v>
      </c>
      <c r="F27" s="1">
        <v>30</v>
      </c>
      <c r="G27" s="1">
        <v>34</v>
      </c>
      <c r="H27" s="1">
        <v>122</v>
      </c>
      <c r="I27" s="1">
        <v>450</v>
      </c>
      <c r="J27" s="1">
        <v>17</v>
      </c>
      <c r="K27" s="1">
        <v>11</v>
      </c>
      <c r="L27" s="1">
        <v>149</v>
      </c>
      <c r="M27" s="1">
        <v>30</v>
      </c>
      <c r="N27" s="1">
        <v>136</v>
      </c>
      <c r="O27" s="1">
        <v>2</v>
      </c>
      <c r="P27" s="1">
        <v>73</v>
      </c>
      <c r="Q27" s="1">
        <v>27</v>
      </c>
      <c r="R27" s="1">
        <v>711</v>
      </c>
      <c r="S27" s="5">
        <f>SUM(C27:R27)</f>
        <v>2097</v>
      </c>
      <c r="T27" s="1">
        <v>2097</v>
      </c>
    </row>
    <row r="29" spans="2:20" x14ac:dyDescent="0.2">
      <c r="B29" s="24" t="s">
        <v>315</v>
      </c>
    </row>
    <row r="30" spans="2:20" x14ac:dyDescent="0.2">
      <c r="B30" s="1" t="s">
        <v>286</v>
      </c>
    </row>
    <row r="31" spans="2:20" ht="15.75" x14ac:dyDescent="0.25">
      <c r="B31" s="1" t="s">
        <v>305</v>
      </c>
      <c r="C31" s="1" t="s">
        <v>8</v>
      </c>
      <c r="D31" s="1" t="s">
        <v>9</v>
      </c>
      <c r="E31" s="1" t="s">
        <v>10</v>
      </c>
      <c r="F31" s="1" t="s">
        <v>11</v>
      </c>
      <c r="G31" s="1" t="s">
        <v>12</v>
      </c>
      <c r="H31" s="1" t="s">
        <v>13</v>
      </c>
      <c r="I31" s="1" t="s">
        <v>14</v>
      </c>
      <c r="J31" s="1" t="s">
        <v>15</v>
      </c>
      <c r="K31" s="1" t="s">
        <v>16</v>
      </c>
      <c r="L31" s="1" t="s">
        <v>17</v>
      </c>
      <c r="M31" s="1" t="s">
        <v>18</v>
      </c>
      <c r="N31" s="1" t="s">
        <v>19</v>
      </c>
      <c r="O31" s="1" t="s">
        <v>20</v>
      </c>
      <c r="P31" s="1" t="s">
        <v>21</v>
      </c>
      <c r="Q31" s="1" t="s">
        <v>22</v>
      </c>
      <c r="R31" s="1" t="s">
        <v>23</v>
      </c>
      <c r="S31" s="5" t="s">
        <v>306</v>
      </c>
      <c r="T31" s="1" t="s">
        <v>294</v>
      </c>
    </row>
    <row r="32" spans="2:20" ht="15.75" x14ac:dyDescent="0.25">
      <c r="B32" s="1">
        <v>2013</v>
      </c>
      <c r="C32" s="1">
        <v>530</v>
      </c>
      <c r="D32" s="1">
        <v>1229</v>
      </c>
      <c r="E32" s="1">
        <v>2549</v>
      </c>
      <c r="F32" s="1">
        <v>973</v>
      </c>
      <c r="G32" s="1">
        <v>647</v>
      </c>
      <c r="H32" s="1">
        <v>1718</v>
      </c>
      <c r="I32" s="1">
        <v>3307</v>
      </c>
      <c r="J32" s="1">
        <v>582</v>
      </c>
      <c r="K32" s="1">
        <v>692</v>
      </c>
      <c r="L32" s="1">
        <v>1095</v>
      </c>
      <c r="M32" s="1">
        <v>456</v>
      </c>
      <c r="N32" s="1">
        <v>1969</v>
      </c>
      <c r="O32" s="1">
        <v>279</v>
      </c>
      <c r="P32" s="1">
        <v>1742</v>
      </c>
      <c r="Q32" s="1">
        <v>1032</v>
      </c>
      <c r="R32" s="1">
        <v>12694</v>
      </c>
      <c r="S32" s="5">
        <f>SUM(C32:R32)</f>
        <v>31494</v>
      </c>
      <c r="T32" s="1">
        <v>31494</v>
      </c>
    </row>
    <row r="33" spans="2:20" ht="15.75" x14ac:dyDescent="0.25">
      <c r="B33" s="1">
        <v>2012</v>
      </c>
      <c r="C33" s="1">
        <v>617</v>
      </c>
      <c r="D33" s="1">
        <v>1185</v>
      </c>
      <c r="E33" s="1">
        <v>2638</v>
      </c>
      <c r="F33" s="1">
        <v>1033</v>
      </c>
      <c r="G33" s="1">
        <v>666</v>
      </c>
      <c r="H33" s="1">
        <v>1733</v>
      </c>
      <c r="I33" s="1">
        <v>3334</v>
      </c>
      <c r="J33" s="1">
        <v>693</v>
      </c>
      <c r="K33" s="1">
        <v>714</v>
      </c>
      <c r="L33" s="1">
        <v>1178</v>
      </c>
      <c r="M33" s="1">
        <v>391</v>
      </c>
      <c r="N33" s="1">
        <v>2015</v>
      </c>
      <c r="O33" s="1">
        <v>363</v>
      </c>
      <c r="P33" s="1">
        <v>1956</v>
      </c>
      <c r="Q33" s="1">
        <v>749</v>
      </c>
      <c r="R33" s="1">
        <v>12601</v>
      </c>
      <c r="S33" s="5">
        <f t="shared" ref="S33:S47" si="0">SUM(C33:R33)</f>
        <v>31866</v>
      </c>
      <c r="T33" s="1">
        <v>31866</v>
      </c>
    </row>
    <row r="34" spans="2:20" ht="15.75" x14ac:dyDescent="0.25">
      <c r="B34" s="1">
        <v>2011</v>
      </c>
      <c r="C34" s="1">
        <v>501</v>
      </c>
      <c r="D34" s="1">
        <v>1328</v>
      </c>
      <c r="E34" s="1">
        <v>2669</v>
      </c>
      <c r="F34" s="1">
        <v>966</v>
      </c>
      <c r="G34" s="1">
        <v>605</v>
      </c>
      <c r="H34" s="1">
        <v>1563</v>
      </c>
      <c r="I34" s="1">
        <v>3190</v>
      </c>
      <c r="J34" s="1">
        <v>629</v>
      </c>
      <c r="K34" s="1">
        <v>701</v>
      </c>
      <c r="L34" s="1">
        <v>1154</v>
      </c>
      <c r="M34" s="1">
        <v>273</v>
      </c>
      <c r="N34" s="1">
        <v>1826</v>
      </c>
      <c r="O34" s="1">
        <v>293</v>
      </c>
      <c r="P34" s="1">
        <v>1627</v>
      </c>
      <c r="Q34" s="1">
        <v>720</v>
      </c>
      <c r="R34" s="1">
        <v>12464</v>
      </c>
      <c r="S34" s="5">
        <f t="shared" si="0"/>
        <v>30509</v>
      </c>
      <c r="T34" s="1">
        <v>30509</v>
      </c>
    </row>
    <row r="35" spans="2:20" ht="15.75" x14ac:dyDescent="0.25">
      <c r="B35" s="1">
        <v>2010</v>
      </c>
      <c r="C35" s="1">
        <v>499</v>
      </c>
      <c r="D35" s="1">
        <v>1049</v>
      </c>
      <c r="E35" s="1">
        <v>2384</v>
      </c>
      <c r="F35" s="1">
        <v>985</v>
      </c>
      <c r="G35" s="1">
        <v>670</v>
      </c>
      <c r="H35" s="1">
        <v>1483</v>
      </c>
      <c r="I35" s="1">
        <v>3301</v>
      </c>
      <c r="J35" s="1">
        <v>527</v>
      </c>
      <c r="K35" s="1">
        <v>634</v>
      </c>
      <c r="L35" s="1">
        <v>843</v>
      </c>
      <c r="M35" s="1">
        <v>218</v>
      </c>
      <c r="N35" s="1">
        <v>1913</v>
      </c>
      <c r="O35" s="1">
        <v>249</v>
      </c>
      <c r="P35" s="1">
        <v>1382</v>
      </c>
      <c r="Q35" s="1">
        <v>625</v>
      </c>
      <c r="R35" s="1">
        <v>12405</v>
      </c>
      <c r="S35" s="5">
        <f t="shared" si="0"/>
        <v>29167</v>
      </c>
      <c r="T35" s="1">
        <v>29167</v>
      </c>
    </row>
    <row r="36" spans="2:20" ht="15.75" x14ac:dyDescent="0.25">
      <c r="S36" s="5"/>
    </row>
    <row r="37" spans="2:20" ht="15.75" x14ac:dyDescent="0.25">
      <c r="C37" s="1" t="s">
        <v>314</v>
      </c>
      <c r="S37" s="5"/>
    </row>
    <row r="38" spans="2:20" ht="15.75" x14ac:dyDescent="0.25">
      <c r="B38" s="1">
        <v>2013</v>
      </c>
      <c r="C38" s="1">
        <v>14</v>
      </c>
      <c r="D38" s="1">
        <v>219</v>
      </c>
      <c r="E38" s="1">
        <v>257</v>
      </c>
      <c r="F38" s="1">
        <v>11</v>
      </c>
      <c r="G38" s="1">
        <v>123</v>
      </c>
      <c r="H38" s="1">
        <v>295</v>
      </c>
      <c r="I38" s="1">
        <v>536</v>
      </c>
      <c r="J38" s="1">
        <v>7</v>
      </c>
      <c r="K38" s="1">
        <v>27</v>
      </c>
      <c r="L38" s="1">
        <v>472</v>
      </c>
      <c r="M38" s="1">
        <v>27</v>
      </c>
      <c r="N38" s="1">
        <v>108</v>
      </c>
      <c r="O38" s="1">
        <v>1</v>
      </c>
      <c r="P38" s="1">
        <v>528</v>
      </c>
      <c r="Q38" s="1">
        <v>70</v>
      </c>
      <c r="R38" s="1">
        <v>1787</v>
      </c>
      <c r="S38" s="5">
        <f t="shared" si="0"/>
        <v>4482</v>
      </c>
    </row>
    <row r="39" spans="2:20" ht="15.75" x14ac:dyDescent="0.25">
      <c r="B39" s="1">
        <v>2012</v>
      </c>
      <c r="C39" s="1">
        <v>11</v>
      </c>
      <c r="D39" s="1">
        <v>132</v>
      </c>
      <c r="E39" s="1">
        <v>348</v>
      </c>
      <c r="F39" s="1">
        <v>15</v>
      </c>
      <c r="G39" s="1">
        <v>134</v>
      </c>
      <c r="H39" s="1">
        <v>284</v>
      </c>
      <c r="I39" s="1">
        <v>488</v>
      </c>
      <c r="J39" s="1">
        <v>3</v>
      </c>
      <c r="K39" s="1">
        <v>29</v>
      </c>
      <c r="L39" s="1">
        <v>423</v>
      </c>
      <c r="M39" s="1">
        <v>22</v>
      </c>
      <c r="N39" s="1">
        <v>98</v>
      </c>
      <c r="O39" s="1">
        <v>1</v>
      </c>
      <c r="P39" s="1">
        <v>499</v>
      </c>
      <c r="Q39" s="1">
        <v>118</v>
      </c>
      <c r="R39" s="1">
        <v>1513</v>
      </c>
      <c r="S39" s="5">
        <f t="shared" si="0"/>
        <v>4118</v>
      </c>
    </row>
    <row r="40" spans="2:20" ht="15.75" x14ac:dyDescent="0.25">
      <c r="B40" s="1">
        <v>2011</v>
      </c>
      <c r="C40" s="1">
        <v>1</v>
      </c>
      <c r="D40" s="1">
        <v>148</v>
      </c>
      <c r="E40" s="1">
        <v>318</v>
      </c>
      <c r="F40" s="1">
        <v>20</v>
      </c>
      <c r="G40" s="1">
        <v>197</v>
      </c>
      <c r="H40" s="1">
        <v>260</v>
      </c>
      <c r="I40" s="1">
        <v>355</v>
      </c>
      <c r="J40" s="1">
        <v>1</v>
      </c>
      <c r="K40" s="1">
        <v>13</v>
      </c>
      <c r="L40" s="1">
        <v>104</v>
      </c>
      <c r="M40" s="1">
        <v>8</v>
      </c>
      <c r="N40" s="1">
        <v>143</v>
      </c>
      <c r="O40" s="1">
        <v>14</v>
      </c>
      <c r="P40" s="1">
        <v>517</v>
      </c>
      <c r="Q40" s="1">
        <v>32</v>
      </c>
      <c r="R40" s="1">
        <v>1474</v>
      </c>
      <c r="S40" s="5">
        <f t="shared" si="0"/>
        <v>3605</v>
      </c>
    </row>
    <row r="41" spans="2:20" ht="15.75" x14ac:dyDescent="0.25">
      <c r="B41" s="1">
        <v>2010</v>
      </c>
      <c r="C41" s="1">
        <v>2</v>
      </c>
      <c r="D41" s="1">
        <v>127</v>
      </c>
      <c r="E41" s="1">
        <v>245</v>
      </c>
      <c r="F41" s="1">
        <v>11</v>
      </c>
      <c r="G41" s="1">
        <v>101</v>
      </c>
      <c r="H41" s="1">
        <v>337</v>
      </c>
      <c r="I41" s="1">
        <v>344</v>
      </c>
      <c r="J41" s="1">
        <v>0</v>
      </c>
      <c r="K41" s="1">
        <v>1</v>
      </c>
      <c r="L41" s="1">
        <v>49</v>
      </c>
      <c r="M41" s="1">
        <v>13</v>
      </c>
      <c r="N41" s="1">
        <v>166</v>
      </c>
      <c r="O41" s="1">
        <v>3</v>
      </c>
      <c r="P41" s="1">
        <v>542</v>
      </c>
      <c r="Q41" s="1">
        <v>82</v>
      </c>
      <c r="R41" s="1">
        <v>1439</v>
      </c>
      <c r="S41" s="5">
        <f t="shared" si="0"/>
        <v>3462</v>
      </c>
    </row>
    <row r="42" spans="2:20" ht="15.75" x14ac:dyDescent="0.25">
      <c r="S42" s="5"/>
    </row>
    <row r="43" spans="2:20" ht="15.75" x14ac:dyDescent="0.25">
      <c r="C43" s="1" t="s">
        <v>311</v>
      </c>
      <c r="S43" s="5"/>
    </row>
    <row r="44" spans="2:20" ht="15.75" x14ac:dyDescent="0.25">
      <c r="B44" s="1">
        <v>2013</v>
      </c>
      <c r="C44" s="1">
        <f>C32-C38</f>
        <v>516</v>
      </c>
      <c r="D44" s="1">
        <f t="shared" ref="D44:R44" si="1">D32-D38</f>
        <v>1010</v>
      </c>
      <c r="E44" s="1">
        <f t="shared" si="1"/>
        <v>2292</v>
      </c>
      <c r="F44" s="1">
        <f t="shared" si="1"/>
        <v>962</v>
      </c>
      <c r="G44" s="1">
        <f t="shared" si="1"/>
        <v>524</v>
      </c>
      <c r="H44" s="1">
        <f t="shared" si="1"/>
        <v>1423</v>
      </c>
      <c r="I44" s="1">
        <f t="shared" si="1"/>
        <v>2771</v>
      </c>
      <c r="J44" s="1">
        <f t="shared" si="1"/>
        <v>575</v>
      </c>
      <c r="K44" s="1">
        <f t="shared" si="1"/>
        <v>665</v>
      </c>
      <c r="L44" s="1">
        <f t="shared" si="1"/>
        <v>623</v>
      </c>
      <c r="M44" s="1">
        <f t="shared" si="1"/>
        <v>429</v>
      </c>
      <c r="N44" s="1">
        <f t="shared" si="1"/>
        <v>1861</v>
      </c>
      <c r="O44" s="1">
        <f t="shared" si="1"/>
        <v>278</v>
      </c>
      <c r="P44" s="1">
        <f t="shared" si="1"/>
        <v>1214</v>
      </c>
      <c r="Q44" s="1">
        <f t="shared" si="1"/>
        <v>962</v>
      </c>
      <c r="R44" s="1">
        <f t="shared" si="1"/>
        <v>10907</v>
      </c>
      <c r="S44" s="5">
        <f t="shared" si="0"/>
        <v>27012</v>
      </c>
    </row>
    <row r="45" spans="2:20" ht="15.75" x14ac:dyDescent="0.25">
      <c r="B45" s="1">
        <v>2012</v>
      </c>
      <c r="C45" s="1">
        <f t="shared" ref="C45:R47" si="2">C33-C39</f>
        <v>606</v>
      </c>
      <c r="D45" s="1">
        <f t="shared" si="2"/>
        <v>1053</v>
      </c>
      <c r="E45" s="1">
        <f t="shared" si="2"/>
        <v>2290</v>
      </c>
      <c r="F45" s="1">
        <f t="shared" si="2"/>
        <v>1018</v>
      </c>
      <c r="G45" s="1">
        <f t="shared" si="2"/>
        <v>532</v>
      </c>
      <c r="H45" s="1">
        <f t="shared" si="2"/>
        <v>1449</v>
      </c>
      <c r="I45" s="1">
        <f t="shared" si="2"/>
        <v>2846</v>
      </c>
      <c r="J45" s="1">
        <f t="shared" si="2"/>
        <v>690</v>
      </c>
      <c r="K45" s="1">
        <f t="shared" si="2"/>
        <v>685</v>
      </c>
      <c r="L45" s="1">
        <f t="shared" si="2"/>
        <v>755</v>
      </c>
      <c r="M45" s="1">
        <f t="shared" si="2"/>
        <v>369</v>
      </c>
      <c r="N45" s="1">
        <f t="shared" si="2"/>
        <v>1917</v>
      </c>
      <c r="O45" s="1">
        <f t="shared" si="2"/>
        <v>362</v>
      </c>
      <c r="P45" s="1">
        <f t="shared" si="2"/>
        <v>1457</v>
      </c>
      <c r="Q45" s="1">
        <f t="shared" si="2"/>
        <v>631</v>
      </c>
      <c r="R45" s="1">
        <f t="shared" si="2"/>
        <v>11088</v>
      </c>
      <c r="S45" s="5">
        <f t="shared" si="0"/>
        <v>27748</v>
      </c>
    </row>
    <row r="46" spans="2:20" ht="15.75" x14ac:dyDescent="0.25">
      <c r="B46" s="1">
        <v>2011</v>
      </c>
      <c r="C46" s="1">
        <f t="shared" si="2"/>
        <v>500</v>
      </c>
      <c r="D46" s="1">
        <f t="shared" si="2"/>
        <v>1180</v>
      </c>
      <c r="E46" s="1">
        <f t="shared" si="2"/>
        <v>2351</v>
      </c>
      <c r="F46" s="1">
        <f t="shared" si="2"/>
        <v>946</v>
      </c>
      <c r="G46" s="1">
        <f t="shared" si="2"/>
        <v>408</v>
      </c>
      <c r="H46" s="1">
        <f t="shared" si="2"/>
        <v>1303</v>
      </c>
      <c r="I46" s="1">
        <f t="shared" si="2"/>
        <v>2835</v>
      </c>
      <c r="J46" s="1">
        <f t="shared" si="2"/>
        <v>628</v>
      </c>
      <c r="K46" s="1">
        <f t="shared" si="2"/>
        <v>688</v>
      </c>
      <c r="L46" s="1">
        <f t="shared" si="2"/>
        <v>1050</v>
      </c>
      <c r="M46" s="1">
        <f t="shared" si="2"/>
        <v>265</v>
      </c>
      <c r="N46" s="1">
        <f t="shared" si="2"/>
        <v>1683</v>
      </c>
      <c r="O46" s="1">
        <f t="shared" si="2"/>
        <v>279</v>
      </c>
      <c r="P46" s="1">
        <f t="shared" si="2"/>
        <v>1110</v>
      </c>
      <c r="Q46" s="1">
        <f t="shared" si="2"/>
        <v>688</v>
      </c>
      <c r="R46" s="1">
        <f t="shared" si="2"/>
        <v>10990</v>
      </c>
      <c r="S46" s="5">
        <f t="shared" si="0"/>
        <v>26904</v>
      </c>
    </row>
    <row r="47" spans="2:20" ht="15.75" x14ac:dyDescent="0.25">
      <c r="B47" s="1">
        <v>2010</v>
      </c>
      <c r="C47" s="1">
        <f t="shared" si="2"/>
        <v>497</v>
      </c>
      <c r="D47" s="1">
        <f t="shared" si="2"/>
        <v>922</v>
      </c>
      <c r="E47" s="1">
        <f t="shared" si="2"/>
        <v>2139</v>
      </c>
      <c r="F47" s="1">
        <f t="shared" si="2"/>
        <v>974</v>
      </c>
      <c r="G47" s="1">
        <f t="shared" si="2"/>
        <v>569</v>
      </c>
      <c r="H47" s="1">
        <f t="shared" si="2"/>
        <v>1146</v>
      </c>
      <c r="I47" s="1">
        <f t="shared" si="2"/>
        <v>2957</v>
      </c>
      <c r="J47" s="1">
        <f t="shared" si="2"/>
        <v>527</v>
      </c>
      <c r="K47" s="1">
        <f t="shared" si="2"/>
        <v>633</v>
      </c>
      <c r="L47" s="1">
        <f t="shared" si="2"/>
        <v>794</v>
      </c>
      <c r="M47" s="1">
        <f t="shared" si="2"/>
        <v>205</v>
      </c>
      <c r="N47" s="1">
        <f t="shared" si="2"/>
        <v>1747</v>
      </c>
      <c r="O47" s="1">
        <f t="shared" si="2"/>
        <v>246</v>
      </c>
      <c r="P47" s="1">
        <f t="shared" si="2"/>
        <v>840</v>
      </c>
      <c r="Q47" s="1">
        <f t="shared" si="2"/>
        <v>543</v>
      </c>
      <c r="R47" s="1">
        <f t="shared" si="2"/>
        <v>10966</v>
      </c>
      <c r="S47" s="5">
        <f t="shared" si="0"/>
        <v>25705</v>
      </c>
    </row>
    <row r="51" spans="1:20" x14ac:dyDescent="0.2">
      <c r="B51" s="1" t="s">
        <v>287</v>
      </c>
    </row>
    <row r="52" spans="1:20" ht="15.75" x14ac:dyDescent="0.25">
      <c r="B52" s="1" t="s">
        <v>288</v>
      </c>
      <c r="C52" s="1" t="s">
        <v>8</v>
      </c>
      <c r="D52" s="1" t="s">
        <v>9</v>
      </c>
      <c r="E52" s="1" t="s">
        <v>10</v>
      </c>
      <c r="F52" s="1" t="s">
        <v>11</v>
      </c>
      <c r="G52" s="1" t="s">
        <v>12</v>
      </c>
      <c r="H52" s="1" t="s">
        <v>13</v>
      </c>
      <c r="I52" s="1" t="s">
        <v>14</v>
      </c>
      <c r="J52" s="1" t="s">
        <v>15</v>
      </c>
      <c r="K52" s="1" t="s">
        <v>16</v>
      </c>
      <c r="L52" s="1" t="s">
        <v>17</v>
      </c>
      <c r="M52" s="1" t="s">
        <v>18</v>
      </c>
      <c r="N52" s="1" t="s">
        <v>19</v>
      </c>
      <c r="O52" s="1" t="s">
        <v>20</v>
      </c>
      <c r="P52" s="1" t="s">
        <v>21</v>
      </c>
      <c r="Q52" s="1" t="s">
        <v>22</v>
      </c>
      <c r="R52" s="1" t="s">
        <v>23</v>
      </c>
      <c r="S52" s="5" t="s">
        <v>293</v>
      </c>
      <c r="T52" s="1" t="s">
        <v>294</v>
      </c>
    </row>
    <row r="53" spans="1:20" ht="15.75" x14ac:dyDescent="0.25">
      <c r="A53" s="1">
        <v>20264</v>
      </c>
      <c r="B53" s="1">
        <v>2013</v>
      </c>
      <c r="C53" s="1">
        <v>248</v>
      </c>
      <c r="D53" s="1">
        <v>554</v>
      </c>
      <c r="E53" s="1">
        <v>1984</v>
      </c>
      <c r="F53" s="1">
        <v>323</v>
      </c>
      <c r="G53" s="1">
        <v>285</v>
      </c>
      <c r="H53" s="1">
        <v>1136</v>
      </c>
      <c r="I53" s="1">
        <v>4291</v>
      </c>
      <c r="J53" s="1">
        <v>170</v>
      </c>
      <c r="K53" s="1">
        <v>128</v>
      </c>
      <c r="L53" s="1">
        <v>1827</v>
      </c>
      <c r="M53" s="1">
        <v>320</v>
      </c>
      <c r="N53" s="1">
        <v>1353</v>
      </c>
      <c r="O53" s="1">
        <v>17</v>
      </c>
      <c r="P53" s="1">
        <v>791</v>
      </c>
      <c r="Q53" s="1">
        <v>302</v>
      </c>
      <c r="R53" s="1">
        <v>6535</v>
      </c>
      <c r="S53" s="5">
        <f>SUM(C53:R53)</f>
        <v>20264</v>
      </c>
      <c r="T53" s="1">
        <v>20264</v>
      </c>
    </row>
    <row r="54" spans="1:20" ht="15.75" x14ac:dyDescent="0.25">
      <c r="A54" s="1">
        <v>19825</v>
      </c>
      <c r="B54" s="1">
        <v>2012</v>
      </c>
      <c r="C54" s="1">
        <v>278</v>
      </c>
      <c r="D54" s="1">
        <v>517</v>
      </c>
      <c r="E54" s="1">
        <v>1974</v>
      </c>
      <c r="F54" s="1">
        <v>310</v>
      </c>
      <c r="G54" s="1">
        <v>360</v>
      </c>
      <c r="H54" s="1">
        <v>931</v>
      </c>
      <c r="I54" s="1">
        <v>4108</v>
      </c>
      <c r="J54" s="1">
        <v>191</v>
      </c>
      <c r="K54" s="1">
        <v>129</v>
      </c>
      <c r="L54" s="1">
        <v>1531</v>
      </c>
      <c r="M54" s="1">
        <v>322</v>
      </c>
      <c r="N54" s="1">
        <v>1279</v>
      </c>
      <c r="O54" s="1">
        <v>15</v>
      </c>
      <c r="P54" s="1">
        <v>901</v>
      </c>
      <c r="Q54" s="1">
        <v>337</v>
      </c>
      <c r="R54" s="1">
        <v>6642</v>
      </c>
      <c r="S54" s="5">
        <f>SUM(C54:R54)</f>
        <v>19825</v>
      </c>
      <c r="T54" s="1">
        <v>19825</v>
      </c>
    </row>
    <row r="55" spans="1:20" ht="15.75" x14ac:dyDescent="0.25">
      <c r="A55" s="1">
        <v>18519</v>
      </c>
      <c r="B55" s="1">
        <v>2011</v>
      </c>
      <c r="C55" s="1">
        <v>237</v>
      </c>
      <c r="D55" s="1">
        <v>474</v>
      </c>
      <c r="E55" s="1">
        <v>1799</v>
      </c>
      <c r="F55" s="1">
        <v>251</v>
      </c>
      <c r="G55" s="1">
        <v>261</v>
      </c>
      <c r="H55" s="1">
        <v>901</v>
      </c>
      <c r="I55" s="1">
        <v>3712</v>
      </c>
      <c r="J55" s="1">
        <v>143</v>
      </c>
      <c r="K55" s="1">
        <v>120</v>
      </c>
      <c r="L55" s="1">
        <v>1808</v>
      </c>
      <c r="M55" s="1">
        <v>266</v>
      </c>
      <c r="N55" s="1">
        <v>1122</v>
      </c>
      <c r="O55" s="1">
        <v>0</v>
      </c>
      <c r="P55" s="1">
        <v>785</v>
      </c>
      <c r="Q55" s="1">
        <v>308</v>
      </c>
      <c r="R55" s="1">
        <v>6332</v>
      </c>
      <c r="S55" s="5">
        <f>SUM(C55:R55)</f>
        <v>18519</v>
      </c>
      <c r="T55" s="1">
        <v>18519</v>
      </c>
    </row>
    <row r="56" spans="1:20" ht="15.75" x14ac:dyDescent="0.25">
      <c r="A56" s="1">
        <v>17601</v>
      </c>
      <c r="B56" s="1">
        <v>2010</v>
      </c>
      <c r="C56" s="1">
        <v>242</v>
      </c>
      <c r="D56" s="1">
        <v>437</v>
      </c>
      <c r="E56" s="1">
        <v>1674</v>
      </c>
      <c r="F56" s="1">
        <v>272</v>
      </c>
      <c r="G56" s="1">
        <v>285</v>
      </c>
      <c r="H56" s="1">
        <v>901</v>
      </c>
      <c r="I56" s="1">
        <v>3455</v>
      </c>
      <c r="J56" s="1">
        <v>137</v>
      </c>
      <c r="K56" s="1">
        <v>128</v>
      </c>
      <c r="L56" s="1">
        <v>1411</v>
      </c>
      <c r="M56" s="1">
        <v>238</v>
      </c>
      <c r="N56" s="1">
        <v>954</v>
      </c>
      <c r="O56" s="1">
        <v>15</v>
      </c>
      <c r="P56" s="1">
        <v>721</v>
      </c>
      <c r="Q56" s="1">
        <v>305</v>
      </c>
      <c r="R56" s="1">
        <v>6426</v>
      </c>
      <c r="S56" s="5">
        <f>SUM(C56:R56)</f>
        <v>17601</v>
      </c>
      <c r="T56" s="1">
        <v>17601</v>
      </c>
    </row>
    <row r="60" spans="1:20" ht="20.25" thickBot="1" x14ac:dyDescent="0.35">
      <c r="J60" s="120" t="s">
        <v>312</v>
      </c>
    </row>
    <row r="61" spans="1:20" ht="15.75" thickTop="1" x14ac:dyDescent="0.2">
      <c r="C61" s="1" t="s">
        <v>296</v>
      </c>
      <c r="D61" s="1" t="s">
        <v>299</v>
      </c>
      <c r="E61" s="1" t="s">
        <v>283</v>
      </c>
      <c r="F61" s="1" t="s">
        <v>295</v>
      </c>
      <c r="G61" s="1" t="s">
        <v>284</v>
      </c>
      <c r="H61" s="1" t="s">
        <v>285</v>
      </c>
    </row>
    <row r="62" spans="1:20" x14ac:dyDescent="0.2">
      <c r="A62" s="1">
        <v>2013</v>
      </c>
      <c r="B62" s="1" t="s">
        <v>8</v>
      </c>
      <c r="C62" s="1">
        <v>15</v>
      </c>
      <c r="D62" s="1">
        <v>140</v>
      </c>
      <c r="E62" s="1">
        <v>516</v>
      </c>
      <c r="F62" s="1">
        <v>248</v>
      </c>
      <c r="G62" s="22">
        <f>E62*1000/D62</f>
        <v>3685.7142857142858</v>
      </c>
      <c r="H62" s="22">
        <f>1000*F62/C62</f>
        <v>16533.333333333332</v>
      </c>
    </row>
    <row r="63" spans="1:20" x14ac:dyDescent="0.2">
      <c r="B63" s="1" t="s">
        <v>9</v>
      </c>
      <c r="C63" s="1">
        <v>64</v>
      </c>
      <c r="D63" s="1">
        <v>210</v>
      </c>
      <c r="E63" s="1">
        <v>1010</v>
      </c>
      <c r="F63" s="1">
        <v>554</v>
      </c>
      <c r="G63" s="22">
        <f t="shared" ref="G63:G125" si="3">E63*1000/D63</f>
        <v>4809.5238095238092</v>
      </c>
      <c r="H63" s="22">
        <f t="shared" ref="H63:H125" si="4">1000*F63/C63</f>
        <v>8656.25</v>
      </c>
    </row>
    <row r="64" spans="1:20" x14ac:dyDescent="0.2">
      <c r="B64" s="1" t="s">
        <v>10</v>
      </c>
      <c r="C64" s="1">
        <v>214</v>
      </c>
      <c r="D64" s="1">
        <v>471</v>
      </c>
      <c r="E64" s="1">
        <v>2292</v>
      </c>
      <c r="F64" s="1">
        <v>1984</v>
      </c>
      <c r="G64" s="22">
        <f t="shared" si="3"/>
        <v>4866.2420382165601</v>
      </c>
      <c r="H64" s="22">
        <f t="shared" si="4"/>
        <v>9271.0280373831774</v>
      </c>
    </row>
    <row r="65" spans="1:9" x14ac:dyDescent="0.2">
      <c r="B65" s="1" t="s">
        <v>11</v>
      </c>
      <c r="C65" s="1">
        <v>25</v>
      </c>
      <c r="D65" s="1">
        <v>158</v>
      </c>
      <c r="E65" s="1">
        <v>962</v>
      </c>
      <c r="F65" s="1">
        <v>323</v>
      </c>
      <c r="G65" s="22">
        <f t="shared" si="3"/>
        <v>6088.6075949367087</v>
      </c>
      <c r="H65" s="22">
        <f t="shared" si="4"/>
        <v>12920</v>
      </c>
    </row>
    <row r="66" spans="1:9" x14ac:dyDescent="0.2">
      <c r="B66" s="1" t="s">
        <v>12</v>
      </c>
      <c r="C66" s="1">
        <v>33</v>
      </c>
      <c r="D66" s="1">
        <v>112</v>
      </c>
      <c r="E66" s="1">
        <v>524</v>
      </c>
      <c r="F66" s="1">
        <v>285</v>
      </c>
      <c r="G66" s="22">
        <f t="shared" si="3"/>
        <v>4678.5714285714284</v>
      </c>
      <c r="H66" s="22">
        <f t="shared" si="4"/>
        <v>8636.363636363636</v>
      </c>
    </row>
    <row r="67" spans="1:9" x14ac:dyDescent="0.2">
      <c r="B67" s="1" t="s">
        <v>13</v>
      </c>
      <c r="C67" s="1">
        <v>127</v>
      </c>
      <c r="D67" s="1">
        <v>311</v>
      </c>
      <c r="E67" s="1">
        <v>1423</v>
      </c>
      <c r="F67" s="1">
        <v>1136</v>
      </c>
      <c r="G67" s="22">
        <f t="shared" si="3"/>
        <v>4575.5627009646305</v>
      </c>
      <c r="H67" s="22">
        <f t="shared" si="4"/>
        <v>8944.8818897637793</v>
      </c>
    </row>
    <row r="68" spans="1:9" x14ac:dyDescent="0.2">
      <c r="B68" s="1" t="s">
        <v>14</v>
      </c>
      <c r="C68" s="1">
        <v>471</v>
      </c>
      <c r="D68" s="1">
        <v>608</v>
      </c>
      <c r="E68" s="1">
        <v>2771</v>
      </c>
      <c r="F68" s="1">
        <v>4291</v>
      </c>
      <c r="G68" s="22">
        <f t="shared" si="3"/>
        <v>4557.5657894736842</v>
      </c>
      <c r="H68" s="22">
        <f t="shared" si="4"/>
        <v>9110.4033970276014</v>
      </c>
    </row>
    <row r="69" spans="1:9" x14ac:dyDescent="0.2">
      <c r="B69" s="1" t="s">
        <v>15</v>
      </c>
      <c r="C69" s="1">
        <v>12</v>
      </c>
      <c r="D69" s="1">
        <v>97</v>
      </c>
      <c r="E69" s="1">
        <v>575</v>
      </c>
      <c r="F69" s="1">
        <v>170</v>
      </c>
      <c r="G69" s="22">
        <f t="shared" si="3"/>
        <v>5927.8350515463917</v>
      </c>
      <c r="H69" s="22">
        <f t="shared" si="4"/>
        <v>14166.666666666666</v>
      </c>
    </row>
    <row r="70" spans="1:9" x14ac:dyDescent="0.2">
      <c r="B70" s="1" t="s">
        <v>16</v>
      </c>
      <c r="C70" s="1">
        <v>8</v>
      </c>
      <c r="D70" s="1">
        <v>85</v>
      </c>
      <c r="E70" s="1">
        <v>665</v>
      </c>
      <c r="F70" s="1">
        <v>128</v>
      </c>
      <c r="G70" s="22">
        <f t="shared" si="3"/>
        <v>7823.5294117647063</v>
      </c>
      <c r="H70" s="22">
        <f t="shared" si="4"/>
        <v>16000</v>
      </c>
    </row>
    <row r="71" spans="1:9" x14ac:dyDescent="0.2">
      <c r="B71" s="1" t="s">
        <v>17</v>
      </c>
      <c r="C71" s="1">
        <v>173</v>
      </c>
      <c r="D71" s="1">
        <v>305</v>
      </c>
      <c r="E71" s="1">
        <v>623</v>
      </c>
      <c r="F71" s="1">
        <v>1827</v>
      </c>
      <c r="G71" s="22">
        <f t="shared" si="3"/>
        <v>2042.622950819672</v>
      </c>
      <c r="H71" s="22">
        <f t="shared" si="4"/>
        <v>10560.693641618496</v>
      </c>
    </row>
    <row r="72" spans="1:9" x14ac:dyDescent="0.2">
      <c r="B72" s="1" t="s">
        <v>18</v>
      </c>
      <c r="C72" s="1">
        <v>36</v>
      </c>
      <c r="D72" s="1">
        <v>102</v>
      </c>
      <c r="E72" s="1">
        <v>429</v>
      </c>
      <c r="F72" s="1">
        <v>320</v>
      </c>
      <c r="G72" s="22">
        <f t="shared" si="3"/>
        <v>4205.8823529411766</v>
      </c>
      <c r="H72" s="22">
        <f t="shared" si="4"/>
        <v>8888.8888888888887</v>
      </c>
    </row>
    <row r="73" spans="1:9" x14ac:dyDescent="0.2">
      <c r="B73" s="1" t="s">
        <v>19</v>
      </c>
      <c r="C73" s="1">
        <v>144</v>
      </c>
      <c r="D73" s="1">
        <v>383</v>
      </c>
      <c r="E73" s="1">
        <v>1861</v>
      </c>
      <c r="F73" s="1">
        <v>1353</v>
      </c>
      <c r="G73" s="22">
        <f t="shared" si="3"/>
        <v>4859.0078328981726</v>
      </c>
      <c r="H73" s="22">
        <f t="shared" si="4"/>
        <v>9395.8333333333339</v>
      </c>
    </row>
    <row r="74" spans="1:9" x14ac:dyDescent="0.2">
      <c r="B74" s="1" t="s">
        <v>20</v>
      </c>
      <c r="C74" s="94">
        <v>0</v>
      </c>
      <c r="D74" s="1">
        <v>35</v>
      </c>
      <c r="E74" s="1">
        <v>278</v>
      </c>
      <c r="F74" s="94">
        <v>17</v>
      </c>
      <c r="G74" s="582">
        <f t="shared" si="3"/>
        <v>7942.8571428571431</v>
      </c>
      <c r="H74" s="582"/>
      <c r="I74" s="1" t="s">
        <v>300</v>
      </c>
    </row>
    <row r="75" spans="1:9" x14ac:dyDescent="0.2">
      <c r="B75" s="1" t="s">
        <v>21</v>
      </c>
      <c r="C75" s="1">
        <v>71</v>
      </c>
      <c r="D75" s="1">
        <v>228</v>
      </c>
      <c r="E75" s="1">
        <v>1214</v>
      </c>
      <c r="F75" s="1">
        <v>791</v>
      </c>
      <c r="G75" s="22">
        <f t="shared" si="3"/>
        <v>5324.5614035087719</v>
      </c>
      <c r="H75" s="22">
        <f t="shared" si="4"/>
        <v>11140.845070422536</v>
      </c>
    </row>
    <row r="76" spans="1:9" x14ac:dyDescent="0.2">
      <c r="B76" s="1" t="s">
        <v>22</v>
      </c>
      <c r="C76" s="1">
        <v>26</v>
      </c>
      <c r="D76" s="1">
        <v>125</v>
      </c>
      <c r="E76" s="1">
        <v>962</v>
      </c>
      <c r="F76" s="1">
        <v>302</v>
      </c>
      <c r="G76" s="22">
        <f t="shared" si="3"/>
        <v>7696</v>
      </c>
      <c r="H76" s="22">
        <f t="shared" si="4"/>
        <v>11615.384615384615</v>
      </c>
    </row>
    <row r="77" spans="1:9" x14ac:dyDescent="0.2">
      <c r="B77" s="1" t="s">
        <v>23</v>
      </c>
      <c r="C77" s="1">
        <v>717</v>
      </c>
      <c r="D77" s="1">
        <v>2335</v>
      </c>
      <c r="E77" s="1">
        <v>10907</v>
      </c>
      <c r="F77" s="1">
        <v>6535</v>
      </c>
      <c r="G77" s="22">
        <f t="shared" si="3"/>
        <v>4671.0920770877947</v>
      </c>
      <c r="H77" s="22">
        <f t="shared" si="4"/>
        <v>9114.3654114365418</v>
      </c>
    </row>
    <row r="78" spans="1:9" x14ac:dyDescent="0.2">
      <c r="A78" s="1">
        <v>2012</v>
      </c>
      <c r="B78" s="1" t="s">
        <v>8</v>
      </c>
      <c r="C78" s="1">
        <v>17</v>
      </c>
      <c r="D78" s="1">
        <v>136</v>
      </c>
      <c r="E78" s="1">
        <v>606</v>
      </c>
      <c r="F78" s="1">
        <v>278</v>
      </c>
      <c r="G78" s="22">
        <f t="shared" si="3"/>
        <v>4455.8823529411766</v>
      </c>
      <c r="H78" s="22">
        <f t="shared" si="4"/>
        <v>16352.941176470587</v>
      </c>
    </row>
    <row r="79" spans="1:9" x14ac:dyDescent="0.2">
      <c r="B79" s="1" t="s">
        <v>9</v>
      </c>
      <c r="C79" s="1">
        <v>69</v>
      </c>
      <c r="D79" s="1">
        <v>209</v>
      </c>
      <c r="E79" s="1">
        <v>1053</v>
      </c>
      <c r="F79" s="1">
        <v>517</v>
      </c>
      <c r="G79" s="22">
        <f t="shared" si="3"/>
        <v>5038.2775119617227</v>
      </c>
      <c r="H79" s="22">
        <f t="shared" si="4"/>
        <v>7492.753623188406</v>
      </c>
    </row>
    <row r="80" spans="1:9" x14ac:dyDescent="0.2">
      <c r="B80" s="1" t="s">
        <v>10</v>
      </c>
      <c r="C80" s="1">
        <v>223</v>
      </c>
      <c r="D80" s="1">
        <v>468</v>
      </c>
      <c r="E80" s="1">
        <v>2290</v>
      </c>
      <c r="F80" s="1">
        <v>1974</v>
      </c>
      <c r="G80" s="22">
        <f t="shared" si="3"/>
        <v>4893.1623931623935</v>
      </c>
      <c r="H80" s="22">
        <f t="shared" si="4"/>
        <v>8852.0179372197308</v>
      </c>
    </row>
    <row r="81" spans="1:10" ht="22.5" x14ac:dyDescent="0.3">
      <c r="B81" s="1" t="s">
        <v>11</v>
      </c>
      <c r="C81" s="1">
        <v>24</v>
      </c>
      <c r="D81" s="1">
        <v>152</v>
      </c>
      <c r="E81" s="1">
        <v>1018</v>
      </c>
      <c r="F81" s="1">
        <v>310</v>
      </c>
      <c r="G81" s="22">
        <f t="shared" si="3"/>
        <v>6697.3684210526317</v>
      </c>
      <c r="H81" s="22">
        <f t="shared" si="4"/>
        <v>12916.666666666666</v>
      </c>
      <c r="J81" s="583" t="s">
        <v>313</v>
      </c>
    </row>
    <row r="82" spans="1:10" x14ac:dyDescent="0.2">
      <c r="B82" s="1" t="s">
        <v>12</v>
      </c>
      <c r="C82" s="1">
        <v>42</v>
      </c>
      <c r="D82" s="1">
        <v>111</v>
      </c>
      <c r="E82" s="1">
        <v>532</v>
      </c>
      <c r="F82" s="1">
        <v>360</v>
      </c>
      <c r="G82" s="22">
        <f t="shared" si="3"/>
        <v>4792.7927927927931</v>
      </c>
      <c r="H82" s="22">
        <f t="shared" si="4"/>
        <v>8571.4285714285706</v>
      </c>
    </row>
    <row r="83" spans="1:10" x14ac:dyDescent="0.2">
      <c r="B83" s="1" t="s">
        <v>13</v>
      </c>
      <c r="C83" s="1">
        <v>128</v>
      </c>
      <c r="D83" s="1">
        <v>297</v>
      </c>
      <c r="E83" s="1">
        <v>1449</v>
      </c>
      <c r="F83" s="1">
        <v>931</v>
      </c>
      <c r="G83" s="22">
        <f t="shared" si="3"/>
        <v>4878.787878787879</v>
      </c>
      <c r="H83" s="22">
        <f t="shared" si="4"/>
        <v>7273.4375</v>
      </c>
    </row>
    <row r="84" spans="1:10" x14ac:dyDescent="0.2">
      <c r="B84" s="1" t="s">
        <v>14</v>
      </c>
      <c r="C84" s="1">
        <v>480</v>
      </c>
      <c r="D84" s="1">
        <v>573</v>
      </c>
      <c r="E84" s="1">
        <v>2846</v>
      </c>
      <c r="F84" s="1">
        <v>4108</v>
      </c>
      <c r="G84" s="22">
        <f t="shared" si="3"/>
        <v>4966.8411867364748</v>
      </c>
      <c r="H84" s="22">
        <f t="shared" si="4"/>
        <v>8558.3333333333339</v>
      </c>
    </row>
    <row r="85" spans="1:10" x14ac:dyDescent="0.2">
      <c r="B85" s="1" t="s">
        <v>15</v>
      </c>
      <c r="C85" s="1">
        <v>13</v>
      </c>
      <c r="D85" s="1">
        <v>96</v>
      </c>
      <c r="E85" s="1">
        <v>690</v>
      </c>
      <c r="F85" s="1">
        <v>191</v>
      </c>
      <c r="G85" s="22">
        <f t="shared" si="3"/>
        <v>7187.5</v>
      </c>
      <c r="H85" s="22">
        <f t="shared" si="4"/>
        <v>14692.307692307691</v>
      </c>
    </row>
    <row r="86" spans="1:10" x14ac:dyDescent="0.2">
      <c r="B86" s="1" t="s">
        <v>16</v>
      </c>
      <c r="C86" s="1">
        <v>8</v>
      </c>
      <c r="D86" s="1">
        <v>76</v>
      </c>
      <c r="E86" s="1">
        <v>685</v>
      </c>
      <c r="F86" s="1">
        <v>129</v>
      </c>
      <c r="G86" s="22">
        <f t="shared" si="3"/>
        <v>9013.1578947368416</v>
      </c>
      <c r="H86" s="22">
        <f t="shared" si="4"/>
        <v>16125</v>
      </c>
    </row>
    <row r="87" spans="1:10" x14ac:dyDescent="0.2">
      <c r="B87" s="1" t="s">
        <v>17</v>
      </c>
      <c r="C87" s="1">
        <v>159</v>
      </c>
      <c r="D87" s="1">
        <v>292</v>
      </c>
      <c r="E87" s="1">
        <v>755</v>
      </c>
      <c r="F87" s="1">
        <v>1531</v>
      </c>
      <c r="G87" s="22">
        <f t="shared" si="3"/>
        <v>2585.6164383561645</v>
      </c>
      <c r="H87" s="22">
        <f t="shared" si="4"/>
        <v>9628.9308176100621</v>
      </c>
    </row>
    <row r="88" spans="1:10" x14ac:dyDescent="0.2">
      <c r="B88" s="1" t="s">
        <v>18</v>
      </c>
      <c r="C88" s="1">
        <v>25</v>
      </c>
      <c r="D88" s="1">
        <v>98</v>
      </c>
      <c r="E88" s="1">
        <v>369</v>
      </c>
      <c r="F88" s="1">
        <v>322</v>
      </c>
      <c r="G88" s="22">
        <f t="shared" si="3"/>
        <v>3765.3061224489797</v>
      </c>
      <c r="H88" s="22">
        <f t="shared" si="4"/>
        <v>12880</v>
      </c>
    </row>
    <row r="89" spans="1:10" x14ac:dyDescent="0.2">
      <c r="B89" s="1" t="s">
        <v>19</v>
      </c>
      <c r="C89" s="1">
        <v>147</v>
      </c>
      <c r="D89" s="1">
        <v>378</v>
      </c>
      <c r="E89" s="1">
        <v>1917</v>
      </c>
      <c r="F89" s="1">
        <v>1279</v>
      </c>
      <c r="G89" s="22">
        <f t="shared" si="3"/>
        <v>5071.4285714285716</v>
      </c>
      <c r="H89" s="22">
        <f t="shared" si="4"/>
        <v>8700.6802721088443</v>
      </c>
    </row>
    <row r="90" spans="1:10" x14ac:dyDescent="0.2">
      <c r="B90" s="1" t="s">
        <v>20</v>
      </c>
      <c r="C90" s="1">
        <v>1</v>
      </c>
      <c r="D90" s="1">
        <v>33</v>
      </c>
      <c r="E90" s="1">
        <v>362</v>
      </c>
      <c r="F90" s="1">
        <v>15</v>
      </c>
      <c r="G90" s="22">
        <f t="shared" si="3"/>
        <v>10969.69696969697</v>
      </c>
      <c r="H90" s="22">
        <f t="shared" si="4"/>
        <v>15000</v>
      </c>
    </row>
    <row r="91" spans="1:10" x14ac:dyDescent="0.2">
      <c r="B91" s="1" t="s">
        <v>21</v>
      </c>
      <c r="C91" s="1">
        <v>75</v>
      </c>
      <c r="D91" s="1">
        <v>224</v>
      </c>
      <c r="E91" s="1">
        <v>1457</v>
      </c>
      <c r="F91" s="1">
        <v>901</v>
      </c>
      <c r="G91" s="22">
        <f t="shared" si="3"/>
        <v>6504.4642857142853</v>
      </c>
      <c r="H91" s="22">
        <f t="shared" si="4"/>
        <v>12013.333333333334</v>
      </c>
    </row>
    <row r="92" spans="1:10" x14ac:dyDescent="0.2">
      <c r="B92" s="1" t="s">
        <v>22</v>
      </c>
      <c r="C92" s="1">
        <v>29</v>
      </c>
      <c r="D92" s="1">
        <v>121</v>
      </c>
      <c r="E92" s="1">
        <v>631</v>
      </c>
      <c r="F92" s="1">
        <v>337</v>
      </c>
      <c r="G92" s="22">
        <f t="shared" si="3"/>
        <v>5214.8760330578516</v>
      </c>
      <c r="H92" s="22">
        <f t="shared" si="4"/>
        <v>11620.689655172413</v>
      </c>
    </row>
    <row r="93" spans="1:10" x14ac:dyDescent="0.2">
      <c r="B93" s="1" t="s">
        <v>23</v>
      </c>
      <c r="C93" s="1">
        <v>726</v>
      </c>
      <c r="D93" s="1">
        <v>2263</v>
      </c>
      <c r="E93" s="1">
        <v>11088</v>
      </c>
      <c r="F93" s="1">
        <v>6642</v>
      </c>
      <c r="G93" s="22">
        <f t="shared" si="3"/>
        <v>4899.6906760936808</v>
      </c>
      <c r="H93" s="22">
        <f t="shared" si="4"/>
        <v>9148.7603305785124</v>
      </c>
    </row>
    <row r="94" spans="1:10" x14ac:dyDescent="0.2">
      <c r="A94" s="1">
        <v>2011</v>
      </c>
      <c r="B94" s="1" t="s">
        <v>8</v>
      </c>
      <c r="C94" s="1">
        <v>18</v>
      </c>
      <c r="D94" s="1">
        <v>125</v>
      </c>
      <c r="E94" s="1">
        <v>500</v>
      </c>
      <c r="F94" s="1">
        <v>237</v>
      </c>
      <c r="G94" s="22">
        <f t="shared" si="3"/>
        <v>4000</v>
      </c>
      <c r="H94" s="22">
        <f t="shared" si="4"/>
        <v>13166.666666666666</v>
      </c>
    </row>
    <row r="95" spans="1:10" x14ac:dyDescent="0.2">
      <c r="B95" s="1" t="s">
        <v>9</v>
      </c>
      <c r="C95" s="1">
        <v>69</v>
      </c>
      <c r="D95" s="1">
        <v>205</v>
      </c>
      <c r="E95" s="1">
        <v>1180</v>
      </c>
      <c r="F95" s="1">
        <v>474</v>
      </c>
      <c r="G95" s="22">
        <f t="shared" si="3"/>
        <v>5756.0975609756097</v>
      </c>
      <c r="H95" s="22">
        <f t="shared" si="4"/>
        <v>6869.565217391304</v>
      </c>
    </row>
    <row r="96" spans="1:10" x14ac:dyDescent="0.2">
      <c r="B96" s="1" t="s">
        <v>10</v>
      </c>
      <c r="C96" s="1">
        <v>226</v>
      </c>
      <c r="D96" s="1">
        <v>452</v>
      </c>
      <c r="E96" s="1">
        <v>2351</v>
      </c>
      <c r="F96" s="1">
        <v>1799</v>
      </c>
      <c r="G96" s="22">
        <f t="shared" si="3"/>
        <v>5201.3274336283184</v>
      </c>
      <c r="H96" s="22">
        <f t="shared" si="4"/>
        <v>7960.1769911504425</v>
      </c>
    </row>
    <row r="97" spans="1:9" x14ac:dyDescent="0.2">
      <c r="B97" s="1" t="s">
        <v>11</v>
      </c>
      <c r="C97" s="1">
        <v>24</v>
      </c>
      <c r="D97" s="1">
        <v>154</v>
      </c>
      <c r="E97" s="1">
        <v>946</v>
      </c>
      <c r="F97" s="1">
        <v>251</v>
      </c>
      <c r="G97" s="22">
        <f t="shared" si="3"/>
        <v>6142.8571428571431</v>
      </c>
      <c r="H97" s="22">
        <f t="shared" si="4"/>
        <v>10458.333333333334</v>
      </c>
    </row>
    <row r="98" spans="1:9" x14ac:dyDescent="0.2">
      <c r="B98" s="1" t="s">
        <v>12</v>
      </c>
      <c r="C98" s="1">
        <v>38</v>
      </c>
      <c r="D98" s="1">
        <v>113</v>
      </c>
      <c r="E98" s="1">
        <v>408</v>
      </c>
      <c r="F98" s="1">
        <v>261</v>
      </c>
      <c r="G98" s="22">
        <f t="shared" si="3"/>
        <v>3610.6194690265488</v>
      </c>
      <c r="H98" s="22">
        <f t="shared" si="4"/>
        <v>6868.4210526315792</v>
      </c>
    </row>
    <row r="99" spans="1:9" x14ac:dyDescent="0.2">
      <c r="B99" s="1" t="s">
        <v>13</v>
      </c>
      <c r="C99" s="1">
        <v>136</v>
      </c>
      <c r="D99" s="1">
        <v>286</v>
      </c>
      <c r="E99" s="1">
        <v>1303</v>
      </c>
      <c r="F99" s="1">
        <v>901</v>
      </c>
      <c r="G99" s="22">
        <f t="shared" si="3"/>
        <v>4555.9440559440563</v>
      </c>
      <c r="H99" s="22">
        <f t="shared" si="4"/>
        <v>6625</v>
      </c>
    </row>
    <row r="100" spans="1:9" x14ac:dyDescent="0.2">
      <c r="B100" s="1" t="s">
        <v>14</v>
      </c>
      <c r="C100" s="1">
        <v>448</v>
      </c>
      <c r="D100" s="1">
        <v>551</v>
      </c>
      <c r="E100" s="1">
        <v>2835</v>
      </c>
      <c r="F100" s="1">
        <v>3712</v>
      </c>
      <c r="G100" s="22">
        <f t="shared" si="3"/>
        <v>5145.1905626134303</v>
      </c>
      <c r="H100" s="22">
        <f t="shared" si="4"/>
        <v>8285.7142857142862</v>
      </c>
    </row>
    <row r="101" spans="1:9" x14ac:dyDescent="0.2">
      <c r="B101" s="1" t="s">
        <v>15</v>
      </c>
      <c r="C101" s="1">
        <v>17</v>
      </c>
      <c r="D101" s="1">
        <v>101</v>
      </c>
      <c r="E101" s="1">
        <v>628</v>
      </c>
      <c r="F101" s="1">
        <v>143</v>
      </c>
      <c r="G101" s="22">
        <f t="shared" si="3"/>
        <v>6217.8217821782182</v>
      </c>
      <c r="H101" s="22">
        <f t="shared" si="4"/>
        <v>8411.7647058823532</v>
      </c>
    </row>
    <row r="102" spans="1:9" x14ac:dyDescent="0.2">
      <c r="B102" s="1" t="s">
        <v>16</v>
      </c>
      <c r="C102" s="1">
        <v>11</v>
      </c>
      <c r="D102" s="1">
        <v>72</v>
      </c>
      <c r="E102" s="1">
        <v>688</v>
      </c>
      <c r="F102" s="1">
        <v>120</v>
      </c>
      <c r="G102" s="22">
        <f t="shared" si="3"/>
        <v>9555.5555555555547</v>
      </c>
      <c r="H102" s="22">
        <f t="shared" si="4"/>
        <v>10909.09090909091</v>
      </c>
    </row>
    <row r="103" spans="1:9" x14ac:dyDescent="0.2">
      <c r="B103" s="1" t="s">
        <v>17</v>
      </c>
      <c r="C103" s="1">
        <v>155</v>
      </c>
      <c r="D103" s="1">
        <v>282</v>
      </c>
      <c r="E103" s="1">
        <v>1050</v>
      </c>
      <c r="F103" s="1">
        <v>1808</v>
      </c>
      <c r="G103" s="22">
        <f t="shared" si="3"/>
        <v>3723.4042553191489</v>
      </c>
      <c r="H103" s="22">
        <f t="shared" si="4"/>
        <v>11664.516129032258</v>
      </c>
    </row>
    <row r="104" spans="1:9" x14ac:dyDescent="0.2">
      <c r="B104" s="1" t="s">
        <v>18</v>
      </c>
      <c r="C104" s="1">
        <v>26</v>
      </c>
      <c r="D104" s="1">
        <v>93</v>
      </c>
      <c r="E104" s="1">
        <v>265</v>
      </c>
      <c r="F104" s="1">
        <v>266</v>
      </c>
      <c r="G104" s="22">
        <f t="shared" si="3"/>
        <v>2849.4623655913979</v>
      </c>
      <c r="H104" s="22">
        <f t="shared" si="4"/>
        <v>10230.76923076923</v>
      </c>
    </row>
    <row r="105" spans="1:9" x14ac:dyDescent="0.2">
      <c r="B105" s="1" t="s">
        <v>19</v>
      </c>
      <c r="C105" s="1">
        <v>135</v>
      </c>
      <c r="D105" s="1">
        <v>378</v>
      </c>
      <c r="E105" s="1">
        <v>1683</v>
      </c>
      <c r="F105" s="1">
        <v>1122</v>
      </c>
      <c r="G105" s="22">
        <f t="shared" si="3"/>
        <v>4452.3809523809523</v>
      </c>
      <c r="H105" s="22">
        <f t="shared" si="4"/>
        <v>8311.1111111111113</v>
      </c>
    </row>
    <row r="106" spans="1:9" x14ac:dyDescent="0.2">
      <c r="B106" s="1" t="s">
        <v>20</v>
      </c>
      <c r="C106" s="94">
        <v>1</v>
      </c>
      <c r="D106" s="1">
        <v>37</v>
      </c>
      <c r="E106" s="1">
        <v>279</v>
      </c>
      <c r="F106" s="94">
        <v>0</v>
      </c>
      <c r="G106" s="582">
        <f t="shared" si="3"/>
        <v>7540.5405405405409</v>
      </c>
      <c r="H106" s="582"/>
      <c r="I106" s="1" t="s">
        <v>301</v>
      </c>
    </row>
    <row r="107" spans="1:9" x14ac:dyDescent="0.2">
      <c r="B107" s="1" t="s">
        <v>21</v>
      </c>
      <c r="C107" s="1">
        <v>83</v>
      </c>
      <c r="D107" s="1">
        <v>220</v>
      </c>
      <c r="E107" s="1">
        <v>1110</v>
      </c>
      <c r="F107" s="1">
        <v>785</v>
      </c>
      <c r="G107" s="22">
        <f t="shared" si="3"/>
        <v>5045.454545454545</v>
      </c>
      <c r="H107" s="22">
        <f t="shared" si="4"/>
        <v>9457.8313253012057</v>
      </c>
    </row>
    <row r="108" spans="1:9" x14ac:dyDescent="0.2">
      <c r="B108" s="1" t="s">
        <v>22</v>
      </c>
      <c r="C108" s="1">
        <v>29</v>
      </c>
      <c r="D108" s="1">
        <v>126</v>
      </c>
      <c r="E108" s="1">
        <v>688</v>
      </c>
      <c r="F108" s="1">
        <v>308</v>
      </c>
      <c r="G108" s="22">
        <f t="shared" si="3"/>
        <v>5460.3174603174602</v>
      </c>
      <c r="H108" s="22">
        <f t="shared" si="4"/>
        <v>10620.689655172413</v>
      </c>
    </row>
    <row r="109" spans="1:9" x14ac:dyDescent="0.2">
      <c r="B109" s="1" t="s">
        <v>23</v>
      </c>
      <c r="C109" s="1">
        <v>714</v>
      </c>
      <c r="D109" s="1">
        <v>2163</v>
      </c>
      <c r="E109" s="1">
        <v>10990</v>
      </c>
      <c r="F109" s="1">
        <v>6332</v>
      </c>
      <c r="G109" s="22">
        <f t="shared" si="3"/>
        <v>5080.9061488673142</v>
      </c>
      <c r="H109" s="22">
        <f t="shared" si="4"/>
        <v>8868.347338935575</v>
      </c>
    </row>
    <row r="110" spans="1:9" x14ac:dyDescent="0.2">
      <c r="A110" s="1">
        <v>2010</v>
      </c>
      <c r="B110" s="1" t="s">
        <v>8</v>
      </c>
      <c r="C110" s="1">
        <v>22</v>
      </c>
      <c r="D110" s="1">
        <v>126</v>
      </c>
      <c r="E110" s="1">
        <v>497</v>
      </c>
      <c r="F110" s="1">
        <v>242</v>
      </c>
      <c r="G110" s="22">
        <f t="shared" si="3"/>
        <v>3944.4444444444443</v>
      </c>
      <c r="H110" s="22">
        <f t="shared" si="4"/>
        <v>11000</v>
      </c>
    </row>
    <row r="111" spans="1:9" x14ac:dyDescent="0.2">
      <c r="B111" s="1" t="s">
        <v>9</v>
      </c>
      <c r="C111" s="1">
        <v>63</v>
      </c>
      <c r="D111" s="1">
        <v>195</v>
      </c>
      <c r="E111" s="1">
        <v>922</v>
      </c>
      <c r="F111" s="1">
        <v>437</v>
      </c>
      <c r="G111" s="22">
        <f t="shared" si="3"/>
        <v>4728.2051282051279</v>
      </c>
      <c r="H111" s="22">
        <f t="shared" si="4"/>
        <v>6936.5079365079364</v>
      </c>
    </row>
    <row r="112" spans="1:9" x14ac:dyDescent="0.2">
      <c r="B112" s="1" t="s">
        <v>10</v>
      </c>
      <c r="C112" s="1">
        <v>220</v>
      </c>
      <c r="D112" s="1">
        <v>455</v>
      </c>
      <c r="E112" s="1">
        <v>2139</v>
      </c>
      <c r="F112" s="1">
        <v>1674</v>
      </c>
      <c r="G112" s="22">
        <f t="shared" si="3"/>
        <v>4701.0989010989015</v>
      </c>
      <c r="H112" s="22">
        <f t="shared" si="4"/>
        <v>7609.090909090909</v>
      </c>
    </row>
    <row r="113" spans="1:8" x14ac:dyDescent="0.2">
      <c r="B113" s="1" t="s">
        <v>11</v>
      </c>
      <c r="C113" s="1">
        <v>30</v>
      </c>
      <c r="D113" s="1">
        <v>155</v>
      </c>
      <c r="E113" s="1">
        <v>974</v>
      </c>
      <c r="F113" s="1">
        <v>272</v>
      </c>
      <c r="G113" s="22">
        <f t="shared" si="3"/>
        <v>6283.8709677419356</v>
      </c>
      <c r="H113" s="22">
        <f t="shared" si="4"/>
        <v>9066.6666666666661</v>
      </c>
    </row>
    <row r="114" spans="1:8" x14ac:dyDescent="0.2">
      <c r="B114" s="1" t="s">
        <v>12</v>
      </c>
      <c r="C114" s="1">
        <v>34</v>
      </c>
      <c r="D114" s="1">
        <v>114</v>
      </c>
      <c r="E114" s="1">
        <v>569</v>
      </c>
      <c r="F114" s="1">
        <v>285</v>
      </c>
      <c r="G114" s="22">
        <f t="shared" si="3"/>
        <v>4991.2280701754389</v>
      </c>
      <c r="H114" s="22">
        <f t="shared" si="4"/>
        <v>8382.3529411764703</v>
      </c>
    </row>
    <row r="115" spans="1:8" x14ac:dyDescent="0.2">
      <c r="B115" s="1" t="s">
        <v>13</v>
      </c>
      <c r="C115" s="1">
        <v>122</v>
      </c>
      <c r="D115" s="1">
        <v>273</v>
      </c>
      <c r="E115" s="1">
        <v>1146</v>
      </c>
      <c r="F115" s="1">
        <v>901</v>
      </c>
      <c r="G115" s="22">
        <f t="shared" si="3"/>
        <v>4197.802197802198</v>
      </c>
      <c r="H115" s="22">
        <f t="shared" si="4"/>
        <v>7385.2459016393441</v>
      </c>
    </row>
    <row r="116" spans="1:8" x14ac:dyDescent="0.2">
      <c r="B116" s="1" t="s">
        <v>14</v>
      </c>
      <c r="C116" s="1">
        <v>450</v>
      </c>
      <c r="D116" s="1">
        <v>523</v>
      </c>
      <c r="E116" s="1">
        <v>2957</v>
      </c>
      <c r="F116" s="1">
        <v>3455</v>
      </c>
      <c r="G116" s="22">
        <f t="shared" si="3"/>
        <v>5653.9196940726579</v>
      </c>
      <c r="H116" s="22">
        <f t="shared" si="4"/>
        <v>7677.7777777777774</v>
      </c>
    </row>
    <row r="117" spans="1:8" x14ac:dyDescent="0.2">
      <c r="B117" s="1" t="s">
        <v>15</v>
      </c>
      <c r="C117" s="1">
        <v>17</v>
      </c>
      <c r="D117" s="1">
        <v>102</v>
      </c>
      <c r="E117" s="1">
        <v>527</v>
      </c>
      <c r="F117" s="1">
        <v>137</v>
      </c>
      <c r="G117" s="22">
        <f t="shared" si="3"/>
        <v>5166.666666666667</v>
      </c>
      <c r="H117" s="22">
        <f t="shared" si="4"/>
        <v>8058.8235294117649</v>
      </c>
    </row>
    <row r="118" spans="1:8" x14ac:dyDescent="0.2">
      <c r="B118" s="1" t="s">
        <v>16</v>
      </c>
      <c r="C118" s="1">
        <v>11</v>
      </c>
      <c r="D118" s="1">
        <v>65</v>
      </c>
      <c r="E118" s="1">
        <v>633</v>
      </c>
      <c r="F118" s="1">
        <v>128</v>
      </c>
      <c r="G118" s="22">
        <f t="shared" si="3"/>
        <v>9738.461538461539</v>
      </c>
      <c r="H118" s="22">
        <f t="shared" si="4"/>
        <v>11636.363636363636</v>
      </c>
    </row>
    <row r="119" spans="1:8" x14ac:dyDescent="0.2">
      <c r="B119" s="1" t="s">
        <v>17</v>
      </c>
      <c r="C119" s="1">
        <v>149</v>
      </c>
      <c r="D119" s="1">
        <v>268</v>
      </c>
      <c r="E119" s="1">
        <v>794</v>
      </c>
      <c r="F119" s="1">
        <v>1411</v>
      </c>
      <c r="G119" s="22">
        <f t="shared" si="3"/>
        <v>2962.686567164179</v>
      </c>
      <c r="H119" s="22">
        <f t="shared" si="4"/>
        <v>9469.79865771812</v>
      </c>
    </row>
    <row r="120" spans="1:8" x14ac:dyDescent="0.2">
      <c r="B120" s="1" t="s">
        <v>18</v>
      </c>
      <c r="C120" s="1">
        <v>30</v>
      </c>
      <c r="D120" s="1">
        <v>86</v>
      </c>
      <c r="E120" s="1">
        <v>205</v>
      </c>
      <c r="F120" s="1">
        <v>238</v>
      </c>
      <c r="G120" s="22">
        <f t="shared" si="3"/>
        <v>2383.7209302325582</v>
      </c>
      <c r="H120" s="22">
        <f t="shared" si="4"/>
        <v>7933.333333333333</v>
      </c>
    </row>
    <row r="121" spans="1:8" x14ac:dyDescent="0.2">
      <c r="B121" s="1" t="s">
        <v>19</v>
      </c>
      <c r="C121" s="1">
        <v>136</v>
      </c>
      <c r="D121" s="1">
        <v>363</v>
      </c>
      <c r="E121" s="1">
        <v>1747</v>
      </c>
      <c r="F121" s="1">
        <v>954</v>
      </c>
      <c r="G121" s="22">
        <f t="shared" si="3"/>
        <v>4812.6721763085397</v>
      </c>
      <c r="H121" s="22">
        <f t="shared" si="4"/>
        <v>7014.7058823529414</v>
      </c>
    </row>
    <row r="122" spans="1:8" x14ac:dyDescent="0.2">
      <c r="B122" s="1" t="s">
        <v>20</v>
      </c>
      <c r="C122" s="1">
        <v>2</v>
      </c>
      <c r="D122" s="1">
        <v>35</v>
      </c>
      <c r="E122" s="1">
        <v>246</v>
      </c>
      <c r="F122" s="1">
        <v>15</v>
      </c>
      <c r="G122" s="22">
        <f t="shared" si="3"/>
        <v>7028.5714285714284</v>
      </c>
      <c r="H122" s="22">
        <f t="shared" si="4"/>
        <v>7500</v>
      </c>
    </row>
    <row r="123" spans="1:8" x14ac:dyDescent="0.2">
      <c r="B123" s="1" t="s">
        <v>21</v>
      </c>
      <c r="C123" s="1">
        <v>73</v>
      </c>
      <c r="D123" s="1">
        <v>201</v>
      </c>
      <c r="E123" s="1">
        <v>840</v>
      </c>
      <c r="F123" s="1">
        <v>721</v>
      </c>
      <c r="G123" s="22">
        <f t="shared" si="3"/>
        <v>4179.1044776119406</v>
      </c>
      <c r="H123" s="22">
        <f t="shared" si="4"/>
        <v>9876.7123287671238</v>
      </c>
    </row>
    <row r="124" spans="1:8" x14ac:dyDescent="0.2">
      <c r="B124" s="1" t="s">
        <v>22</v>
      </c>
      <c r="C124" s="1">
        <v>27</v>
      </c>
      <c r="D124" s="1">
        <v>122</v>
      </c>
      <c r="E124" s="1">
        <v>543</v>
      </c>
      <c r="F124" s="1">
        <v>305</v>
      </c>
      <c r="G124" s="22">
        <f t="shared" si="3"/>
        <v>4450.8196721311479</v>
      </c>
      <c r="H124" s="22">
        <f t="shared" si="4"/>
        <v>11296.296296296296</v>
      </c>
    </row>
    <row r="125" spans="1:8" x14ac:dyDescent="0.2">
      <c r="A125" s="224"/>
      <c r="B125" s="224" t="s">
        <v>23</v>
      </c>
      <c r="C125" s="224">
        <v>711</v>
      </c>
      <c r="D125" s="224">
        <v>2062</v>
      </c>
      <c r="E125" s="224">
        <v>10966</v>
      </c>
      <c r="F125" s="224">
        <v>6426</v>
      </c>
      <c r="G125" s="584">
        <f t="shared" si="3"/>
        <v>5318.1377303588752</v>
      </c>
      <c r="H125" s="584">
        <f t="shared" si="4"/>
        <v>9037.9746835443038</v>
      </c>
    </row>
    <row r="126" spans="1:8" x14ac:dyDescent="0.2">
      <c r="B126" s="24" t="s">
        <v>294</v>
      </c>
      <c r="C126" s="24">
        <f>SUM(C62:C125)</f>
        <v>8529</v>
      </c>
      <c r="D126" s="24">
        <f>SUM(D62:D125)</f>
        <v>21735</v>
      </c>
      <c r="E126" s="24">
        <f>SUM(E62:E125)</f>
        <v>107369</v>
      </c>
      <c r="F126" s="24"/>
      <c r="G126" s="24"/>
      <c r="H126" s="24"/>
    </row>
    <row r="127" spans="1:8" x14ac:dyDescent="0.2">
      <c r="B127" s="24" t="s">
        <v>294</v>
      </c>
      <c r="C127" s="24">
        <v>8529</v>
      </c>
      <c r="D127" s="24">
        <v>21735</v>
      </c>
      <c r="E127" s="24">
        <v>107369</v>
      </c>
      <c r="F127" s="24"/>
      <c r="G127" s="24"/>
      <c r="H127" s="24"/>
    </row>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127"/>
  <sheetViews>
    <sheetView topLeftCell="A80" zoomScale="85" zoomScaleNormal="85" workbookViewId="0">
      <selection activeCell="O116" sqref="O116"/>
    </sheetView>
  </sheetViews>
  <sheetFormatPr defaultColWidth="8.88671875" defaultRowHeight="15" x14ac:dyDescent="0.2"/>
  <cols>
    <col min="1" max="1" width="7.44140625" style="1" customWidth="1"/>
    <col min="2" max="2" width="17.21875" style="1" customWidth="1"/>
    <col min="3" max="3" width="13.21875" style="1" customWidth="1"/>
    <col min="4" max="4" width="12" style="1" customWidth="1"/>
    <col min="5" max="5" width="14.21875" style="1" customWidth="1"/>
    <col min="6" max="6" width="13.77734375" style="1" customWidth="1"/>
    <col min="7" max="7" width="10" style="1" customWidth="1"/>
    <col min="8" max="18" width="8.88671875" style="1"/>
    <col min="19" max="19" width="11.5546875" style="1" customWidth="1"/>
    <col min="20" max="16384" width="8.88671875" style="1"/>
  </cols>
  <sheetData>
    <row r="3" spans="2:20" ht="15.75" x14ac:dyDescent="0.25">
      <c r="B3" s="588" t="s">
        <v>292</v>
      </c>
      <c r="C3" s="589"/>
      <c r="D3" s="590"/>
    </row>
    <row r="4" spans="2:20" ht="15.75" x14ac:dyDescent="0.25">
      <c r="B4" s="280"/>
      <c r="C4" s="6"/>
      <c r="D4" s="585"/>
    </row>
    <row r="5" spans="2:20" ht="15.75" x14ac:dyDescent="0.25">
      <c r="B5" s="280">
        <v>204</v>
      </c>
      <c r="C5" s="6" t="s">
        <v>289</v>
      </c>
      <c r="D5" s="585"/>
    </row>
    <row r="6" spans="2:20" ht="15.75" x14ac:dyDescent="0.25">
      <c r="B6" s="280">
        <v>205</v>
      </c>
      <c r="C6" s="6" t="s">
        <v>290</v>
      </c>
      <c r="D6" s="585"/>
    </row>
    <row r="7" spans="2:20" ht="15.75" x14ac:dyDescent="0.25">
      <c r="B7" s="280">
        <v>207</v>
      </c>
      <c r="C7" s="6" t="s">
        <v>291</v>
      </c>
      <c r="D7" s="585"/>
    </row>
    <row r="8" spans="2:20" ht="15.75" x14ac:dyDescent="0.25">
      <c r="B8" s="280"/>
      <c r="C8" s="6"/>
      <c r="D8" s="585"/>
    </row>
    <row r="9" spans="2:20" ht="15.75" x14ac:dyDescent="0.25">
      <c r="B9" s="280">
        <v>220</v>
      </c>
      <c r="C9" s="6" t="s">
        <v>307</v>
      </c>
      <c r="D9" s="585"/>
    </row>
    <row r="10" spans="2:20" ht="15.75" x14ac:dyDescent="0.25">
      <c r="B10" s="280">
        <v>225</v>
      </c>
      <c r="C10" s="6" t="s">
        <v>308</v>
      </c>
      <c r="D10" s="585"/>
    </row>
    <row r="11" spans="2:20" ht="15.75" x14ac:dyDescent="0.25">
      <c r="B11" s="280">
        <v>235</v>
      </c>
      <c r="C11" s="6" t="s">
        <v>309</v>
      </c>
      <c r="D11" s="585"/>
    </row>
    <row r="12" spans="2:20" ht="15.75" x14ac:dyDescent="0.25">
      <c r="B12" s="280">
        <v>240</v>
      </c>
      <c r="C12" s="6" t="s">
        <v>310</v>
      </c>
      <c r="D12" s="585"/>
    </row>
    <row r="13" spans="2:20" ht="15.75" x14ac:dyDescent="0.25">
      <c r="B13" s="586"/>
      <c r="C13" s="290"/>
      <c r="D13" s="587"/>
    </row>
    <row r="15" spans="2:20" ht="15.75" x14ac:dyDescent="0.25">
      <c r="B15" s="1" t="s">
        <v>303</v>
      </c>
      <c r="C15" s="1" t="s">
        <v>8</v>
      </c>
      <c r="D15" s="1" t="s">
        <v>9</v>
      </c>
      <c r="E15" s="1" t="s">
        <v>10</v>
      </c>
      <c r="F15" s="1" t="s">
        <v>11</v>
      </c>
      <c r="G15" s="1" t="s">
        <v>12</v>
      </c>
      <c r="H15" s="1" t="s">
        <v>13</v>
      </c>
      <c r="I15" s="1" t="s">
        <v>14</v>
      </c>
      <c r="J15" s="1" t="s">
        <v>15</v>
      </c>
      <c r="K15" s="1" t="s">
        <v>16</v>
      </c>
      <c r="L15" s="1" t="s">
        <v>17</v>
      </c>
      <c r="M15" s="1" t="s">
        <v>18</v>
      </c>
      <c r="N15" s="1" t="s">
        <v>19</v>
      </c>
      <c r="O15" s="1" t="s">
        <v>20</v>
      </c>
      <c r="P15" s="1" t="s">
        <v>21</v>
      </c>
      <c r="Q15" s="1" t="s">
        <v>22</v>
      </c>
      <c r="R15" s="1" t="s">
        <v>23</v>
      </c>
      <c r="S15" s="5" t="s">
        <v>304</v>
      </c>
      <c r="T15" s="1" t="s">
        <v>294</v>
      </c>
    </row>
    <row r="16" spans="2:20" ht="15.75" x14ac:dyDescent="0.25">
      <c r="B16" s="1">
        <v>2013</v>
      </c>
      <c r="C16" s="1">
        <v>140</v>
      </c>
      <c r="D16" s="1">
        <v>210</v>
      </c>
      <c r="E16" s="1">
        <v>471</v>
      </c>
      <c r="F16" s="1">
        <v>158</v>
      </c>
      <c r="G16" s="1">
        <v>112</v>
      </c>
      <c r="H16" s="1">
        <v>311</v>
      </c>
      <c r="I16" s="1">
        <v>608</v>
      </c>
      <c r="J16" s="1">
        <v>97</v>
      </c>
      <c r="K16" s="1">
        <v>85</v>
      </c>
      <c r="L16" s="1">
        <v>305</v>
      </c>
      <c r="M16" s="1">
        <v>102</v>
      </c>
      <c r="N16" s="1">
        <v>383</v>
      </c>
      <c r="O16" s="1">
        <v>35</v>
      </c>
      <c r="P16" s="1">
        <v>228</v>
      </c>
      <c r="Q16" s="1">
        <v>125</v>
      </c>
      <c r="R16" s="1">
        <v>2335</v>
      </c>
      <c r="S16" s="5">
        <f>SUM(C16:R16)</f>
        <v>5705</v>
      </c>
      <c r="T16" s="1">
        <v>5705</v>
      </c>
    </row>
    <row r="17" spans="2:20" ht="15.75" x14ac:dyDescent="0.25">
      <c r="B17" s="1">
        <v>2012</v>
      </c>
      <c r="C17" s="1">
        <v>136</v>
      </c>
      <c r="D17" s="1">
        <v>209</v>
      </c>
      <c r="E17" s="1">
        <v>468</v>
      </c>
      <c r="F17" s="1">
        <v>152</v>
      </c>
      <c r="G17" s="1">
        <v>111</v>
      </c>
      <c r="H17" s="1">
        <v>297</v>
      </c>
      <c r="I17" s="1">
        <v>573</v>
      </c>
      <c r="J17" s="1">
        <v>96</v>
      </c>
      <c r="K17" s="1">
        <v>76</v>
      </c>
      <c r="L17" s="1">
        <v>292</v>
      </c>
      <c r="M17" s="1">
        <v>98</v>
      </c>
      <c r="N17" s="1">
        <v>378</v>
      </c>
      <c r="O17" s="1">
        <v>33</v>
      </c>
      <c r="P17" s="1">
        <v>224</v>
      </c>
      <c r="Q17" s="1">
        <v>121</v>
      </c>
      <c r="R17" s="1">
        <v>2263</v>
      </c>
      <c r="S17" s="5">
        <f>SUM(C17:R17)</f>
        <v>5527</v>
      </c>
      <c r="T17" s="1">
        <v>5527</v>
      </c>
    </row>
    <row r="18" spans="2:20" ht="15.75" x14ac:dyDescent="0.25">
      <c r="B18" s="1">
        <v>2011</v>
      </c>
      <c r="C18" s="1">
        <v>125</v>
      </c>
      <c r="D18" s="1">
        <v>205</v>
      </c>
      <c r="E18" s="1">
        <v>452</v>
      </c>
      <c r="F18" s="1">
        <v>154</v>
      </c>
      <c r="G18" s="1">
        <v>113</v>
      </c>
      <c r="H18" s="1">
        <v>286</v>
      </c>
      <c r="I18" s="1">
        <v>551</v>
      </c>
      <c r="J18" s="1">
        <v>101</v>
      </c>
      <c r="K18" s="1">
        <v>72</v>
      </c>
      <c r="L18" s="1">
        <v>282</v>
      </c>
      <c r="M18" s="1">
        <v>93</v>
      </c>
      <c r="N18" s="1">
        <v>378</v>
      </c>
      <c r="O18" s="1">
        <v>37</v>
      </c>
      <c r="P18" s="1">
        <v>220</v>
      </c>
      <c r="Q18" s="1">
        <v>126</v>
      </c>
      <c r="R18" s="1">
        <v>2163</v>
      </c>
      <c r="S18" s="5">
        <f>SUM(C18:R18)</f>
        <v>5358</v>
      </c>
      <c r="T18" s="1">
        <v>5358</v>
      </c>
    </row>
    <row r="19" spans="2:20" ht="15.75" x14ac:dyDescent="0.25">
      <c r="B19" s="1">
        <v>2010</v>
      </c>
      <c r="C19" s="1">
        <v>126</v>
      </c>
      <c r="D19" s="1">
        <v>195</v>
      </c>
      <c r="E19" s="1">
        <v>455</v>
      </c>
      <c r="F19" s="1">
        <v>155</v>
      </c>
      <c r="G19" s="1">
        <v>114</v>
      </c>
      <c r="H19" s="1">
        <v>273</v>
      </c>
      <c r="I19" s="1">
        <v>523</v>
      </c>
      <c r="J19" s="1">
        <v>102</v>
      </c>
      <c r="K19" s="1">
        <v>65</v>
      </c>
      <c r="L19" s="1">
        <v>268</v>
      </c>
      <c r="M19" s="1">
        <v>86</v>
      </c>
      <c r="N19" s="1">
        <v>363</v>
      </c>
      <c r="O19" s="1">
        <v>35</v>
      </c>
      <c r="P19" s="1">
        <v>201</v>
      </c>
      <c r="Q19" s="1">
        <v>122</v>
      </c>
      <c r="R19" s="1">
        <v>2062</v>
      </c>
      <c r="S19" s="5">
        <f>SUM(C19:R19)</f>
        <v>5145</v>
      </c>
      <c r="T19" s="1">
        <v>5145</v>
      </c>
    </row>
    <row r="22" spans="2:20" x14ac:dyDescent="0.2">
      <c r="B22" s="1" t="s">
        <v>297</v>
      </c>
    </row>
    <row r="23" spans="2:20" ht="15.75" x14ac:dyDescent="0.25">
      <c r="C23" s="1" t="s">
        <v>8</v>
      </c>
      <c r="D23" s="1" t="s">
        <v>9</v>
      </c>
      <c r="E23" s="1" t="s">
        <v>10</v>
      </c>
      <c r="F23" s="1" t="s">
        <v>11</v>
      </c>
      <c r="G23" s="1" t="s">
        <v>12</v>
      </c>
      <c r="H23" s="1" t="s">
        <v>13</v>
      </c>
      <c r="I23" s="1" t="s">
        <v>14</v>
      </c>
      <c r="J23" s="1" t="s">
        <v>15</v>
      </c>
      <c r="K23" s="1" t="s">
        <v>16</v>
      </c>
      <c r="L23" s="1" t="s">
        <v>17</v>
      </c>
      <c r="M23" s="1" t="s">
        <v>18</v>
      </c>
      <c r="N23" s="1" t="s">
        <v>19</v>
      </c>
      <c r="O23" s="1" t="s">
        <v>20</v>
      </c>
      <c r="P23" s="1" t="s">
        <v>21</v>
      </c>
      <c r="Q23" s="1" t="s">
        <v>22</v>
      </c>
      <c r="R23" s="1" t="s">
        <v>23</v>
      </c>
      <c r="S23" s="5" t="s">
        <v>302</v>
      </c>
      <c r="T23" s="1" t="s">
        <v>294</v>
      </c>
    </row>
    <row r="24" spans="2:20" ht="15.75" x14ac:dyDescent="0.25">
      <c r="B24" s="1">
        <v>2013</v>
      </c>
      <c r="C24" s="1">
        <v>15</v>
      </c>
      <c r="D24" s="1">
        <v>64</v>
      </c>
      <c r="E24" s="1">
        <v>214</v>
      </c>
      <c r="F24" s="1">
        <v>25</v>
      </c>
      <c r="G24" s="1">
        <v>33</v>
      </c>
      <c r="H24" s="1">
        <v>127</v>
      </c>
      <c r="I24" s="1">
        <v>471</v>
      </c>
      <c r="J24" s="1">
        <v>12</v>
      </c>
      <c r="K24" s="1">
        <v>8</v>
      </c>
      <c r="L24" s="1">
        <v>173</v>
      </c>
      <c r="M24" s="1">
        <v>36</v>
      </c>
      <c r="N24" s="1">
        <v>144</v>
      </c>
      <c r="O24" s="1">
        <v>0</v>
      </c>
      <c r="P24" s="1">
        <v>71</v>
      </c>
      <c r="Q24" s="1">
        <v>26</v>
      </c>
      <c r="R24" s="1">
        <v>717</v>
      </c>
      <c r="S24" s="5">
        <f>SUM(C24:R24)</f>
        <v>2136</v>
      </c>
      <c r="T24" s="1">
        <v>2136</v>
      </c>
    </row>
    <row r="25" spans="2:20" ht="15.75" x14ac:dyDescent="0.25">
      <c r="B25" s="1">
        <v>2012</v>
      </c>
      <c r="C25" s="1">
        <v>17</v>
      </c>
      <c r="D25" s="1">
        <v>69</v>
      </c>
      <c r="E25" s="1">
        <v>223</v>
      </c>
      <c r="F25" s="1">
        <v>24</v>
      </c>
      <c r="G25" s="1">
        <v>42</v>
      </c>
      <c r="H25" s="1">
        <v>128</v>
      </c>
      <c r="I25" s="1">
        <v>480</v>
      </c>
      <c r="J25" s="1">
        <v>13</v>
      </c>
      <c r="K25" s="1">
        <v>8</v>
      </c>
      <c r="L25" s="1">
        <v>159</v>
      </c>
      <c r="M25" s="1">
        <v>25</v>
      </c>
      <c r="N25" s="1">
        <v>147</v>
      </c>
      <c r="O25" s="1">
        <v>1</v>
      </c>
      <c r="P25" s="1">
        <v>75</v>
      </c>
      <c r="Q25" s="1">
        <v>29</v>
      </c>
      <c r="R25" s="1">
        <v>726</v>
      </c>
      <c r="S25" s="5">
        <f>SUM(C25:R25)</f>
        <v>2166</v>
      </c>
      <c r="T25" s="1">
        <v>2166</v>
      </c>
    </row>
    <row r="26" spans="2:20" ht="15.75" x14ac:dyDescent="0.25">
      <c r="B26" s="1">
        <v>2011</v>
      </c>
      <c r="C26" s="1">
        <v>18</v>
      </c>
      <c r="D26" s="1">
        <v>69</v>
      </c>
      <c r="E26" s="1">
        <v>226</v>
      </c>
      <c r="F26" s="1">
        <v>24</v>
      </c>
      <c r="G26" s="1">
        <v>38</v>
      </c>
      <c r="H26" s="1">
        <v>136</v>
      </c>
      <c r="I26" s="1">
        <v>448</v>
      </c>
      <c r="J26" s="1">
        <v>17</v>
      </c>
      <c r="K26" s="1">
        <v>11</v>
      </c>
      <c r="L26" s="1">
        <v>155</v>
      </c>
      <c r="M26" s="1">
        <v>26</v>
      </c>
      <c r="N26" s="1">
        <v>135</v>
      </c>
      <c r="O26" s="1">
        <v>1</v>
      </c>
      <c r="P26" s="1">
        <v>83</v>
      </c>
      <c r="Q26" s="1">
        <v>29</v>
      </c>
      <c r="R26" s="1">
        <v>714</v>
      </c>
      <c r="S26" s="5">
        <f>SUM(C26:R26)</f>
        <v>2130</v>
      </c>
      <c r="T26" s="1">
        <v>2130</v>
      </c>
    </row>
    <row r="27" spans="2:20" ht="15.75" x14ac:dyDescent="0.25">
      <c r="B27" s="1">
        <v>2010</v>
      </c>
      <c r="C27" s="1">
        <v>22</v>
      </c>
      <c r="D27" s="1">
        <v>63</v>
      </c>
      <c r="E27" s="1">
        <v>220</v>
      </c>
      <c r="F27" s="1">
        <v>30</v>
      </c>
      <c r="G27" s="1">
        <v>34</v>
      </c>
      <c r="H27" s="1">
        <v>122</v>
      </c>
      <c r="I27" s="1">
        <v>450</v>
      </c>
      <c r="J27" s="1">
        <v>17</v>
      </c>
      <c r="K27" s="1">
        <v>11</v>
      </c>
      <c r="L27" s="1">
        <v>149</v>
      </c>
      <c r="M27" s="1">
        <v>30</v>
      </c>
      <c r="N27" s="1">
        <v>136</v>
      </c>
      <c r="O27" s="1">
        <v>2</v>
      </c>
      <c r="P27" s="1">
        <v>73</v>
      </c>
      <c r="Q27" s="1">
        <v>27</v>
      </c>
      <c r="R27" s="1">
        <v>711</v>
      </c>
      <c r="S27" s="5">
        <f>SUM(C27:R27)</f>
        <v>2097</v>
      </c>
      <c r="T27" s="1">
        <v>2097</v>
      </c>
    </row>
    <row r="29" spans="2:20" x14ac:dyDescent="0.2">
      <c r="B29" s="24" t="s">
        <v>315</v>
      </c>
    </row>
    <row r="30" spans="2:20" x14ac:dyDescent="0.2">
      <c r="B30" s="1" t="s">
        <v>286</v>
      </c>
    </row>
    <row r="31" spans="2:20" ht="15.75" x14ac:dyDescent="0.25">
      <c r="B31" s="1" t="s">
        <v>305</v>
      </c>
      <c r="C31" s="1" t="s">
        <v>8</v>
      </c>
      <c r="D31" s="1" t="s">
        <v>9</v>
      </c>
      <c r="E31" s="1" t="s">
        <v>10</v>
      </c>
      <c r="F31" s="1" t="s">
        <v>11</v>
      </c>
      <c r="G31" s="1" t="s">
        <v>12</v>
      </c>
      <c r="H31" s="1" t="s">
        <v>13</v>
      </c>
      <c r="I31" s="1" t="s">
        <v>14</v>
      </c>
      <c r="J31" s="1" t="s">
        <v>15</v>
      </c>
      <c r="K31" s="1" t="s">
        <v>16</v>
      </c>
      <c r="L31" s="1" t="s">
        <v>17</v>
      </c>
      <c r="M31" s="1" t="s">
        <v>18</v>
      </c>
      <c r="N31" s="1" t="s">
        <v>19</v>
      </c>
      <c r="O31" s="1" t="s">
        <v>20</v>
      </c>
      <c r="P31" s="1" t="s">
        <v>21</v>
      </c>
      <c r="Q31" s="1" t="s">
        <v>22</v>
      </c>
      <c r="R31" s="1" t="s">
        <v>23</v>
      </c>
      <c r="S31" s="5" t="s">
        <v>306</v>
      </c>
      <c r="T31" s="1" t="s">
        <v>294</v>
      </c>
    </row>
    <row r="32" spans="2:20" ht="15.75" x14ac:dyDescent="0.25">
      <c r="B32" s="1">
        <v>2013</v>
      </c>
      <c r="C32" s="1">
        <v>530</v>
      </c>
      <c r="D32" s="1">
        <v>1229</v>
      </c>
      <c r="E32" s="1">
        <v>2549</v>
      </c>
      <c r="F32" s="1">
        <v>973</v>
      </c>
      <c r="G32" s="1">
        <v>647</v>
      </c>
      <c r="H32" s="1">
        <v>1718</v>
      </c>
      <c r="I32" s="1">
        <v>3307</v>
      </c>
      <c r="J32" s="1">
        <v>582</v>
      </c>
      <c r="K32" s="1">
        <v>692</v>
      </c>
      <c r="L32" s="1">
        <v>1095</v>
      </c>
      <c r="M32" s="1">
        <v>456</v>
      </c>
      <c r="N32" s="1">
        <v>1969</v>
      </c>
      <c r="O32" s="1">
        <v>279</v>
      </c>
      <c r="P32" s="1">
        <v>1742</v>
      </c>
      <c r="Q32" s="1">
        <v>1032</v>
      </c>
      <c r="R32" s="1">
        <v>12694</v>
      </c>
      <c r="S32" s="5">
        <f>SUM(C32:R32)</f>
        <v>31494</v>
      </c>
      <c r="T32" s="1">
        <v>31494</v>
      </c>
    </row>
    <row r="33" spans="2:20" ht="15.75" x14ac:dyDescent="0.25">
      <c r="B33" s="1">
        <v>2012</v>
      </c>
      <c r="C33" s="1">
        <v>617</v>
      </c>
      <c r="D33" s="1">
        <v>1185</v>
      </c>
      <c r="E33" s="1">
        <v>2638</v>
      </c>
      <c r="F33" s="1">
        <v>1033</v>
      </c>
      <c r="G33" s="1">
        <v>666</v>
      </c>
      <c r="H33" s="1">
        <v>1733</v>
      </c>
      <c r="I33" s="1">
        <v>3334</v>
      </c>
      <c r="J33" s="1">
        <v>693</v>
      </c>
      <c r="K33" s="1">
        <v>714</v>
      </c>
      <c r="L33" s="1">
        <v>1178</v>
      </c>
      <c r="M33" s="1">
        <v>391</v>
      </c>
      <c r="N33" s="1">
        <v>2015</v>
      </c>
      <c r="O33" s="1">
        <v>363</v>
      </c>
      <c r="P33" s="1">
        <v>1956</v>
      </c>
      <c r="Q33" s="1">
        <v>749</v>
      </c>
      <c r="R33" s="1">
        <v>12601</v>
      </c>
      <c r="S33" s="5">
        <f t="shared" ref="S33:S47" si="0">SUM(C33:R33)</f>
        <v>31866</v>
      </c>
      <c r="T33" s="1">
        <v>31866</v>
      </c>
    </row>
    <row r="34" spans="2:20" ht="15.75" x14ac:dyDescent="0.25">
      <c r="B34" s="1">
        <v>2011</v>
      </c>
      <c r="C34" s="1">
        <v>501</v>
      </c>
      <c r="D34" s="1">
        <v>1328</v>
      </c>
      <c r="E34" s="1">
        <v>2669</v>
      </c>
      <c r="F34" s="1">
        <v>966</v>
      </c>
      <c r="G34" s="1">
        <v>605</v>
      </c>
      <c r="H34" s="1">
        <v>1563</v>
      </c>
      <c r="I34" s="1">
        <v>3190</v>
      </c>
      <c r="J34" s="1">
        <v>629</v>
      </c>
      <c r="K34" s="1">
        <v>701</v>
      </c>
      <c r="L34" s="1">
        <v>1154</v>
      </c>
      <c r="M34" s="1">
        <v>273</v>
      </c>
      <c r="N34" s="1">
        <v>1826</v>
      </c>
      <c r="O34" s="1">
        <v>293</v>
      </c>
      <c r="P34" s="1">
        <v>1627</v>
      </c>
      <c r="Q34" s="1">
        <v>720</v>
      </c>
      <c r="R34" s="1">
        <v>12464</v>
      </c>
      <c r="S34" s="5">
        <f t="shared" si="0"/>
        <v>30509</v>
      </c>
      <c r="T34" s="1">
        <v>30509</v>
      </c>
    </row>
    <row r="35" spans="2:20" ht="15.75" x14ac:dyDescent="0.25">
      <c r="B35" s="1">
        <v>2010</v>
      </c>
      <c r="C35" s="1">
        <v>499</v>
      </c>
      <c r="D35" s="1">
        <v>1049</v>
      </c>
      <c r="E35" s="1">
        <v>2384</v>
      </c>
      <c r="F35" s="1">
        <v>985</v>
      </c>
      <c r="G35" s="1">
        <v>670</v>
      </c>
      <c r="H35" s="1">
        <v>1483</v>
      </c>
      <c r="I35" s="1">
        <v>3301</v>
      </c>
      <c r="J35" s="1">
        <v>527</v>
      </c>
      <c r="K35" s="1">
        <v>634</v>
      </c>
      <c r="L35" s="1">
        <v>843</v>
      </c>
      <c r="M35" s="1">
        <v>218</v>
      </c>
      <c r="N35" s="1">
        <v>1913</v>
      </c>
      <c r="O35" s="1">
        <v>249</v>
      </c>
      <c r="P35" s="1">
        <v>1382</v>
      </c>
      <c r="Q35" s="1">
        <v>625</v>
      </c>
      <c r="R35" s="1">
        <v>12405</v>
      </c>
      <c r="S35" s="5">
        <f t="shared" si="0"/>
        <v>29167</v>
      </c>
      <c r="T35" s="1">
        <v>29167</v>
      </c>
    </row>
    <row r="36" spans="2:20" ht="15.75" x14ac:dyDescent="0.25">
      <c r="S36" s="5"/>
    </row>
    <row r="37" spans="2:20" ht="15.75" x14ac:dyDescent="0.25">
      <c r="C37" s="1" t="s">
        <v>314</v>
      </c>
      <c r="S37" s="5"/>
    </row>
    <row r="38" spans="2:20" ht="15.75" x14ac:dyDescent="0.25">
      <c r="B38" s="1">
        <v>2013</v>
      </c>
      <c r="C38" s="1">
        <v>14</v>
      </c>
      <c r="D38" s="1">
        <v>219</v>
      </c>
      <c r="E38" s="1">
        <v>257</v>
      </c>
      <c r="F38" s="1">
        <v>11</v>
      </c>
      <c r="G38" s="1">
        <v>123</v>
      </c>
      <c r="H38" s="1">
        <v>295</v>
      </c>
      <c r="I38" s="1">
        <v>536</v>
      </c>
      <c r="J38" s="1">
        <v>7</v>
      </c>
      <c r="K38" s="1">
        <v>27</v>
      </c>
      <c r="L38" s="1">
        <v>472</v>
      </c>
      <c r="M38" s="1">
        <v>27</v>
      </c>
      <c r="N38" s="1">
        <v>108</v>
      </c>
      <c r="O38" s="1">
        <v>1</v>
      </c>
      <c r="P38" s="1">
        <v>528</v>
      </c>
      <c r="Q38" s="1">
        <v>70</v>
      </c>
      <c r="R38" s="1">
        <v>1787</v>
      </c>
      <c r="S38" s="5">
        <f t="shared" si="0"/>
        <v>4482</v>
      </c>
    </row>
    <row r="39" spans="2:20" ht="15.75" x14ac:dyDescent="0.25">
      <c r="B39" s="1">
        <v>2012</v>
      </c>
      <c r="C39" s="1">
        <v>11</v>
      </c>
      <c r="D39" s="1">
        <v>132</v>
      </c>
      <c r="E39" s="1">
        <v>348</v>
      </c>
      <c r="F39" s="1">
        <v>15</v>
      </c>
      <c r="G39" s="1">
        <v>134</v>
      </c>
      <c r="H39" s="1">
        <v>284</v>
      </c>
      <c r="I39" s="1">
        <v>488</v>
      </c>
      <c r="J39" s="1">
        <v>3</v>
      </c>
      <c r="K39" s="1">
        <v>29</v>
      </c>
      <c r="L39" s="1">
        <v>423</v>
      </c>
      <c r="M39" s="1">
        <v>22</v>
      </c>
      <c r="N39" s="1">
        <v>98</v>
      </c>
      <c r="O39" s="1">
        <v>1</v>
      </c>
      <c r="P39" s="1">
        <v>499</v>
      </c>
      <c r="Q39" s="1">
        <v>118</v>
      </c>
      <c r="R39" s="1">
        <v>1513</v>
      </c>
      <c r="S39" s="5">
        <f t="shared" si="0"/>
        <v>4118</v>
      </c>
    </row>
    <row r="40" spans="2:20" ht="15.75" x14ac:dyDescent="0.25">
      <c r="B40" s="1">
        <v>2011</v>
      </c>
      <c r="C40" s="1">
        <v>1</v>
      </c>
      <c r="D40" s="1">
        <v>148</v>
      </c>
      <c r="E40" s="1">
        <v>318</v>
      </c>
      <c r="F40" s="1">
        <v>20</v>
      </c>
      <c r="G40" s="1">
        <v>197</v>
      </c>
      <c r="H40" s="1">
        <v>260</v>
      </c>
      <c r="I40" s="1">
        <v>355</v>
      </c>
      <c r="J40" s="1">
        <v>1</v>
      </c>
      <c r="K40" s="1">
        <v>13</v>
      </c>
      <c r="L40" s="1">
        <v>104</v>
      </c>
      <c r="M40" s="1">
        <v>8</v>
      </c>
      <c r="N40" s="1">
        <v>143</v>
      </c>
      <c r="O40" s="1">
        <v>14</v>
      </c>
      <c r="P40" s="1">
        <v>517</v>
      </c>
      <c r="Q40" s="1">
        <v>32</v>
      </c>
      <c r="R40" s="1">
        <v>1474</v>
      </c>
      <c r="S40" s="5">
        <f t="shared" si="0"/>
        <v>3605</v>
      </c>
    </row>
    <row r="41" spans="2:20" ht="15.75" x14ac:dyDescent="0.25">
      <c r="B41" s="1">
        <v>2010</v>
      </c>
      <c r="C41" s="1">
        <v>2</v>
      </c>
      <c r="D41" s="1">
        <v>127</v>
      </c>
      <c r="E41" s="1">
        <v>245</v>
      </c>
      <c r="F41" s="1">
        <v>11</v>
      </c>
      <c r="G41" s="1">
        <v>101</v>
      </c>
      <c r="H41" s="1">
        <v>337</v>
      </c>
      <c r="I41" s="1">
        <v>344</v>
      </c>
      <c r="J41" s="1">
        <v>0</v>
      </c>
      <c r="K41" s="1">
        <v>1</v>
      </c>
      <c r="L41" s="1">
        <v>49</v>
      </c>
      <c r="M41" s="1">
        <v>13</v>
      </c>
      <c r="N41" s="1">
        <v>166</v>
      </c>
      <c r="O41" s="1">
        <v>3</v>
      </c>
      <c r="P41" s="1">
        <v>542</v>
      </c>
      <c r="Q41" s="1">
        <v>82</v>
      </c>
      <c r="R41" s="1">
        <v>1439</v>
      </c>
      <c r="S41" s="5">
        <f t="shared" si="0"/>
        <v>3462</v>
      </c>
    </row>
    <row r="42" spans="2:20" ht="15.75" x14ac:dyDescent="0.25">
      <c r="S42" s="5"/>
    </row>
    <row r="43" spans="2:20" ht="15.75" x14ac:dyDescent="0.25">
      <c r="C43" s="1" t="s">
        <v>311</v>
      </c>
      <c r="S43" s="5"/>
    </row>
    <row r="44" spans="2:20" ht="15.75" x14ac:dyDescent="0.25">
      <c r="B44" s="1">
        <v>2013</v>
      </c>
      <c r="C44" s="1">
        <f>C32-C38</f>
        <v>516</v>
      </c>
      <c r="D44" s="1">
        <f t="shared" ref="D44:R44" si="1">D32-D38</f>
        <v>1010</v>
      </c>
      <c r="E44" s="1">
        <f t="shared" si="1"/>
        <v>2292</v>
      </c>
      <c r="F44" s="1">
        <f t="shared" si="1"/>
        <v>962</v>
      </c>
      <c r="G44" s="1">
        <f t="shared" si="1"/>
        <v>524</v>
      </c>
      <c r="H44" s="1">
        <f t="shared" si="1"/>
        <v>1423</v>
      </c>
      <c r="I44" s="1">
        <f t="shared" si="1"/>
        <v>2771</v>
      </c>
      <c r="J44" s="1">
        <f t="shared" si="1"/>
        <v>575</v>
      </c>
      <c r="K44" s="1">
        <f t="shared" si="1"/>
        <v>665</v>
      </c>
      <c r="L44" s="1">
        <f t="shared" si="1"/>
        <v>623</v>
      </c>
      <c r="M44" s="1">
        <f t="shared" si="1"/>
        <v>429</v>
      </c>
      <c r="N44" s="1">
        <f t="shared" si="1"/>
        <v>1861</v>
      </c>
      <c r="O44" s="1">
        <f t="shared" si="1"/>
        <v>278</v>
      </c>
      <c r="P44" s="1">
        <f t="shared" si="1"/>
        <v>1214</v>
      </c>
      <c r="Q44" s="1">
        <f t="shared" si="1"/>
        <v>962</v>
      </c>
      <c r="R44" s="1">
        <f t="shared" si="1"/>
        <v>10907</v>
      </c>
      <c r="S44" s="5">
        <f t="shared" si="0"/>
        <v>27012</v>
      </c>
    </row>
    <row r="45" spans="2:20" ht="15.75" x14ac:dyDescent="0.25">
      <c r="B45" s="1">
        <v>2012</v>
      </c>
      <c r="C45" s="1">
        <f t="shared" ref="C45:R47" si="2">C33-C39</f>
        <v>606</v>
      </c>
      <c r="D45" s="1">
        <f t="shared" si="2"/>
        <v>1053</v>
      </c>
      <c r="E45" s="1">
        <f t="shared" si="2"/>
        <v>2290</v>
      </c>
      <c r="F45" s="1">
        <f t="shared" si="2"/>
        <v>1018</v>
      </c>
      <c r="G45" s="1">
        <f t="shared" si="2"/>
        <v>532</v>
      </c>
      <c r="H45" s="1">
        <f t="shared" si="2"/>
        <v>1449</v>
      </c>
      <c r="I45" s="1">
        <f t="shared" si="2"/>
        <v>2846</v>
      </c>
      <c r="J45" s="1">
        <f t="shared" si="2"/>
        <v>690</v>
      </c>
      <c r="K45" s="1">
        <f t="shared" si="2"/>
        <v>685</v>
      </c>
      <c r="L45" s="1">
        <f t="shared" si="2"/>
        <v>755</v>
      </c>
      <c r="M45" s="1">
        <f t="shared" si="2"/>
        <v>369</v>
      </c>
      <c r="N45" s="1">
        <f t="shared" si="2"/>
        <v>1917</v>
      </c>
      <c r="O45" s="1">
        <f t="shared" si="2"/>
        <v>362</v>
      </c>
      <c r="P45" s="1">
        <f t="shared" si="2"/>
        <v>1457</v>
      </c>
      <c r="Q45" s="1">
        <f t="shared" si="2"/>
        <v>631</v>
      </c>
      <c r="R45" s="1">
        <f t="shared" si="2"/>
        <v>11088</v>
      </c>
      <c r="S45" s="5">
        <f t="shared" si="0"/>
        <v>27748</v>
      </c>
    </row>
    <row r="46" spans="2:20" ht="15.75" x14ac:dyDescent="0.25">
      <c r="B46" s="1">
        <v>2011</v>
      </c>
      <c r="C46" s="1">
        <f t="shared" si="2"/>
        <v>500</v>
      </c>
      <c r="D46" s="1">
        <f t="shared" si="2"/>
        <v>1180</v>
      </c>
      <c r="E46" s="1">
        <f t="shared" si="2"/>
        <v>2351</v>
      </c>
      <c r="F46" s="1">
        <f t="shared" si="2"/>
        <v>946</v>
      </c>
      <c r="G46" s="1">
        <f t="shared" si="2"/>
        <v>408</v>
      </c>
      <c r="H46" s="1">
        <f t="shared" si="2"/>
        <v>1303</v>
      </c>
      <c r="I46" s="1">
        <f t="shared" si="2"/>
        <v>2835</v>
      </c>
      <c r="J46" s="1">
        <f t="shared" si="2"/>
        <v>628</v>
      </c>
      <c r="K46" s="1">
        <f t="shared" si="2"/>
        <v>688</v>
      </c>
      <c r="L46" s="1">
        <f t="shared" si="2"/>
        <v>1050</v>
      </c>
      <c r="M46" s="1">
        <f t="shared" si="2"/>
        <v>265</v>
      </c>
      <c r="N46" s="1">
        <f t="shared" si="2"/>
        <v>1683</v>
      </c>
      <c r="O46" s="1">
        <f t="shared" si="2"/>
        <v>279</v>
      </c>
      <c r="P46" s="1">
        <f t="shared" si="2"/>
        <v>1110</v>
      </c>
      <c r="Q46" s="1">
        <f t="shared" si="2"/>
        <v>688</v>
      </c>
      <c r="R46" s="1">
        <f t="shared" si="2"/>
        <v>10990</v>
      </c>
      <c r="S46" s="5">
        <f t="shared" si="0"/>
        <v>26904</v>
      </c>
    </row>
    <row r="47" spans="2:20" ht="15.75" x14ac:dyDescent="0.25">
      <c r="B47" s="1">
        <v>2010</v>
      </c>
      <c r="C47" s="1">
        <f t="shared" si="2"/>
        <v>497</v>
      </c>
      <c r="D47" s="1">
        <f t="shared" si="2"/>
        <v>922</v>
      </c>
      <c r="E47" s="1">
        <f t="shared" si="2"/>
        <v>2139</v>
      </c>
      <c r="F47" s="1">
        <f t="shared" si="2"/>
        <v>974</v>
      </c>
      <c r="G47" s="1">
        <f t="shared" si="2"/>
        <v>569</v>
      </c>
      <c r="H47" s="1">
        <f t="shared" si="2"/>
        <v>1146</v>
      </c>
      <c r="I47" s="1">
        <f t="shared" si="2"/>
        <v>2957</v>
      </c>
      <c r="J47" s="1">
        <f t="shared" si="2"/>
        <v>527</v>
      </c>
      <c r="K47" s="1">
        <f t="shared" si="2"/>
        <v>633</v>
      </c>
      <c r="L47" s="1">
        <f t="shared" si="2"/>
        <v>794</v>
      </c>
      <c r="M47" s="1">
        <f t="shared" si="2"/>
        <v>205</v>
      </c>
      <c r="N47" s="1">
        <f t="shared" si="2"/>
        <v>1747</v>
      </c>
      <c r="O47" s="1">
        <f t="shared" si="2"/>
        <v>246</v>
      </c>
      <c r="P47" s="1">
        <f t="shared" si="2"/>
        <v>840</v>
      </c>
      <c r="Q47" s="1">
        <f t="shared" si="2"/>
        <v>543</v>
      </c>
      <c r="R47" s="1">
        <f t="shared" si="2"/>
        <v>10966</v>
      </c>
      <c r="S47" s="5">
        <f t="shared" si="0"/>
        <v>25705</v>
      </c>
    </row>
    <row r="51" spans="1:20" x14ac:dyDescent="0.2">
      <c r="B51" s="1" t="s">
        <v>287</v>
      </c>
    </row>
    <row r="52" spans="1:20" ht="15.75" x14ac:dyDescent="0.25">
      <c r="B52" s="1" t="s">
        <v>288</v>
      </c>
      <c r="C52" s="1" t="s">
        <v>8</v>
      </c>
      <c r="D52" s="1" t="s">
        <v>9</v>
      </c>
      <c r="E52" s="1" t="s">
        <v>10</v>
      </c>
      <c r="F52" s="1" t="s">
        <v>11</v>
      </c>
      <c r="G52" s="1" t="s">
        <v>12</v>
      </c>
      <c r="H52" s="1" t="s">
        <v>13</v>
      </c>
      <c r="I52" s="1" t="s">
        <v>14</v>
      </c>
      <c r="J52" s="1" t="s">
        <v>15</v>
      </c>
      <c r="K52" s="1" t="s">
        <v>16</v>
      </c>
      <c r="L52" s="1" t="s">
        <v>17</v>
      </c>
      <c r="M52" s="1" t="s">
        <v>18</v>
      </c>
      <c r="N52" s="1" t="s">
        <v>19</v>
      </c>
      <c r="O52" s="1" t="s">
        <v>20</v>
      </c>
      <c r="P52" s="1" t="s">
        <v>21</v>
      </c>
      <c r="Q52" s="1" t="s">
        <v>22</v>
      </c>
      <c r="R52" s="1" t="s">
        <v>23</v>
      </c>
      <c r="S52" s="5" t="s">
        <v>293</v>
      </c>
      <c r="T52" s="1" t="s">
        <v>294</v>
      </c>
    </row>
    <row r="53" spans="1:20" ht="15.75" x14ac:dyDescent="0.25">
      <c r="A53" s="1">
        <v>20264</v>
      </c>
      <c r="B53" s="1">
        <v>2013</v>
      </c>
      <c r="C53" s="1">
        <v>248</v>
      </c>
      <c r="D53" s="1">
        <v>554</v>
      </c>
      <c r="E53" s="1">
        <v>1984</v>
      </c>
      <c r="F53" s="1">
        <v>323</v>
      </c>
      <c r="G53" s="1">
        <v>285</v>
      </c>
      <c r="H53" s="1">
        <v>1136</v>
      </c>
      <c r="I53" s="1">
        <v>4291</v>
      </c>
      <c r="J53" s="1">
        <v>170</v>
      </c>
      <c r="K53" s="1">
        <v>128</v>
      </c>
      <c r="L53" s="1">
        <v>1827</v>
      </c>
      <c r="M53" s="1">
        <v>320</v>
      </c>
      <c r="N53" s="1">
        <v>1353</v>
      </c>
      <c r="O53" s="1">
        <v>17</v>
      </c>
      <c r="P53" s="1">
        <v>791</v>
      </c>
      <c r="Q53" s="1">
        <v>302</v>
      </c>
      <c r="R53" s="1">
        <v>6535</v>
      </c>
      <c r="S53" s="5">
        <f>SUM(C53:R53)</f>
        <v>20264</v>
      </c>
      <c r="T53" s="1">
        <v>20264</v>
      </c>
    </row>
    <row r="54" spans="1:20" ht="15.75" x14ac:dyDescent="0.25">
      <c r="A54" s="1">
        <v>19825</v>
      </c>
      <c r="B54" s="1">
        <v>2012</v>
      </c>
      <c r="C54" s="1">
        <v>278</v>
      </c>
      <c r="D54" s="1">
        <v>517</v>
      </c>
      <c r="E54" s="1">
        <v>1974</v>
      </c>
      <c r="F54" s="1">
        <v>310</v>
      </c>
      <c r="G54" s="1">
        <v>360</v>
      </c>
      <c r="H54" s="1">
        <v>931</v>
      </c>
      <c r="I54" s="1">
        <v>4108</v>
      </c>
      <c r="J54" s="1">
        <v>191</v>
      </c>
      <c r="K54" s="1">
        <v>129</v>
      </c>
      <c r="L54" s="1">
        <v>1531</v>
      </c>
      <c r="M54" s="1">
        <v>322</v>
      </c>
      <c r="N54" s="1">
        <v>1279</v>
      </c>
      <c r="O54" s="1">
        <v>15</v>
      </c>
      <c r="P54" s="1">
        <v>901</v>
      </c>
      <c r="Q54" s="1">
        <v>337</v>
      </c>
      <c r="R54" s="1">
        <v>6642</v>
      </c>
      <c r="S54" s="5">
        <f>SUM(C54:R54)</f>
        <v>19825</v>
      </c>
      <c r="T54" s="1">
        <v>19825</v>
      </c>
    </row>
    <row r="55" spans="1:20" ht="15.75" x14ac:dyDescent="0.25">
      <c r="A55" s="1">
        <v>18519</v>
      </c>
      <c r="B55" s="1">
        <v>2011</v>
      </c>
      <c r="C55" s="1">
        <v>237</v>
      </c>
      <c r="D55" s="1">
        <v>474</v>
      </c>
      <c r="E55" s="1">
        <v>1799</v>
      </c>
      <c r="F55" s="1">
        <v>251</v>
      </c>
      <c r="G55" s="1">
        <v>261</v>
      </c>
      <c r="H55" s="1">
        <v>901</v>
      </c>
      <c r="I55" s="1">
        <v>3712</v>
      </c>
      <c r="J55" s="1">
        <v>143</v>
      </c>
      <c r="K55" s="1">
        <v>120</v>
      </c>
      <c r="L55" s="1">
        <v>1808</v>
      </c>
      <c r="M55" s="1">
        <v>266</v>
      </c>
      <c r="N55" s="1">
        <v>1122</v>
      </c>
      <c r="O55" s="1">
        <v>0</v>
      </c>
      <c r="P55" s="1">
        <v>785</v>
      </c>
      <c r="Q55" s="1">
        <v>308</v>
      </c>
      <c r="R55" s="1">
        <v>6332</v>
      </c>
      <c r="S55" s="5">
        <f>SUM(C55:R55)</f>
        <v>18519</v>
      </c>
      <c r="T55" s="1">
        <v>18519</v>
      </c>
    </row>
    <row r="56" spans="1:20" ht="15.75" x14ac:dyDescent="0.25">
      <c r="A56" s="1">
        <v>17601</v>
      </c>
      <c r="B56" s="1">
        <v>2010</v>
      </c>
      <c r="C56" s="1">
        <v>242</v>
      </c>
      <c r="D56" s="1">
        <v>437</v>
      </c>
      <c r="E56" s="1">
        <v>1674</v>
      </c>
      <c r="F56" s="1">
        <v>272</v>
      </c>
      <c r="G56" s="1">
        <v>285</v>
      </c>
      <c r="H56" s="1">
        <v>901</v>
      </c>
      <c r="I56" s="1">
        <v>3455</v>
      </c>
      <c r="J56" s="1">
        <v>137</v>
      </c>
      <c r="K56" s="1">
        <v>128</v>
      </c>
      <c r="L56" s="1">
        <v>1411</v>
      </c>
      <c r="M56" s="1">
        <v>238</v>
      </c>
      <c r="N56" s="1">
        <v>954</v>
      </c>
      <c r="O56" s="1">
        <v>15</v>
      </c>
      <c r="P56" s="1">
        <v>721</v>
      </c>
      <c r="Q56" s="1">
        <v>305</v>
      </c>
      <c r="R56" s="1">
        <v>6426</v>
      </c>
      <c r="S56" s="5">
        <f>SUM(C56:R56)</f>
        <v>17601</v>
      </c>
      <c r="T56" s="1">
        <v>17601</v>
      </c>
    </row>
    <row r="60" spans="1:20" ht="20.25" thickBot="1" x14ac:dyDescent="0.35">
      <c r="J60" s="120" t="s">
        <v>312</v>
      </c>
    </row>
    <row r="61" spans="1:20" ht="15.75" thickTop="1" x14ac:dyDescent="0.2">
      <c r="C61" s="1" t="s">
        <v>296</v>
      </c>
      <c r="D61" s="1" t="s">
        <v>299</v>
      </c>
      <c r="E61" s="1" t="s">
        <v>283</v>
      </c>
      <c r="F61" s="1" t="s">
        <v>295</v>
      </c>
      <c r="G61" s="1" t="s">
        <v>284</v>
      </c>
      <c r="H61" s="1" t="s">
        <v>285</v>
      </c>
    </row>
    <row r="62" spans="1:20" x14ac:dyDescent="0.2">
      <c r="A62" s="1">
        <v>2013</v>
      </c>
      <c r="B62" s="1" t="s">
        <v>8</v>
      </c>
      <c r="E62" s="1">
        <v>516</v>
      </c>
      <c r="F62" s="1">
        <v>248</v>
      </c>
      <c r="G62" s="22"/>
      <c r="H62" s="22"/>
    </row>
    <row r="63" spans="1:20" x14ac:dyDescent="0.2">
      <c r="B63" s="1" t="s">
        <v>9</v>
      </c>
      <c r="C63" s="1">
        <v>64</v>
      </c>
      <c r="D63" s="1">
        <v>210</v>
      </c>
      <c r="E63" s="1">
        <v>1010</v>
      </c>
      <c r="F63" s="1">
        <v>554</v>
      </c>
      <c r="G63" s="22">
        <f t="shared" ref="G63:G125" si="3">E63*1000/D63</f>
        <v>4809.5238095238092</v>
      </c>
      <c r="H63" s="22">
        <f t="shared" ref="H63:H125" si="4">1000*F63/C63</f>
        <v>8656.25</v>
      </c>
    </row>
    <row r="64" spans="1:20" x14ac:dyDescent="0.2">
      <c r="B64" s="1" t="s">
        <v>10</v>
      </c>
      <c r="C64" s="1">
        <v>214</v>
      </c>
      <c r="D64" s="1">
        <v>471</v>
      </c>
      <c r="E64" s="1">
        <v>2292</v>
      </c>
      <c r="F64" s="1">
        <v>1984</v>
      </c>
      <c r="G64" s="22">
        <f t="shared" si="3"/>
        <v>4866.2420382165601</v>
      </c>
      <c r="H64" s="22">
        <f t="shared" si="4"/>
        <v>9271.0280373831774</v>
      </c>
    </row>
    <row r="65" spans="1:9" x14ac:dyDescent="0.2">
      <c r="B65" s="1" t="s">
        <v>11</v>
      </c>
      <c r="G65" s="22"/>
      <c r="H65" s="22"/>
    </row>
    <row r="66" spans="1:9" x14ac:dyDescent="0.2">
      <c r="B66" s="1" t="s">
        <v>12</v>
      </c>
      <c r="C66" s="1">
        <v>33</v>
      </c>
      <c r="D66" s="1">
        <v>112</v>
      </c>
      <c r="E66" s="1">
        <v>524</v>
      </c>
      <c r="F66" s="1">
        <v>285</v>
      </c>
      <c r="G66" s="22">
        <f t="shared" si="3"/>
        <v>4678.5714285714284</v>
      </c>
      <c r="H66" s="22">
        <f t="shared" si="4"/>
        <v>8636.363636363636</v>
      </c>
    </row>
    <row r="67" spans="1:9" x14ac:dyDescent="0.2">
      <c r="B67" s="1" t="s">
        <v>13</v>
      </c>
      <c r="C67" s="1">
        <v>127</v>
      </c>
      <c r="D67" s="1">
        <v>311</v>
      </c>
      <c r="E67" s="1">
        <v>1423</v>
      </c>
      <c r="F67" s="1">
        <v>1136</v>
      </c>
      <c r="G67" s="22">
        <f t="shared" si="3"/>
        <v>4575.5627009646305</v>
      </c>
      <c r="H67" s="22">
        <f t="shared" si="4"/>
        <v>8944.8818897637793</v>
      </c>
    </row>
    <row r="68" spans="1:9" x14ac:dyDescent="0.2">
      <c r="B68" s="1" t="s">
        <v>14</v>
      </c>
      <c r="C68" s="1">
        <v>471</v>
      </c>
      <c r="D68" s="1">
        <v>608</v>
      </c>
      <c r="E68" s="1">
        <v>2771</v>
      </c>
      <c r="F68" s="1">
        <v>4291</v>
      </c>
      <c r="G68" s="22">
        <f t="shared" si="3"/>
        <v>4557.5657894736842</v>
      </c>
      <c r="H68" s="22">
        <f t="shared" si="4"/>
        <v>9110.4033970276014</v>
      </c>
    </row>
    <row r="69" spans="1:9" x14ac:dyDescent="0.2">
      <c r="B69" s="1" t="s">
        <v>15</v>
      </c>
      <c r="E69" s="1">
        <v>575</v>
      </c>
      <c r="F69" s="1">
        <v>170</v>
      </c>
      <c r="G69" s="22"/>
      <c r="H69" s="22"/>
    </row>
    <row r="70" spans="1:9" x14ac:dyDescent="0.2">
      <c r="B70" s="1" t="s">
        <v>16</v>
      </c>
      <c r="G70" s="22"/>
      <c r="H70" s="22"/>
    </row>
    <row r="71" spans="1:9" x14ac:dyDescent="0.2">
      <c r="B71" s="1" t="s">
        <v>17</v>
      </c>
      <c r="C71" s="1">
        <v>173</v>
      </c>
      <c r="D71" s="1">
        <v>305</v>
      </c>
      <c r="E71" s="1">
        <v>623</v>
      </c>
      <c r="F71" s="1">
        <v>1827</v>
      </c>
      <c r="G71" s="22">
        <f t="shared" si="3"/>
        <v>2042.622950819672</v>
      </c>
      <c r="H71" s="22">
        <f t="shared" si="4"/>
        <v>10560.693641618496</v>
      </c>
    </row>
    <row r="72" spans="1:9" x14ac:dyDescent="0.2">
      <c r="B72" s="1" t="s">
        <v>18</v>
      </c>
      <c r="C72" s="1">
        <v>36</v>
      </c>
      <c r="D72" s="1">
        <v>102</v>
      </c>
      <c r="E72" s="1">
        <v>429</v>
      </c>
      <c r="F72" s="1">
        <v>320</v>
      </c>
      <c r="G72" s="22">
        <f t="shared" si="3"/>
        <v>4205.8823529411766</v>
      </c>
      <c r="H72" s="22">
        <f t="shared" si="4"/>
        <v>8888.8888888888887</v>
      </c>
    </row>
    <row r="73" spans="1:9" x14ac:dyDescent="0.2">
      <c r="B73" s="1" t="s">
        <v>19</v>
      </c>
      <c r="C73" s="1">
        <v>144</v>
      </c>
      <c r="D73" s="1">
        <v>383</v>
      </c>
      <c r="E73" s="1">
        <v>1861</v>
      </c>
      <c r="F73" s="1">
        <v>1353</v>
      </c>
      <c r="G73" s="22">
        <f t="shared" si="3"/>
        <v>4859.0078328981726</v>
      </c>
      <c r="H73" s="22">
        <f t="shared" si="4"/>
        <v>9395.8333333333339</v>
      </c>
    </row>
    <row r="74" spans="1:9" x14ac:dyDescent="0.2">
      <c r="B74" s="1" t="s">
        <v>20</v>
      </c>
      <c r="C74" s="94"/>
      <c r="F74" s="94"/>
      <c r="G74" s="582"/>
      <c r="H74" s="582"/>
      <c r="I74" s="1" t="s">
        <v>300</v>
      </c>
    </row>
    <row r="75" spans="1:9" x14ac:dyDescent="0.2">
      <c r="B75" s="1" t="s">
        <v>21</v>
      </c>
      <c r="C75" s="1">
        <v>71</v>
      </c>
      <c r="D75" s="1">
        <v>228</v>
      </c>
      <c r="E75" s="1">
        <v>1214</v>
      </c>
      <c r="F75" s="1">
        <v>791</v>
      </c>
      <c r="G75" s="22">
        <f t="shared" si="3"/>
        <v>5324.5614035087719</v>
      </c>
      <c r="H75" s="22">
        <f t="shared" si="4"/>
        <v>11140.845070422536</v>
      </c>
    </row>
    <row r="76" spans="1:9" x14ac:dyDescent="0.2">
      <c r="B76" s="1" t="s">
        <v>22</v>
      </c>
      <c r="G76" s="22"/>
      <c r="H76" s="22"/>
    </row>
    <row r="77" spans="1:9" x14ac:dyDescent="0.2">
      <c r="B77" s="1" t="s">
        <v>23</v>
      </c>
      <c r="C77" s="1">
        <v>717</v>
      </c>
      <c r="D77" s="1">
        <v>2335</v>
      </c>
      <c r="E77" s="1">
        <v>10907</v>
      </c>
      <c r="F77" s="1">
        <v>6535</v>
      </c>
      <c r="G77" s="22">
        <f t="shared" si="3"/>
        <v>4671.0920770877947</v>
      </c>
      <c r="H77" s="22">
        <f t="shared" si="4"/>
        <v>9114.3654114365418</v>
      </c>
    </row>
    <row r="78" spans="1:9" x14ac:dyDescent="0.2">
      <c r="A78" s="1">
        <v>2012</v>
      </c>
      <c r="B78" s="1" t="s">
        <v>8</v>
      </c>
      <c r="E78" s="1">
        <v>606</v>
      </c>
      <c r="F78" s="1">
        <v>278</v>
      </c>
      <c r="G78" s="22"/>
      <c r="H78" s="22"/>
    </row>
    <row r="79" spans="1:9" x14ac:dyDescent="0.2">
      <c r="B79" s="1" t="s">
        <v>9</v>
      </c>
      <c r="C79" s="1">
        <v>69</v>
      </c>
      <c r="D79" s="1">
        <v>209</v>
      </c>
      <c r="E79" s="1">
        <v>1053</v>
      </c>
      <c r="F79" s="1">
        <v>517</v>
      </c>
      <c r="G79" s="22">
        <f t="shared" si="3"/>
        <v>5038.2775119617227</v>
      </c>
      <c r="H79" s="22">
        <f t="shared" si="4"/>
        <v>7492.753623188406</v>
      </c>
    </row>
    <row r="80" spans="1:9" x14ac:dyDescent="0.2">
      <c r="B80" s="1" t="s">
        <v>10</v>
      </c>
      <c r="C80" s="1">
        <v>223</v>
      </c>
      <c r="D80" s="1">
        <v>468</v>
      </c>
      <c r="E80" s="1">
        <v>2290</v>
      </c>
      <c r="F80" s="1">
        <v>1974</v>
      </c>
      <c r="G80" s="22">
        <f t="shared" si="3"/>
        <v>4893.1623931623935</v>
      </c>
      <c r="H80" s="22">
        <f t="shared" si="4"/>
        <v>8852.0179372197308</v>
      </c>
    </row>
    <row r="81" spans="1:10" ht="22.5" x14ac:dyDescent="0.3">
      <c r="B81" s="1" t="s">
        <v>11</v>
      </c>
      <c r="E81" s="1">
        <v>1018</v>
      </c>
      <c r="F81" s="1">
        <v>310</v>
      </c>
      <c r="G81" s="22"/>
      <c r="H81" s="22"/>
      <c r="J81" s="583" t="s">
        <v>313</v>
      </c>
    </row>
    <row r="82" spans="1:10" x14ac:dyDescent="0.2">
      <c r="B82" s="1" t="s">
        <v>12</v>
      </c>
      <c r="C82" s="1">
        <v>42</v>
      </c>
      <c r="D82" s="1">
        <v>111</v>
      </c>
      <c r="E82" s="1">
        <v>532</v>
      </c>
      <c r="F82" s="1">
        <v>360</v>
      </c>
      <c r="G82" s="22">
        <f t="shared" si="3"/>
        <v>4792.7927927927931</v>
      </c>
      <c r="H82" s="22">
        <f t="shared" si="4"/>
        <v>8571.4285714285706</v>
      </c>
    </row>
    <row r="83" spans="1:10" x14ac:dyDescent="0.2">
      <c r="B83" s="1" t="s">
        <v>13</v>
      </c>
      <c r="C83" s="1">
        <v>128</v>
      </c>
      <c r="D83" s="1">
        <v>297</v>
      </c>
      <c r="E83" s="1">
        <v>1449</v>
      </c>
      <c r="F83" s="1">
        <v>931</v>
      </c>
      <c r="G83" s="22">
        <f t="shared" si="3"/>
        <v>4878.787878787879</v>
      </c>
      <c r="H83" s="22">
        <f t="shared" si="4"/>
        <v>7273.4375</v>
      </c>
    </row>
    <row r="84" spans="1:10" x14ac:dyDescent="0.2">
      <c r="B84" s="1" t="s">
        <v>14</v>
      </c>
      <c r="C84" s="1">
        <v>480</v>
      </c>
      <c r="D84" s="1">
        <v>573</v>
      </c>
      <c r="E84" s="1">
        <v>2846</v>
      </c>
      <c r="F84" s="1">
        <v>4108</v>
      </c>
      <c r="G84" s="22">
        <f t="shared" si="3"/>
        <v>4966.8411867364748</v>
      </c>
      <c r="H84" s="22">
        <f t="shared" si="4"/>
        <v>8558.3333333333339</v>
      </c>
    </row>
    <row r="85" spans="1:10" x14ac:dyDescent="0.2">
      <c r="B85" s="1" t="s">
        <v>15</v>
      </c>
      <c r="E85" s="1">
        <v>690</v>
      </c>
      <c r="F85" s="1">
        <v>191</v>
      </c>
      <c r="G85" s="22"/>
      <c r="H85" s="22"/>
    </row>
    <row r="86" spans="1:10" x14ac:dyDescent="0.2">
      <c r="B86" s="1" t="s">
        <v>16</v>
      </c>
      <c r="E86" s="1">
        <v>685</v>
      </c>
      <c r="F86" s="1">
        <v>129</v>
      </c>
      <c r="G86" s="22"/>
      <c r="H86" s="22"/>
    </row>
    <row r="87" spans="1:10" x14ac:dyDescent="0.2">
      <c r="B87" s="1" t="s">
        <v>17</v>
      </c>
      <c r="C87" s="1">
        <v>159</v>
      </c>
      <c r="D87" s="1">
        <v>292</v>
      </c>
      <c r="E87" s="1">
        <v>755</v>
      </c>
      <c r="F87" s="1">
        <v>1531</v>
      </c>
      <c r="G87" s="22">
        <f t="shared" si="3"/>
        <v>2585.6164383561645</v>
      </c>
      <c r="H87" s="22">
        <f t="shared" si="4"/>
        <v>9628.9308176100621</v>
      </c>
    </row>
    <row r="88" spans="1:10" x14ac:dyDescent="0.2">
      <c r="B88" s="1" t="s">
        <v>18</v>
      </c>
      <c r="C88" s="1">
        <v>25</v>
      </c>
      <c r="D88" s="1">
        <v>98</v>
      </c>
      <c r="E88" s="1">
        <v>369</v>
      </c>
      <c r="F88" s="1">
        <v>322</v>
      </c>
      <c r="G88" s="22">
        <f t="shared" si="3"/>
        <v>3765.3061224489797</v>
      </c>
      <c r="H88" s="22">
        <f t="shared" si="4"/>
        <v>12880</v>
      </c>
    </row>
    <row r="89" spans="1:10" x14ac:dyDescent="0.2">
      <c r="B89" s="1" t="s">
        <v>19</v>
      </c>
      <c r="C89" s="1">
        <v>147</v>
      </c>
      <c r="D89" s="1">
        <v>378</v>
      </c>
      <c r="E89" s="1">
        <v>1917</v>
      </c>
      <c r="F89" s="1">
        <v>1279</v>
      </c>
      <c r="G89" s="22">
        <f t="shared" si="3"/>
        <v>5071.4285714285716</v>
      </c>
      <c r="H89" s="22">
        <f t="shared" si="4"/>
        <v>8700.6802721088443</v>
      </c>
    </row>
    <row r="90" spans="1:10" x14ac:dyDescent="0.2">
      <c r="B90" s="1" t="s">
        <v>20</v>
      </c>
      <c r="E90" s="1">
        <v>362</v>
      </c>
      <c r="F90" s="1">
        <v>15</v>
      </c>
      <c r="G90" s="22"/>
      <c r="H90" s="22"/>
    </row>
    <row r="91" spans="1:10" x14ac:dyDescent="0.2">
      <c r="B91" s="1" t="s">
        <v>21</v>
      </c>
      <c r="C91" s="1">
        <v>75</v>
      </c>
      <c r="D91" s="1">
        <v>224</v>
      </c>
      <c r="E91" s="1">
        <v>1457</v>
      </c>
      <c r="F91" s="1">
        <v>901</v>
      </c>
      <c r="G91" s="22">
        <f t="shared" si="3"/>
        <v>6504.4642857142853</v>
      </c>
      <c r="H91" s="22">
        <f t="shared" si="4"/>
        <v>12013.333333333334</v>
      </c>
    </row>
    <row r="92" spans="1:10" x14ac:dyDescent="0.2">
      <c r="B92" s="1" t="s">
        <v>22</v>
      </c>
      <c r="E92" s="1">
        <v>631</v>
      </c>
      <c r="F92" s="1">
        <v>337</v>
      </c>
      <c r="G92" s="22"/>
      <c r="H92" s="22"/>
    </row>
    <row r="93" spans="1:10" x14ac:dyDescent="0.2">
      <c r="B93" s="1" t="s">
        <v>23</v>
      </c>
      <c r="C93" s="1">
        <v>726</v>
      </c>
      <c r="D93" s="1">
        <v>2263</v>
      </c>
      <c r="E93" s="1">
        <v>11088</v>
      </c>
      <c r="F93" s="1">
        <v>6642</v>
      </c>
      <c r="G93" s="22">
        <f t="shared" si="3"/>
        <v>4899.6906760936808</v>
      </c>
      <c r="H93" s="22">
        <f t="shared" si="4"/>
        <v>9148.7603305785124</v>
      </c>
    </row>
    <row r="94" spans="1:10" x14ac:dyDescent="0.2">
      <c r="A94" s="1">
        <v>2011</v>
      </c>
      <c r="B94" s="1" t="s">
        <v>8</v>
      </c>
      <c r="E94" s="1">
        <v>500</v>
      </c>
      <c r="F94" s="1">
        <v>237</v>
      </c>
      <c r="G94" s="22"/>
      <c r="H94" s="22"/>
    </row>
    <row r="95" spans="1:10" x14ac:dyDescent="0.2">
      <c r="B95" s="1" t="s">
        <v>9</v>
      </c>
      <c r="C95" s="1">
        <v>69</v>
      </c>
      <c r="D95" s="1">
        <v>205</v>
      </c>
      <c r="E95" s="1">
        <v>1180</v>
      </c>
      <c r="F95" s="1">
        <v>474</v>
      </c>
      <c r="G95" s="22">
        <f t="shared" si="3"/>
        <v>5756.0975609756097</v>
      </c>
      <c r="H95" s="22">
        <f t="shared" si="4"/>
        <v>6869.565217391304</v>
      </c>
    </row>
    <row r="96" spans="1:10" x14ac:dyDescent="0.2">
      <c r="B96" s="1" t="s">
        <v>10</v>
      </c>
      <c r="C96" s="1">
        <v>226</v>
      </c>
      <c r="D96" s="1">
        <v>452</v>
      </c>
      <c r="E96" s="1">
        <v>2351</v>
      </c>
      <c r="F96" s="1">
        <v>1799</v>
      </c>
      <c r="G96" s="22">
        <f t="shared" si="3"/>
        <v>5201.3274336283184</v>
      </c>
      <c r="H96" s="22">
        <f t="shared" si="4"/>
        <v>7960.1769911504425</v>
      </c>
    </row>
    <row r="97" spans="1:9" x14ac:dyDescent="0.2">
      <c r="B97" s="1" t="s">
        <v>11</v>
      </c>
      <c r="E97" s="1">
        <v>946</v>
      </c>
      <c r="F97" s="1">
        <v>251</v>
      </c>
      <c r="G97" s="22"/>
      <c r="H97" s="22"/>
    </row>
    <row r="98" spans="1:9" x14ac:dyDescent="0.2">
      <c r="B98" s="1" t="s">
        <v>12</v>
      </c>
      <c r="C98" s="1">
        <v>38</v>
      </c>
      <c r="D98" s="1">
        <v>113</v>
      </c>
      <c r="E98" s="1">
        <v>408</v>
      </c>
      <c r="F98" s="1">
        <v>261</v>
      </c>
      <c r="G98" s="22">
        <f t="shared" si="3"/>
        <v>3610.6194690265488</v>
      </c>
      <c r="H98" s="22">
        <f t="shared" si="4"/>
        <v>6868.4210526315792</v>
      </c>
    </row>
    <row r="99" spans="1:9" x14ac:dyDescent="0.2">
      <c r="B99" s="1" t="s">
        <v>13</v>
      </c>
      <c r="C99" s="1">
        <v>136</v>
      </c>
      <c r="D99" s="1">
        <v>286</v>
      </c>
      <c r="E99" s="1">
        <v>1303</v>
      </c>
      <c r="F99" s="1">
        <v>901</v>
      </c>
      <c r="G99" s="22">
        <f t="shared" si="3"/>
        <v>4555.9440559440563</v>
      </c>
      <c r="H99" s="22">
        <f t="shared" si="4"/>
        <v>6625</v>
      </c>
    </row>
    <row r="100" spans="1:9" x14ac:dyDescent="0.2">
      <c r="B100" s="1" t="s">
        <v>14</v>
      </c>
      <c r="C100" s="1">
        <v>448</v>
      </c>
      <c r="D100" s="1">
        <v>551</v>
      </c>
      <c r="E100" s="1">
        <v>2835</v>
      </c>
      <c r="F100" s="1">
        <v>3712</v>
      </c>
      <c r="G100" s="22">
        <f t="shared" si="3"/>
        <v>5145.1905626134303</v>
      </c>
      <c r="H100" s="22">
        <f t="shared" si="4"/>
        <v>8285.7142857142862</v>
      </c>
    </row>
    <row r="101" spans="1:9" x14ac:dyDescent="0.2">
      <c r="B101" s="1" t="s">
        <v>15</v>
      </c>
      <c r="E101" s="1">
        <v>628</v>
      </c>
      <c r="F101" s="1">
        <v>143</v>
      </c>
      <c r="G101" s="22"/>
      <c r="H101" s="22"/>
    </row>
    <row r="102" spans="1:9" x14ac:dyDescent="0.2">
      <c r="B102" s="1" t="s">
        <v>16</v>
      </c>
      <c r="E102" s="1">
        <v>688</v>
      </c>
      <c r="F102" s="1">
        <v>120</v>
      </c>
      <c r="G102" s="22"/>
      <c r="H102" s="22"/>
    </row>
    <row r="103" spans="1:9" x14ac:dyDescent="0.2">
      <c r="B103" s="1" t="s">
        <v>17</v>
      </c>
      <c r="C103" s="1">
        <v>155</v>
      </c>
      <c r="D103" s="1">
        <v>282</v>
      </c>
      <c r="E103" s="1">
        <v>1050</v>
      </c>
      <c r="F103" s="1">
        <v>1808</v>
      </c>
      <c r="G103" s="22">
        <f t="shared" si="3"/>
        <v>3723.4042553191489</v>
      </c>
      <c r="H103" s="22">
        <f t="shared" si="4"/>
        <v>11664.516129032258</v>
      </c>
    </row>
    <row r="104" spans="1:9" x14ac:dyDescent="0.2">
      <c r="B104" s="1" t="s">
        <v>18</v>
      </c>
      <c r="C104" s="1">
        <v>26</v>
      </c>
      <c r="D104" s="1">
        <v>93</v>
      </c>
      <c r="E104" s="1">
        <v>265</v>
      </c>
      <c r="F104" s="1">
        <v>266</v>
      </c>
      <c r="G104" s="22">
        <f t="shared" si="3"/>
        <v>2849.4623655913979</v>
      </c>
      <c r="H104" s="22">
        <f t="shared" si="4"/>
        <v>10230.76923076923</v>
      </c>
    </row>
    <row r="105" spans="1:9" x14ac:dyDescent="0.2">
      <c r="B105" s="1" t="s">
        <v>19</v>
      </c>
      <c r="C105" s="1">
        <v>135</v>
      </c>
      <c r="D105" s="1">
        <v>378</v>
      </c>
      <c r="E105" s="1">
        <v>1683</v>
      </c>
      <c r="F105" s="1">
        <v>1122</v>
      </c>
      <c r="G105" s="22">
        <f t="shared" si="3"/>
        <v>4452.3809523809523</v>
      </c>
      <c r="H105" s="22">
        <f t="shared" si="4"/>
        <v>8311.1111111111113</v>
      </c>
    </row>
    <row r="106" spans="1:9" x14ac:dyDescent="0.2">
      <c r="B106" s="1" t="s">
        <v>20</v>
      </c>
      <c r="C106" s="94"/>
      <c r="E106" s="1">
        <v>279</v>
      </c>
      <c r="F106" s="94">
        <v>0</v>
      </c>
      <c r="G106" s="582"/>
      <c r="H106" s="582"/>
      <c r="I106" s="1" t="s">
        <v>301</v>
      </c>
    </row>
    <row r="107" spans="1:9" x14ac:dyDescent="0.2">
      <c r="B107" s="1" t="s">
        <v>21</v>
      </c>
      <c r="C107" s="1">
        <v>83</v>
      </c>
      <c r="D107" s="1">
        <v>220</v>
      </c>
      <c r="E107" s="1">
        <v>1110</v>
      </c>
      <c r="F107" s="1">
        <v>785</v>
      </c>
      <c r="G107" s="22">
        <f t="shared" si="3"/>
        <v>5045.454545454545</v>
      </c>
      <c r="H107" s="22">
        <f t="shared" si="4"/>
        <v>9457.8313253012057</v>
      </c>
    </row>
    <row r="108" spans="1:9" x14ac:dyDescent="0.2">
      <c r="B108" s="1" t="s">
        <v>22</v>
      </c>
      <c r="E108" s="1">
        <v>688</v>
      </c>
      <c r="F108" s="1">
        <v>308</v>
      </c>
      <c r="G108" s="22"/>
      <c r="H108" s="22"/>
    </row>
    <row r="109" spans="1:9" x14ac:dyDescent="0.2">
      <c r="B109" s="1" t="s">
        <v>23</v>
      </c>
      <c r="C109" s="1">
        <v>714</v>
      </c>
      <c r="D109" s="1">
        <v>2163</v>
      </c>
      <c r="E109" s="1">
        <v>10990</v>
      </c>
      <c r="F109" s="1">
        <v>6332</v>
      </c>
      <c r="G109" s="22">
        <f t="shared" si="3"/>
        <v>5080.9061488673142</v>
      </c>
      <c r="H109" s="22">
        <f t="shared" si="4"/>
        <v>8868.347338935575</v>
      </c>
    </row>
    <row r="110" spans="1:9" x14ac:dyDescent="0.2">
      <c r="A110" s="1">
        <v>2010</v>
      </c>
      <c r="B110" s="1" t="s">
        <v>8</v>
      </c>
      <c r="E110" s="1">
        <v>497</v>
      </c>
      <c r="F110" s="1">
        <v>242</v>
      </c>
      <c r="G110" s="22"/>
      <c r="H110" s="22"/>
    </row>
    <row r="111" spans="1:9" x14ac:dyDescent="0.2">
      <c r="B111" s="1" t="s">
        <v>9</v>
      </c>
      <c r="C111" s="1">
        <v>63</v>
      </c>
      <c r="D111" s="1">
        <v>195</v>
      </c>
      <c r="E111" s="1">
        <v>922</v>
      </c>
      <c r="F111" s="1">
        <v>437</v>
      </c>
      <c r="G111" s="22">
        <f t="shared" si="3"/>
        <v>4728.2051282051279</v>
      </c>
      <c r="H111" s="22">
        <f t="shared" si="4"/>
        <v>6936.5079365079364</v>
      </c>
    </row>
    <row r="112" spans="1:9" x14ac:dyDescent="0.2">
      <c r="B112" s="1" t="s">
        <v>10</v>
      </c>
      <c r="C112" s="1">
        <v>220</v>
      </c>
      <c r="D112" s="1">
        <v>455</v>
      </c>
      <c r="E112" s="1">
        <v>2139</v>
      </c>
      <c r="F112" s="1">
        <v>1674</v>
      </c>
      <c r="G112" s="22">
        <f t="shared" si="3"/>
        <v>4701.0989010989015</v>
      </c>
      <c r="H112" s="22">
        <f t="shared" si="4"/>
        <v>7609.090909090909</v>
      </c>
    </row>
    <row r="113" spans="1:8" x14ac:dyDescent="0.2">
      <c r="B113" s="1" t="s">
        <v>11</v>
      </c>
      <c r="E113" s="1">
        <v>974</v>
      </c>
      <c r="F113" s="1">
        <v>272</v>
      </c>
      <c r="G113" s="22"/>
      <c r="H113" s="22"/>
    </row>
    <row r="114" spans="1:8" x14ac:dyDescent="0.2">
      <c r="B114" s="1" t="s">
        <v>12</v>
      </c>
      <c r="C114" s="1">
        <v>34</v>
      </c>
      <c r="D114" s="1">
        <v>114</v>
      </c>
      <c r="E114" s="1">
        <v>569</v>
      </c>
      <c r="F114" s="1">
        <v>285</v>
      </c>
      <c r="G114" s="22">
        <f t="shared" si="3"/>
        <v>4991.2280701754389</v>
      </c>
      <c r="H114" s="22">
        <f t="shared" si="4"/>
        <v>8382.3529411764703</v>
      </c>
    </row>
    <row r="115" spans="1:8" x14ac:dyDescent="0.2">
      <c r="B115" s="1" t="s">
        <v>13</v>
      </c>
      <c r="C115" s="1">
        <v>122</v>
      </c>
      <c r="D115" s="1">
        <v>273</v>
      </c>
      <c r="E115" s="1">
        <v>1146</v>
      </c>
      <c r="F115" s="1">
        <v>901</v>
      </c>
      <c r="G115" s="22">
        <f t="shared" si="3"/>
        <v>4197.802197802198</v>
      </c>
      <c r="H115" s="22">
        <f t="shared" si="4"/>
        <v>7385.2459016393441</v>
      </c>
    </row>
    <row r="116" spans="1:8" x14ac:dyDescent="0.2">
      <c r="B116" s="1" t="s">
        <v>14</v>
      </c>
      <c r="C116" s="1">
        <v>450</v>
      </c>
      <c r="D116" s="1">
        <v>523</v>
      </c>
      <c r="E116" s="1">
        <v>2957</v>
      </c>
      <c r="F116" s="1">
        <v>3455</v>
      </c>
      <c r="G116" s="22">
        <f t="shared" si="3"/>
        <v>5653.9196940726579</v>
      </c>
      <c r="H116" s="22">
        <f t="shared" si="4"/>
        <v>7677.7777777777774</v>
      </c>
    </row>
    <row r="117" spans="1:8" x14ac:dyDescent="0.2">
      <c r="B117" s="1" t="s">
        <v>15</v>
      </c>
      <c r="E117" s="1">
        <v>527</v>
      </c>
      <c r="F117" s="1">
        <v>137</v>
      </c>
      <c r="G117" s="22"/>
      <c r="H117" s="22"/>
    </row>
    <row r="118" spans="1:8" x14ac:dyDescent="0.2">
      <c r="B118" s="1" t="s">
        <v>16</v>
      </c>
      <c r="E118" s="1">
        <v>633</v>
      </c>
      <c r="F118" s="1">
        <v>128</v>
      </c>
      <c r="G118" s="22"/>
      <c r="H118" s="22"/>
    </row>
    <row r="119" spans="1:8" x14ac:dyDescent="0.2">
      <c r="B119" s="1" t="s">
        <v>17</v>
      </c>
      <c r="C119" s="1">
        <v>149</v>
      </c>
      <c r="D119" s="1">
        <v>268</v>
      </c>
      <c r="E119" s="1">
        <v>794</v>
      </c>
      <c r="F119" s="1">
        <v>1411</v>
      </c>
      <c r="G119" s="22">
        <f>E119*1000/D119</f>
        <v>2962.686567164179</v>
      </c>
      <c r="H119" s="22">
        <f t="shared" si="4"/>
        <v>9469.79865771812</v>
      </c>
    </row>
    <row r="120" spans="1:8" x14ac:dyDescent="0.2">
      <c r="B120" s="1" t="s">
        <v>18</v>
      </c>
      <c r="C120" s="1">
        <v>30</v>
      </c>
      <c r="D120" s="1">
        <v>86</v>
      </c>
      <c r="E120" s="1">
        <v>205</v>
      </c>
      <c r="F120" s="1">
        <v>238</v>
      </c>
      <c r="G120" s="22">
        <f t="shared" si="3"/>
        <v>2383.7209302325582</v>
      </c>
      <c r="H120" s="22">
        <f t="shared" si="4"/>
        <v>7933.333333333333</v>
      </c>
    </row>
    <row r="121" spans="1:8" x14ac:dyDescent="0.2">
      <c r="B121" s="1" t="s">
        <v>19</v>
      </c>
      <c r="C121" s="1">
        <v>136</v>
      </c>
      <c r="D121" s="1">
        <v>363</v>
      </c>
      <c r="E121" s="1">
        <v>1747</v>
      </c>
      <c r="F121" s="1">
        <v>954</v>
      </c>
      <c r="G121" s="22">
        <f t="shared" si="3"/>
        <v>4812.6721763085397</v>
      </c>
      <c r="H121" s="22">
        <f t="shared" si="4"/>
        <v>7014.7058823529414</v>
      </c>
    </row>
    <row r="122" spans="1:8" x14ac:dyDescent="0.2">
      <c r="B122" s="1" t="s">
        <v>20</v>
      </c>
      <c r="E122" s="1">
        <v>246</v>
      </c>
      <c r="F122" s="1">
        <v>15</v>
      </c>
      <c r="G122" s="22"/>
      <c r="H122" s="22"/>
    </row>
    <row r="123" spans="1:8" x14ac:dyDescent="0.2">
      <c r="B123" s="1" t="s">
        <v>21</v>
      </c>
      <c r="C123" s="1">
        <v>73</v>
      </c>
      <c r="D123" s="1">
        <v>201</v>
      </c>
      <c r="E123" s="1">
        <v>840</v>
      </c>
      <c r="F123" s="1">
        <v>721</v>
      </c>
      <c r="G123" s="22">
        <f t="shared" si="3"/>
        <v>4179.1044776119406</v>
      </c>
      <c r="H123" s="22">
        <f t="shared" si="4"/>
        <v>9876.7123287671238</v>
      </c>
    </row>
    <row r="124" spans="1:8" x14ac:dyDescent="0.2">
      <c r="B124" s="1" t="s">
        <v>22</v>
      </c>
      <c r="E124" s="1">
        <v>543</v>
      </c>
      <c r="F124" s="1">
        <v>305</v>
      </c>
      <c r="G124" s="22"/>
      <c r="H124" s="22"/>
    </row>
    <row r="125" spans="1:8" x14ac:dyDescent="0.2">
      <c r="A125" s="224"/>
      <c r="B125" s="224" t="s">
        <v>23</v>
      </c>
      <c r="C125" s="224">
        <v>711</v>
      </c>
      <c r="D125" s="224">
        <v>2062</v>
      </c>
      <c r="E125" s="224">
        <v>10966</v>
      </c>
      <c r="F125" s="224">
        <v>6426</v>
      </c>
      <c r="G125" s="584">
        <f t="shared" si="3"/>
        <v>5318.1377303588752</v>
      </c>
      <c r="H125" s="584">
        <f t="shared" si="4"/>
        <v>9037.9746835443038</v>
      </c>
    </row>
    <row r="126" spans="1:8" x14ac:dyDescent="0.2">
      <c r="B126" s="24" t="s">
        <v>294</v>
      </c>
      <c r="C126" s="24">
        <f>SUM(C62:C125)</f>
        <v>8142</v>
      </c>
      <c r="D126" s="24">
        <f>SUM(D62:D125)</f>
        <v>19261</v>
      </c>
      <c r="E126" s="24">
        <f>SUM(E62:E125)</f>
        <v>104502</v>
      </c>
      <c r="F126" s="24"/>
      <c r="G126" s="24"/>
      <c r="H126" s="24"/>
    </row>
    <row r="127" spans="1:8" x14ac:dyDescent="0.2">
      <c r="B127" s="24" t="s">
        <v>294</v>
      </c>
      <c r="C127" s="24">
        <v>8529</v>
      </c>
      <c r="D127" s="24">
        <v>21735</v>
      </c>
      <c r="E127" s="24">
        <v>107369</v>
      </c>
      <c r="F127" s="24"/>
      <c r="G127" s="24"/>
      <c r="H127" s="24"/>
    </row>
  </sheetData>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BA367"/>
  <sheetViews>
    <sheetView topLeftCell="A73" zoomScale="70" zoomScaleNormal="70" workbookViewId="0">
      <selection activeCell="U118" sqref="U118"/>
    </sheetView>
  </sheetViews>
  <sheetFormatPr defaultColWidth="8.88671875" defaultRowHeight="15" x14ac:dyDescent="0.2"/>
  <cols>
    <col min="1" max="1" width="3.109375" style="1" customWidth="1"/>
    <col min="2" max="2" width="8.88671875" style="1"/>
    <col min="3" max="3" width="12.6640625" style="1" customWidth="1"/>
    <col min="4" max="4" width="16.88671875" style="1" customWidth="1"/>
    <col min="5" max="5" width="8.88671875" style="1"/>
    <col min="6" max="6" width="10.6640625" style="1" customWidth="1"/>
    <col min="7" max="7" width="10.88671875" style="1" customWidth="1"/>
    <col min="8" max="10" width="8.88671875" style="1"/>
    <col min="11" max="11" width="14.33203125" style="1" customWidth="1"/>
    <col min="12" max="12" width="10.77734375" style="1" customWidth="1"/>
    <col min="13" max="13" width="10.21875" style="1" customWidth="1"/>
    <col min="14" max="14" width="8.88671875" style="1"/>
    <col min="15" max="15" width="13.88671875" style="1" customWidth="1"/>
    <col min="16" max="20" width="8.88671875" style="1"/>
    <col min="21" max="21" width="10.44140625" style="1" bestFit="1" customWidth="1"/>
    <col min="22" max="22" width="13.77734375" style="1" customWidth="1"/>
    <col min="23" max="16384" width="8.88671875" style="1"/>
  </cols>
  <sheetData>
    <row r="10" spans="14:14" x14ac:dyDescent="0.2">
      <c r="N10" s="1">
        <f>52962-10782</f>
        <v>42180</v>
      </c>
    </row>
    <row r="21" spans="2:53" ht="16.5" thickBot="1" x14ac:dyDescent="0.3">
      <c r="C21" s="234" t="s">
        <v>281</v>
      </c>
    </row>
    <row r="23" spans="2:53" x14ac:dyDescent="0.2">
      <c r="AI23" s="1" t="s">
        <v>146</v>
      </c>
      <c r="AK23" s="1" t="s">
        <v>8</v>
      </c>
      <c r="AL23" s="1" t="s">
        <v>9</v>
      </c>
      <c r="AM23" s="1" t="s">
        <v>10</v>
      </c>
      <c r="AN23" s="1" t="s">
        <v>11</v>
      </c>
      <c r="AO23" s="1" t="s">
        <v>12</v>
      </c>
      <c r="AP23" s="1" t="s">
        <v>13</v>
      </c>
      <c r="AQ23" s="1" t="s">
        <v>14</v>
      </c>
      <c r="AR23" s="1" t="s">
        <v>15</v>
      </c>
      <c r="AS23" s="1" t="s">
        <v>16</v>
      </c>
      <c r="AT23" s="1" t="s">
        <v>17</v>
      </c>
      <c r="AU23" s="1" t="s">
        <v>18</v>
      </c>
      <c r="AV23" s="1" t="s">
        <v>19</v>
      </c>
      <c r="AW23" s="1" t="s">
        <v>20</v>
      </c>
      <c r="AX23" s="1" t="s">
        <v>21</v>
      </c>
      <c r="AY23" s="1" t="s">
        <v>22</v>
      </c>
      <c r="AZ23" s="1" t="s">
        <v>23</v>
      </c>
      <c r="BA23" s="1" t="s">
        <v>24</v>
      </c>
    </row>
    <row r="24" spans="2:53" x14ac:dyDescent="0.2">
      <c r="AH24" s="1">
        <v>2013</v>
      </c>
      <c r="AI24" s="1" t="s">
        <v>147</v>
      </c>
      <c r="AK24" s="1">
        <v>43</v>
      </c>
      <c r="AL24" s="1">
        <v>93</v>
      </c>
      <c r="AM24" s="1">
        <v>316</v>
      </c>
      <c r="AN24" s="1">
        <v>58</v>
      </c>
      <c r="AO24" s="1">
        <v>53</v>
      </c>
      <c r="AP24" s="1">
        <v>196</v>
      </c>
      <c r="AQ24" s="1">
        <v>604</v>
      </c>
      <c r="AR24" s="1">
        <v>22</v>
      </c>
      <c r="AS24" s="1">
        <v>26</v>
      </c>
      <c r="AT24" s="1">
        <v>262</v>
      </c>
      <c r="AU24" s="1">
        <v>55</v>
      </c>
      <c r="AV24" s="1">
        <v>220</v>
      </c>
      <c r="AW24" s="1">
        <v>3</v>
      </c>
      <c r="AX24" s="1">
        <v>119</v>
      </c>
      <c r="AY24" s="1">
        <v>50</v>
      </c>
      <c r="AZ24" s="1">
        <v>1086</v>
      </c>
      <c r="BA24" s="1">
        <v>3206</v>
      </c>
    </row>
    <row r="25" spans="2:53" ht="16.5" thickBot="1" x14ac:dyDescent="0.3">
      <c r="B25" s="282"/>
      <c r="C25" s="282" t="s">
        <v>148</v>
      </c>
      <c r="D25" s="282"/>
      <c r="E25" s="282" t="s">
        <v>8</v>
      </c>
      <c r="F25" s="282" t="s">
        <v>9</v>
      </c>
      <c r="G25" s="282" t="s">
        <v>10</v>
      </c>
      <c r="H25" s="282" t="s">
        <v>11</v>
      </c>
      <c r="I25" s="282" t="s">
        <v>12</v>
      </c>
      <c r="J25" s="282" t="s">
        <v>13</v>
      </c>
      <c r="K25" s="282" t="s">
        <v>14</v>
      </c>
      <c r="L25" s="282" t="s">
        <v>15</v>
      </c>
      <c r="M25" s="282" t="s">
        <v>16</v>
      </c>
      <c r="N25" s="282" t="s">
        <v>17</v>
      </c>
      <c r="O25" s="283" t="s">
        <v>18</v>
      </c>
      <c r="P25" s="282" t="s">
        <v>19</v>
      </c>
      <c r="Q25" s="282" t="s">
        <v>20</v>
      </c>
      <c r="R25" s="282" t="s">
        <v>21</v>
      </c>
      <c r="S25" s="282" t="s">
        <v>22</v>
      </c>
      <c r="T25" s="282" t="s">
        <v>23</v>
      </c>
      <c r="U25" s="282" t="s">
        <v>24</v>
      </c>
      <c r="AH25" s="1">
        <v>2012</v>
      </c>
      <c r="AI25" s="1" t="s">
        <v>147</v>
      </c>
      <c r="AK25" s="1">
        <v>42</v>
      </c>
      <c r="AL25" s="1">
        <v>84</v>
      </c>
      <c r="AM25" s="1">
        <v>313</v>
      </c>
      <c r="AN25" s="1">
        <v>63</v>
      </c>
      <c r="AO25" s="1">
        <v>52</v>
      </c>
      <c r="AP25" s="1">
        <v>181</v>
      </c>
      <c r="AQ25" s="1">
        <v>581</v>
      </c>
      <c r="AR25" s="1">
        <v>24</v>
      </c>
      <c r="AS25" s="1">
        <v>26</v>
      </c>
      <c r="AT25" s="1">
        <v>273</v>
      </c>
      <c r="AU25" s="1">
        <v>48</v>
      </c>
      <c r="AV25" s="1">
        <v>214</v>
      </c>
      <c r="AW25" s="1">
        <v>8</v>
      </c>
      <c r="AX25" s="1">
        <v>109</v>
      </c>
      <c r="AY25" s="1">
        <v>45</v>
      </c>
      <c r="AZ25" s="1">
        <v>1102</v>
      </c>
      <c r="BA25" s="1">
        <v>3165</v>
      </c>
    </row>
    <row r="26" spans="2:53" ht="15.75" x14ac:dyDescent="0.25">
      <c r="B26" s="23">
        <v>2013</v>
      </c>
      <c r="C26" s="5"/>
      <c r="D26" s="5"/>
      <c r="E26" s="1">
        <v>731</v>
      </c>
      <c r="F26" s="1">
        <v>1189</v>
      </c>
      <c r="G26" s="1">
        <v>3593</v>
      </c>
      <c r="H26" s="1">
        <v>977</v>
      </c>
      <c r="I26" s="1">
        <v>759</v>
      </c>
      <c r="J26" s="1">
        <v>2196</v>
      </c>
      <c r="K26" s="1">
        <v>5921</v>
      </c>
      <c r="L26" s="1">
        <v>537</v>
      </c>
      <c r="M26" s="1">
        <v>504</v>
      </c>
      <c r="N26" s="1">
        <v>3367</v>
      </c>
      <c r="O26" s="1">
        <v>770</v>
      </c>
      <c r="P26" s="1">
        <v>2415</v>
      </c>
      <c r="Q26" s="1">
        <v>156</v>
      </c>
      <c r="R26" s="1">
        <v>1401</v>
      </c>
      <c r="S26" s="1">
        <v>680</v>
      </c>
      <c r="T26" s="1">
        <v>9865</v>
      </c>
      <c r="U26" s="1">
        <v>35061</v>
      </c>
      <c r="AH26" s="1">
        <v>2011</v>
      </c>
      <c r="AI26" s="1" t="s">
        <v>147</v>
      </c>
      <c r="AK26" s="1">
        <v>46</v>
      </c>
      <c r="AL26" s="1">
        <v>89</v>
      </c>
      <c r="AM26" s="1">
        <v>318</v>
      </c>
      <c r="AN26" s="1">
        <v>65</v>
      </c>
      <c r="AO26" s="1">
        <v>50</v>
      </c>
      <c r="AP26" s="1">
        <v>173</v>
      </c>
      <c r="AQ26" s="1">
        <v>565</v>
      </c>
      <c r="AR26" s="1">
        <v>33</v>
      </c>
      <c r="AS26" s="1">
        <v>30</v>
      </c>
      <c r="AT26" s="1">
        <v>275</v>
      </c>
      <c r="AU26" s="1">
        <v>51</v>
      </c>
      <c r="AV26" s="1">
        <v>208</v>
      </c>
      <c r="AW26" s="1">
        <v>8</v>
      </c>
      <c r="AX26" s="1">
        <v>103</v>
      </c>
      <c r="AY26" s="1">
        <v>44</v>
      </c>
      <c r="AZ26" s="1">
        <v>1080</v>
      </c>
      <c r="BA26" s="1">
        <v>3138</v>
      </c>
    </row>
    <row r="27" spans="2:53" ht="15.75" x14ac:dyDescent="0.25">
      <c r="B27" s="23">
        <v>2012</v>
      </c>
      <c r="C27" s="5"/>
      <c r="D27" s="5"/>
      <c r="E27" s="1">
        <v>774</v>
      </c>
      <c r="F27" s="1">
        <v>1193</v>
      </c>
      <c r="G27" s="1">
        <v>3511</v>
      </c>
      <c r="H27" s="1">
        <v>1032</v>
      </c>
      <c r="I27" s="1">
        <v>676</v>
      </c>
      <c r="J27" s="1">
        <v>2079</v>
      </c>
      <c r="K27" s="1">
        <v>5832</v>
      </c>
      <c r="L27" s="1">
        <v>625</v>
      </c>
      <c r="M27" s="1">
        <v>552</v>
      </c>
      <c r="N27" s="1">
        <v>3130</v>
      </c>
      <c r="O27" s="1">
        <v>713</v>
      </c>
      <c r="P27" s="1">
        <v>2489</v>
      </c>
      <c r="Q27" s="1">
        <v>189</v>
      </c>
      <c r="R27" s="1">
        <v>1336</v>
      </c>
      <c r="S27" s="1">
        <v>690</v>
      </c>
      <c r="T27" s="1">
        <v>9375</v>
      </c>
      <c r="U27" s="1">
        <v>34196</v>
      </c>
      <c r="AH27" s="1">
        <v>2010</v>
      </c>
      <c r="AI27" s="1" t="s">
        <v>147</v>
      </c>
      <c r="AK27" s="1">
        <v>48</v>
      </c>
      <c r="AL27" s="1">
        <v>93</v>
      </c>
      <c r="AM27" s="1">
        <v>309</v>
      </c>
      <c r="AN27" s="1">
        <v>65</v>
      </c>
      <c r="AO27" s="1">
        <v>42</v>
      </c>
      <c r="AP27" s="1">
        <v>172</v>
      </c>
      <c r="AQ27" s="1">
        <v>541</v>
      </c>
      <c r="AR27" s="1">
        <v>29</v>
      </c>
      <c r="AS27" s="1">
        <v>28</v>
      </c>
      <c r="AT27" s="1">
        <v>284</v>
      </c>
      <c r="AU27" s="1">
        <v>50</v>
      </c>
      <c r="AV27" s="1">
        <v>217</v>
      </c>
      <c r="AW27" s="1">
        <v>14</v>
      </c>
      <c r="AX27" s="1">
        <v>113</v>
      </c>
      <c r="AY27" s="1">
        <v>49</v>
      </c>
      <c r="AZ27" s="1">
        <v>1117</v>
      </c>
      <c r="BA27" s="1">
        <v>3171</v>
      </c>
    </row>
    <row r="28" spans="2:53" ht="15.75" x14ac:dyDescent="0.25">
      <c r="B28" s="23">
        <v>2011</v>
      </c>
      <c r="C28" s="5"/>
      <c r="D28" s="5"/>
      <c r="E28" s="1">
        <v>748</v>
      </c>
      <c r="F28" s="1">
        <v>1227</v>
      </c>
      <c r="G28" s="1">
        <v>3512</v>
      </c>
      <c r="H28" s="1">
        <v>952</v>
      </c>
      <c r="I28" s="1">
        <v>721</v>
      </c>
      <c r="J28" s="1">
        <v>2000</v>
      </c>
      <c r="K28" s="1">
        <v>5299</v>
      </c>
      <c r="L28" s="1">
        <v>581</v>
      </c>
      <c r="M28" s="1">
        <v>470</v>
      </c>
      <c r="N28" s="1">
        <v>3014</v>
      </c>
      <c r="O28" s="1">
        <v>616</v>
      </c>
      <c r="P28" s="1">
        <v>2350</v>
      </c>
      <c r="Q28" s="1">
        <v>217</v>
      </c>
      <c r="R28" s="1">
        <v>1375</v>
      </c>
      <c r="S28" s="1">
        <v>685</v>
      </c>
      <c r="T28" s="1">
        <v>9188</v>
      </c>
      <c r="U28" s="1">
        <v>32955</v>
      </c>
    </row>
    <row r="29" spans="2:53" ht="15.75" x14ac:dyDescent="0.25">
      <c r="B29" s="23">
        <v>2010</v>
      </c>
      <c r="C29" s="5"/>
      <c r="D29" s="5"/>
      <c r="E29" s="1">
        <v>759</v>
      </c>
      <c r="F29" s="1">
        <v>1231</v>
      </c>
      <c r="G29" s="1">
        <v>3435</v>
      </c>
      <c r="H29" s="1">
        <v>935</v>
      </c>
      <c r="I29" s="1">
        <v>684</v>
      </c>
      <c r="J29" s="1">
        <v>1917</v>
      </c>
      <c r="K29" s="1">
        <v>4924</v>
      </c>
      <c r="L29" s="1">
        <v>551</v>
      </c>
      <c r="M29" s="1">
        <v>495</v>
      </c>
      <c r="N29" s="1">
        <v>2855</v>
      </c>
      <c r="O29" s="1">
        <v>666</v>
      </c>
      <c r="P29" s="1">
        <v>2274</v>
      </c>
      <c r="Q29" s="1">
        <v>294</v>
      </c>
      <c r="R29" s="1">
        <v>1424</v>
      </c>
      <c r="S29" s="1">
        <v>657</v>
      </c>
      <c r="T29" s="1">
        <v>9095</v>
      </c>
      <c r="U29" s="1">
        <v>32196</v>
      </c>
    </row>
    <row r="30" spans="2:53" ht="15.75" x14ac:dyDescent="0.25">
      <c r="B30" s="5"/>
      <c r="C30" s="5"/>
      <c r="D30" s="5"/>
    </row>
    <row r="31" spans="2:53" ht="15.75" x14ac:dyDescent="0.25">
      <c r="B31" s="5"/>
      <c r="C31" s="5"/>
      <c r="D31" s="5"/>
      <c r="E31" s="23" t="s">
        <v>326</v>
      </c>
      <c r="F31" s="23"/>
      <c r="G31" s="23"/>
      <c r="H31" s="23"/>
      <c r="I31" s="23"/>
      <c r="J31" s="23"/>
      <c r="K31" s="23"/>
      <c r="L31" s="23"/>
      <c r="M31" s="23"/>
      <c r="N31" s="23"/>
      <c r="O31" s="23"/>
      <c r="P31" s="23"/>
      <c r="Q31" s="23"/>
      <c r="R31" s="23"/>
      <c r="S31" s="23"/>
      <c r="T31" s="23"/>
      <c r="U31" s="23"/>
    </row>
    <row r="32" spans="2:53" ht="16.5" thickBot="1" x14ac:dyDescent="0.3">
      <c r="B32" s="282"/>
      <c r="C32" s="282"/>
      <c r="D32" s="282"/>
      <c r="E32" s="282" t="s">
        <v>8</v>
      </c>
      <c r="F32" s="282" t="s">
        <v>9</v>
      </c>
      <c r="G32" s="282" t="s">
        <v>10</v>
      </c>
      <c r="H32" s="282" t="s">
        <v>11</v>
      </c>
      <c r="I32" s="282" t="s">
        <v>12</v>
      </c>
      <c r="J32" s="282" t="s">
        <v>13</v>
      </c>
      <c r="K32" s="282" t="s">
        <v>14</v>
      </c>
      <c r="L32" s="282" t="s">
        <v>15</v>
      </c>
      <c r="M32" s="282" t="s">
        <v>16</v>
      </c>
      <c r="N32" s="282" t="s">
        <v>17</v>
      </c>
      <c r="O32" s="283" t="s">
        <v>18</v>
      </c>
      <c r="P32" s="282" t="s">
        <v>19</v>
      </c>
      <c r="Q32" s="282" t="s">
        <v>20</v>
      </c>
      <c r="R32" s="282" t="s">
        <v>21</v>
      </c>
      <c r="S32" s="282" t="s">
        <v>22</v>
      </c>
      <c r="T32" s="282" t="s">
        <v>23</v>
      </c>
      <c r="U32" s="282" t="s">
        <v>24</v>
      </c>
    </row>
    <row r="33" spans="2:21" ht="15.75" x14ac:dyDescent="0.25">
      <c r="B33" s="5">
        <v>2013</v>
      </c>
      <c r="C33" s="5" t="s">
        <v>150</v>
      </c>
      <c r="D33" s="5">
        <v>42180</v>
      </c>
      <c r="E33" s="284"/>
      <c r="F33" s="285">
        <f>7/12</f>
        <v>0.58333333333333337</v>
      </c>
      <c r="G33" s="285">
        <v>5</v>
      </c>
      <c r="H33" s="285"/>
      <c r="I33" s="285">
        <v>2</v>
      </c>
      <c r="J33" s="285">
        <v>3</v>
      </c>
      <c r="K33" s="285">
        <f>2*7/12+5*1/12</f>
        <v>1.5833333333333335</v>
      </c>
      <c r="L33" s="285"/>
      <c r="M33" s="285"/>
      <c r="N33" s="285">
        <v>1</v>
      </c>
      <c r="O33" s="285"/>
      <c r="P33" s="285">
        <f>7/12</f>
        <v>0.58333333333333337</v>
      </c>
      <c r="Q33" s="285"/>
      <c r="R33" s="285"/>
      <c r="S33" s="285">
        <f>5/12</f>
        <v>0.41666666666666669</v>
      </c>
      <c r="T33" s="285">
        <f>8*7/12+9*5/12</f>
        <v>8.4166666666666679</v>
      </c>
      <c r="U33" s="285">
        <f>SUM(E33:T33)</f>
        <v>22.583333333333336</v>
      </c>
    </row>
    <row r="34" spans="2:21" ht="15.75" x14ac:dyDescent="0.25">
      <c r="B34" s="5">
        <v>2012</v>
      </c>
      <c r="C34" s="5" t="s">
        <v>151</v>
      </c>
      <c r="D34" s="5">
        <v>38684</v>
      </c>
      <c r="E34" s="284"/>
      <c r="F34" s="285">
        <v>1</v>
      </c>
      <c r="G34" s="285">
        <f>(7*7+5*5)/12</f>
        <v>6.166666666666667</v>
      </c>
      <c r="H34" s="285"/>
      <c r="I34" s="285">
        <v>2</v>
      </c>
      <c r="J34" s="285">
        <v>3</v>
      </c>
      <c r="K34" s="285">
        <f>(3*7+2*5)/12</f>
        <v>2.5833333333333335</v>
      </c>
      <c r="L34" s="285"/>
      <c r="M34" s="285"/>
      <c r="N34" s="285">
        <v>1</v>
      </c>
      <c r="O34" s="285"/>
      <c r="P34" s="285">
        <f>(2*7+1*5)/12</f>
        <v>1.5833333333333333</v>
      </c>
      <c r="Q34" s="285"/>
      <c r="R34" s="285"/>
      <c r="S34" s="285">
        <f>7/12</f>
        <v>0.58333333333333337</v>
      </c>
      <c r="T34" s="285">
        <f>(9*7+8*5)/12</f>
        <v>8.5833333333333339</v>
      </c>
      <c r="U34" s="285">
        <f>SUM(E34:T34)</f>
        <v>26.5</v>
      </c>
    </row>
    <row r="35" spans="2:21" ht="15.75" x14ac:dyDescent="0.25">
      <c r="B35" s="5">
        <v>2011</v>
      </c>
      <c r="C35" s="5" t="s">
        <v>151</v>
      </c>
      <c r="D35" s="5">
        <v>32124</v>
      </c>
      <c r="E35" s="284"/>
      <c r="F35" s="285">
        <v>1.5833333333333333</v>
      </c>
      <c r="G35" s="285">
        <v>7.583333333333333</v>
      </c>
      <c r="H35" s="285"/>
      <c r="I35" s="285">
        <v>2.5833333333333335</v>
      </c>
      <c r="J35" s="285">
        <v>2.4166666666666665</v>
      </c>
      <c r="K35" s="285">
        <v>3</v>
      </c>
      <c r="L35" s="285"/>
      <c r="M35" s="285"/>
      <c r="N35" s="285">
        <v>1</v>
      </c>
      <c r="O35" s="285"/>
      <c r="P35" s="285">
        <v>2</v>
      </c>
      <c r="Q35" s="285"/>
      <c r="R35" s="285"/>
      <c r="S35" s="285">
        <v>0.41666666666666669</v>
      </c>
      <c r="T35" s="285">
        <v>9</v>
      </c>
      <c r="U35" s="285">
        <f>SUM(E35:T35)</f>
        <v>29.583333333333332</v>
      </c>
    </row>
    <row r="36" spans="2:21" ht="15.75" x14ac:dyDescent="0.25">
      <c r="B36" s="5">
        <v>2010</v>
      </c>
      <c r="C36" s="5" t="s">
        <v>151</v>
      </c>
      <c r="D36" s="5">
        <v>29298</v>
      </c>
      <c r="F36" s="285">
        <v>2</v>
      </c>
      <c r="G36" s="285">
        <v>7.4166666666666661</v>
      </c>
      <c r="H36" s="285"/>
      <c r="I36" s="285">
        <v>3</v>
      </c>
      <c r="J36" s="285">
        <v>2</v>
      </c>
      <c r="K36" s="285">
        <v>3</v>
      </c>
      <c r="L36" s="285"/>
      <c r="M36" s="285"/>
      <c r="N36" s="285">
        <v>1</v>
      </c>
      <c r="O36" s="285"/>
      <c r="P36" s="285">
        <v>2</v>
      </c>
      <c r="Q36" s="285"/>
      <c r="R36" s="285"/>
      <c r="S36" s="285"/>
      <c r="T36" s="285">
        <v>10.75</v>
      </c>
      <c r="U36" s="285">
        <f>SUM(E36:T36)</f>
        <v>31.166666666666664</v>
      </c>
    </row>
    <row r="38" spans="2:21" x14ac:dyDescent="0.2">
      <c r="B38" s="1" t="s">
        <v>152</v>
      </c>
    </row>
    <row r="39" spans="2:21" x14ac:dyDescent="0.2">
      <c r="B39" s="1" t="s">
        <v>153</v>
      </c>
    </row>
    <row r="41" spans="2:21" ht="15.75" x14ac:dyDescent="0.25">
      <c r="B41" s="5"/>
      <c r="C41" s="5"/>
      <c r="D41" s="5"/>
      <c r="E41" s="23" t="s">
        <v>154</v>
      </c>
      <c r="F41" s="23"/>
      <c r="G41" s="23"/>
      <c r="H41" s="23"/>
      <c r="I41" s="23"/>
      <c r="J41" s="23"/>
      <c r="K41" s="23"/>
      <c r="L41" s="23"/>
      <c r="M41" s="23"/>
      <c r="N41" s="23"/>
      <c r="O41" s="23"/>
      <c r="P41" s="23"/>
      <c r="Q41" s="23"/>
      <c r="R41" s="23"/>
      <c r="S41" s="23"/>
      <c r="T41" s="23"/>
      <c r="U41" s="23"/>
    </row>
    <row r="42" spans="2:21" ht="16.5" thickBot="1" x14ac:dyDescent="0.3">
      <c r="B42" s="282"/>
      <c r="C42" s="282"/>
      <c r="D42" s="282"/>
      <c r="E42" s="282" t="s">
        <v>8</v>
      </c>
      <c r="F42" s="282" t="s">
        <v>9</v>
      </c>
      <c r="G42" s="282" t="s">
        <v>10</v>
      </c>
      <c r="H42" s="282" t="s">
        <v>11</v>
      </c>
      <c r="I42" s="282" t="s">
        <v>12</v>
      </c>
      <c r="J42" s="282" t="s">
        <v>13</v>
      </c>
      <c r="K42" s="282" t="s">
        <v>14</v>
      </c>
      <c r="L42" s="282" t="s">
        <v>15</v>
      </c>
      <c r="M42" s="282" t="s">
        <v>16</v>
      </c>
      <c r="N42" s="282" t="s">
        <v>17</v>
      </c>
      <c r="O42" s="283" t="s">
        <v>18</v>
      </c>
      <c r="P42" s="282" t="s">
        <v>19</v>
      </c>
      <c r="Q42" s="282" t="s">
        <v>20</v>
      </c>
      <c r="R42" s="282" t="s">
        <v>21</v>
      </c>
      <c r="S42" s="282" t="s">
        <v>22</v>
      </c>
      <c r="T42" s="282" t="s">
        <v>23</v>
      </c>
      <c r="U42" s="282" t="s">
        <v>24</v>
      </c>
    </row>
    <row r="43" spans="2:21" ht="15.75" x14ac:dyDescent="0.25">
      <c r="B43" s="5">
        <v>2013</v>
      </c>
      <c r="C43" s="5" t="s">
        <v>151</v>
      </c>
      <c r="D43" s="5">
        <v>42180</v>
      </c>
      <c r="E43" s="284">
        <f t="shared" ref="E43:U43" si="0">E26*1000-(E33*$D33)</f>
        <v>731000</v>
      </c>
      <c r="F43" s="284">
        <f t="shared" si="0"/>
        <v>1164395</v>
      </c>
      <c r="G43" s="284">
        <f t="shared" si="0"/>
        <v>3382100</v>
      </c>
      <c r="H43" s="284">
        <f t="shared" si="0"/>
        <v>977000</v>
      </c>
      <c r="I43" s="284">
        <f t="shared" si="0"/>
        <v>674640</v>
      </c>
      <c r="J43" s="284">
        <f t="shared" si="0"/>
        <v>2069460</v>
      </c>
      <c r="K43" s="284">
        <f t="shared" si="0"/>
        <v>5854215</v>
      </c>
      <c r="L43" s="284">
        <f t="shared" si="0"/>
        <v>537000</v>
      </c>
      <c r="M43" s="284">
        <f t="shared" si="0"/>
        <v>504000</v>
      </c>
      <c r="N43" s="284">
        <f t="shared" si="0"/>
        <v>3324820</v>
      </c>
      <c r="O43" s="284">
        <f t="shared" si="0"/>
        <v>770000</v>
      </c>
      <c r="P43" s="284">
        <f t="shared" si="0"/>
        <v>2390395</v>
      </c>
      <c r="Q43" s="284">
        <f t="shared" si="0"/>
        <v>156000</v>
      </c>
      <c r="R43" s="284">
        <f t="shared" si="0"/>
        <v>1401000</v>
      </c>
      <c r="S43" s="284">
        <f t="shared" si="0"/>
        <v>662425</v>
      </c>
      <c r="T43" s="284">
        <f t="shared" si="0"/>
        <v>9509985</v>
      </c>
      <c r="U43" s="284">
        <f t="shared" si="0"/>
        <v>34108435</v>
      </c>
    </row>
    <row r="44" spans="2:21" ht="15.75" x14ac:dyDescent="0.25">
      <c r="B44" s="5">
        <v>2012</v>
      </c>
      <c r="C44" s="5" t="s">
        <v>151</v>
      </c>
      <c r="D44" s="5">
        <v>38684</v>
      </c>
      <c r="E44" s="284">
        <f t="shared" ref="E44:T46" si="1">E27*1000-(E34*$D34)</f>
        <v>774000</v>
      </c>
      <c r="F44" s="284">
        <f t="shared" si="1"/>
        <v>1154316</v>
      </c>
      <c r="G44" s="284">
        <f t="shared" si="1"/>
        <v>3272448.6666666665</v>
      </c>
      <c r="H44" s="284">
        <f t="shared" si="1"/>
        <v>1032000</v>
      </c>
      <c r="I44" s="284">
        <f t="shared" si="1"/>
        <v>598632</v>
      </c>
      <c r="J44" s="284">
        <f t="shared" si="1"/>
        <v>1962948</v>
      </c>
      <c r="K44" s="284">
        <f t="shared" si="1"/>
        <v>5732066.333333333</v>
      </c>
      <c r="L44" s="284">
        <f t="shared" si="1"/>
        <v>625000</v>
      </c>
      <c r="M44" s="284">
        <f t="shared" si="1"/>
        <v>552000</v>
      </c>
      <c r="N44" s="284">
        <f t="shared" si="1"/>
        <v>3091316</v>
      </c>
      <c r="O44" s="284">
        <f t="shared" si="1"/>
        <v>713000</v>
      </c>
      <c r="P44" s="284">
        <f t="shared" si="1"/>
        <v>2427750.3333333335</v>
      </c>
      <c r="Q44" s="284">
        <f t="shared" si="1"/>
        <v>189000</v>
      </c>
      <c r="R44" s="284">
        <f t="shared" si="1"/>
        <v>1336000</v>
      </c>
      <c r="S44" s="284">
        <f t="shared" si="1"/>
        <v>667434.33333333337</v>
      </c>
      <c r="T44" s="284">
        <f t="shared" si="1"/>
        <v>9042962.333333334</v>
      </c>
      <c r="U44" s="284">
        <f>U27*1000-(U34*$D34)</f>
        <v>33170874</v>
      </c>
    </row>
    <row r="45" spans="2:21" ht="15.75" x14ac:dyDescent="0.25">
      <c r="B45" s="5">
        <v>2011</v>
      </c>
      <c r="C45" s="5" t="s">
        <v>151</v>
      </c>
      <c r="D45" s="5">
        <v>32124</v>
      </c>
      <c r="E45" s="284">
        <f t="shared" si="1"/>
        <v>748000</v>
      </c>
      <c r="F45" s="284">
        <f t="shared" si="1"/>
        <v>1176137</v>
      </c>
      <c r="G45" s="284">
        <f t="shared" si="1"/>
        <v>3268393</v>
      </c>
      <c r="H45" s="284">
        <f t="shared" si="1"/>
        <v>952000</v>
      </c>
      <c r="I45" s="284">
        <f t="shared" si="1"/>
        <v>638013</v>
      </c>
      <c r="J45" s="284">
        <f t="shared" si="1"/>
        <v>1922367</v>
      </c>
      <c r="K45" s="284">
        <f t="shared" si="1"/>
        <v>5202628</v>
      </c>
      <c r="L45" s="284">
        <f t="shared" si="1"/>
        <v>581000</v>
      </c>
      <c r="M45" s="284">
        <f t="shared" si="1"/>
        <v>470000</v>
      </c>
      <c r="N45" s="284">
        <f t="shared" si="1"/>
        <v>2981876</v>
      </c>
      <c r="O45" s="284">
        <f t="shared" si="1"/>
        <v>616000</v>
      </c>
      <c r="P45" s="284">
        <f t="shared" si="1"/>
        <v>2285752</v>
      </c>
      <c r="Q45" s="284">
        <f t="shared" si="1"/>
        <v>217000</v>
      </c>
      <c r="R45" s="284">
        <f t="shared" si="1"/>
        <v>1375000</v>
      </c>
      <c r="S45" s="284">
        <f t="shared" si="1"/>
        <v>671615</v>
      </c>
      <c r="T45" s="284">
        <f t="shared" si="1"/>
        <v>8898884</v>
      </c>
      <c r="U45" s="284">
        <f>U28*1000-(U35*$D35)</f>
        <v>32004665</v>
      </c>
    </row>
    <row r="46" spans="2:21" ht="15.75" x14ac:dyDescent="0.25">
      <c r="B46" s="5">
        <v>2010</v>
      </c>
      <c r="C46" s="5" t="s">
        <v>151</v>
      </c>
      <c r="D46" s="5">
        <v>29298</v>
      </c>
      <c r="E46" s="284">
        <f t="shared" si="1"/>
        <v>759000</v>
      </c>
      <c r="F46" s="284">
        <f t="shared" si="1"/>
        <v>1172404</v>
      </c>
      <c r="G46" s="284">
        <f t="shared" si="1"/>
        <v>3217706.5</v>
      </c>
      <c r="H46" s="284">
        <f t="shared" si="1"/>
        <v>935000</v>
      </c>
      <c r="I46" s="284">
        <f t="shared" si="1"/>
        <v>596106</v>
      </c>
      <c r="J46" s="284">
        <f t="shared" si="1"/>
        <v>1858404</v>
      </c>
      <c r="K46" s="284">
        <f t="shared" si="1"/>
        <v>4836106</v>
      </c>
      <c r="L46" s="284">
        <f t="shared" si="1"/>
        <v>551000</v>
      </c>
      <c r="M46" s="284">
        <f t="shared" si="1"/>
        <v>495000</v>
      </c>
      <c r="N46" s="284">
        <f t="shared" si="1"/>
        <v>2825702</v>
      </c>
      <c r="O46" s="284">
        <f t="shared" si="1"/>
        <v>666000</v>
      </c>
      <c r="P46" s="284">
        <f t="shared" si="1"/>
        <v>2215404</v>
      </c>
      <c r="Q46" s="284">
        <f t="shared" si="1"/>
        <v>294000</v>
      </c>
      <c r="R46" s="284">
        <f t="shared" si="1"/>
        <v>1424000</v>
      </c>
      <c r="S46" s="284">
        <f t="shared" si="1"/>
        <v>657000</v>
      </c>
      <c r="T46" s="284">
        <f t="shared" si="1"/>
        <v>8780046.5</v>
      </c>
      <c r="U46" s="284">
        <f>U29*1000-(U36*$D36)</f>
        <v>31282879</v>
      </c>
    </row>
    <row r="51" spans="2:13" ht="15.75" x14ac:dyDescent="0.25">
      <c r="D51" s="1" t="s">
        <v>298</v>
      </c>
      <c r="E51" s="1" t="s">
        <v>156</v>
      </c>
      <c r="G51" s="1" t="s">
        <v>157</v>
      </c>
      <c r="K51" s="5" t="s">
        <v>158</v>
      </c>
      <c r="M51" s="1" t="s">
        <v>159</v>
      </c>
    </row>
    <row r="52" spans="2:13" ht="15.75" x14ac:dyDescent="0.25">
      <c r="B52" s="1">
        <v>2013</v>
      </c>
      <c r="C52" s="1" t="s">
        <v>8</v>
      </c>
      <c r="D52" s="1">
        <v>43</v>
      </c>
      <c r="E52" s="1">
        <v>731000</v>
      </c>
      <c r="G52" s="1">
        <f>E52/D52</f>
        <v>17000</v>
      </c>
      <c r="K52" s="286">
        <f>U33*D33</f>
        <v>952565.00000000012</v>
      </c>
      <c r="M52" s="239">
        <f>K52/3206</f>
        <v>297.11946350592643</v>
      </c>
    </row>
    <row r="53" spans="2:13" ht="15.75" x14ac:dyDescent="0.25">
      <c r="C53" s="1" t="s">
        <v>9</v>
      </c>
      <c r="D53" s="1">
        <v>93</v>
      </c>
      <c r="E53" s="1">
        <v>1164395</v>
      </c>
      <c r="G53" s="1">
        <f t="shared" ref="G53:G115" si="2">E53/D53</f>
        <v>12520.376344086022</v>
      </c>
      <c r="K53" s="286">
        <f>U34*D34</f>
        <v>1025126</v>
      </c>
    </row>
    <row r="54" spans="2:13" ht="15.75" x14ac:dyDescent="0.25">
      <c r="C54" s="1" t="s">
        <v>10</v>
      </c>
      <c r="D54" s="1">
        <v>316</v>
      </c>
      <c r="E54" s="1">
        <v>3382100</v>
      </c>
      <c r="G54" s="1">
        <f t="shared" si="2"/>
        <v>10702.848101265823</v>
      </c>
      <c r="K54" s="286">
        <f>U35*D35</f>
        <v>950335</v>
      </c>
    </row>
    <row r="55" spans="2:13" ht="15.75" x14ac:dyDescent="0.25">
      <c r="C55" s="1" t="s">
        <v>11</v>
      </c>
      <c r="D55" s="1">
        <v>58</v>
      </c>
      <c r="E55" s="1">
        <v>977000</v>
      </c>
      <c r="G55" s="1">
        <f t="shared" si="2"/>
        <v>16844.827586206895</v>
      </c>
      <c r="K55" s="286">
        <f>U36*D36</f>
        <v>913120.99999999988</v>
      </c>
    </row>
    <row r="56" spans="2:13" x14ac:dyDescent="0.2">
      <c r="C56" s="1" t="s">
        <v>12</v>
      </c>
      <c r="D56" s="1">
        <v>53</v>
      </c>
      <c r="E56" s="1">
        <v>674640</v>
      </c>
      <c r="G56" s="1">
        <f t="shared" si="2"/>
        <v>12729.056603773584</v>
      </c>
    </row>
    <row r="57" spans="2:13" x14ac:dyDescent="0.2">
      <c r="C57" s="1" t="s">
        <v>13</v>
      </c>
      <c r="D57" s="1">
        <v>196</v>
      </c>
      <c r="E57" s="1">
        <v>2069460</v>
      </c>
      <c r="G57" s="1">
        <f t="shared" si="2"/>
        <v>10558.469387755102</v>
      </c>
    </row>
    <row r="58" spans="2:13" x14ac:dyDescent="0.2">
      <c r="C58" s="1" t="s">
        <v>14</v>
      </c>
      <c r="D58" s="1">
        <v>604</v>
      </c>
      <c r="E58" s="1">
        <v>5854215</v>
      </c>
      <c r="G58" s="1">
        <f t="shared" si="2"/>
        <v>9692.4089403973503</v>
      </c>
    </row>
    <row r="59" spans="2:13" x14ac:dyDescent="0.2">
      <c r="C59" s="1" t="s">
        <v>15</v>
      </c>
      <c r="D59" s="1">
        <v>22</v>
      </c>
      <c r="E59" s="1">
        <v>537000</v>
      </c>
      <c r="G59" s="1">
        <f t="shared" si="2"/>
        <v>24409.090909090908</v>
      </c>
    </row>
    <row r="60" spans="2:13" x14ac:dyDescent="0.2">
      <c r="C60" s="1" t="s">
        <v>16</v>
      </c>
      <c r="D60" s="1">
        <v>26</v>
      </c>
      <c r="E60" s="1">
        <v>504000</v>
      </c>
      <c r="G60" s="1">
        <f t="shared" si="2"/>
        <v>19384.615384615383</v>
      </c>
    </row>
    <row r="61" spans="2:13" x14ac:dyDescent="0.2">
      <c r="C61" s="1" t="s">
        <v>17</v>
      </c>
      <c r="D61" s="1">
        <v>262</v>
      </c>
      <c r="E61" s="1">
        <v>3324820</v>
      </c>
      <c r="G61" s="1">
        <f t="shared" si="2"/>
        <v>12690.152671755724</v>
      </c>
    </row>
    <row r="62" spans="2:13" x14ac:dyDescent="0.2">
      <c r="C62" s="1" t="s">
        <v>18</v>
      </c>
      <c r="D62" s="1">
        <v>55</v>
      </c>
      <c r="E62" s="1">
        <v>770000</v>
      </c>
      <c r="G62" s="1">
        <f t="shared" si="2"/>
        <v>14000</v>
      </c>
    </row>
    <row r="63" spans="2:13" x14ac:dyDescent="0.2">
      <c r="C63" s="1" t="s">
        <v>19</v>
      </c>
      <c r="D63" s="1">
        <v>220</v>
      </c>
      <c r="E63" s="1">
        <v>2390395</v>
      </c>
      <c r="G63" s="1">
        <f t="shared" si="2"/>
        <v>10865.431818181818</v>
      </c>
    </row>
    <row r="64" spans="2:13" x14ac:dyDescent="0.2">
      <c r="C64" s="1" t="s">
        <v>20</v>
      </c>
      <c r="D64" s="1">
        <v>3</v>
      </c>
      <c r="E64" s="1">
        <v>156000</v>
      </c>
      <c r="G64" s="1">
        <f t="shared" si="2"/>
        <v>52000</v>
      </c>
    </row>
    <row r="65" spans="2:10" x14ac:dyDescent="0.2">
      <c r="C65" s="1" t="s">
        <v>21</v>
      </c>
      <c r="D65" s="1">
        <v>119</v>
      </c>
      <c r="E65" s="1">
        <v>1401000</v>
      </c>
      <c r="G65" s="1">
        <f t="shared" si="2"/>
        <v>11773.10924369748</v>
      </c>
    </row>
    <row r="66" spans="2:10" x14ac:dyDescent="0.2">
      <c r="C66" s="1" t="s">
        <v>22</v>
      </c>
      <c r="D66" s="1">
        <v>50</v>
      </c>
      <c r="E66" s="1">
        <v>662425</v>
      </c>
      <c r="G66" s="1">
        <f t="shared" si="2"/>
        <v>13248.5</v>
      </c>
    </row>
    <row r="67" spans="2:10" x14ac:dyDescent="0.2">
      <c r="C67" s="287" t="s">
        <v>23</v>
      </c>
      <c r="D67" s="288">
        <v>1086</v>
      </c>
      <c r="E67" s="288">
        <v>9509985</v>
      </c>
      <c r="G67" s="1">
        <f t="shared" si="2"/>
        <v>8756.8922651933699</v>
      </c>
    </row>
    <row r="68" spans="2:10" x14ac:dyDescent="0.2">
      <c r="B68" s="1">
        <v>2012</v>
      </c>
      <c r="C68" s="1" t="s">
        <v>8</v>
      </c>
      <c r="D68" s="1">
        <v>42</v>
      </c>
      <c r="E68" s="1">
        <v>774000</v>
      </c>
      <c r="G68" s="1">
        <f t="shared" si="2"/>
        <v>18428.571428571428</v>
      </c>
    </row>
    <row r="69" spans="2:10" x14ac:dyDescent="0.2">
      <c r="C69" s="1" t="s">
        <v>9</v>
      </c>
      <c r="D69" s="1">
        <v>84</v>
      </c>
      <c r="E69" s="1">
        <v>1154316</v>
      </c>
      <c r="G69" s="1">
        <f t="shared" si="2"/>
        <v>13741.857142857143</v>
      </c>
    </row>
    <row r="70" spans="2:10" x14ac:dyDescent="0.2">
      <c r="C70" s="1" t="s">
        <v>10</v>
      </c>
      <c r="D70" s="1">
        <v>313</v>
      </c>
      <c r="E70" s="1">
        <v>3272448.6666666665</v>
      </c>
      <c r="G70" s="1">
        <f t="shared" si="2"/>
        <v>10455.107561235356</v>
      </c>
    </row>
    <row r="71" spans="2:10" x14ac:dyDescent="0.2">
      <c r="C71" s="1" t="s">
        <v>11</v>
      </c>
      <c r="D71" s="1">
        <v>63</v>
      </c>
      <c r="E71" s="1">
        <v>1032000</v>
      </c>
      <c r="G71" s="1">
        <f t="shared" si="2"/>
        <v>16380.952380952382</v>
      </c>
    </row>
    <row r="72" spans="2:10" x14ac:dyDescent="0.2">
      <c r="C72" s="1" t="s">
        <v>12</v>
      </c>
      <c r="D72" s="1">
        <v>52</v>
      </c>
      <c r="E72" s="1">
        <v>598632</v>
      </c>
      <c r="G72" s="1">
        <f t="shared" si="2"/>
        <v>11512.153846153846</v>
      </c>
    </row>
    <row r="73" spans="2:10" x14ac:dyDescent="0.2">
      <c r="C73" s="1" t="s">
        <v>13</v>
      </c>
      <c r="D73" s="1">
        <v>181</v>
      </c>
      <c r="E73" s="1">
        <v>1962948</v>
      </c>
      <c r="G73" s="1">
        <f t="shared" si="2"/>
        <v>10845.016574585636</v>
      </c>
    </row>
    <row r="74" spans="2:10" ht="16.5" thickBot="1" x14ac:dyDescent="0.3">
      <c r="C74" s="1" t="s">
        <v>14</v>
      </c>
      <c r="D74" s="1">
        <v>581</v>
      </c>
      <c r="E74" s="1">
        <v>5732066.333333333</v>
      </c>
      <c r="G74" s="1">
        <f t="shared" si="2"/>
        <v>9865.8628800917959</v>
      </c>
      <c r="J74" s="234" t="s">
        <v>282</v>
      </c>
    </row>
    <row r="75" spans="2:10" x14ac:dyDescent="0.2">
      <c r="C75" s="1" t="s">
        <v>15</v>
      </c>
      <c r="D75" s="1">
        <v>24</v>
      </c>
      <c r="E75" s="1">
        <v>625000</v>
      </c>
      <c r="G75" s="1">
        <f t="shared" si="2"/>
        <v>26041.666666666668</v>
      </c>
    </row>
    <row r="76" spans="2:10" x14ac:dyDescent="0.2">
      <c r="C76" s="1" t="s">
        <v>16</v>
      </c>
      <c r="D76" s="1">
        <v>26</v>
      </c>
      <c r="E76" s="1">
        <v>552000</v>
      </c>
      <c r="G76" s="1">
        <f t="shared" si="2"/>
        <v>21230.76923076923</v>
      </c>
    </row>
    <row r="77" spans="2:10" x14ac:dyDescent="0.2">
      <c r="C77" s="1" t="s">
        <v>17</v>
      </c>
      <c r="D77" s="1">
        <v>273</v>
      </c>
      <c r="E77" s="1">
        <v>3091316</v>
      </c>
      <c r="G77" s="1">
        <f t="shared" si="2"/>
        <v>11323.501831501831</v>
      </c>
    </row>
    <row r="78" spans="2:10" x14ac:dyDescent="0.2">
      <c r="C78" s="1" t="s">
        <v>18</v>
      </c>
      <c r="D78" s="1">
        <v>48</v>
      </c>
      <c r="E78" s="1">
        <v>713000</v>
      </c>
      <c r="G78" s="1">
        <f t="shared" si="2"/>
        <v>14854.166666666666</v>
      </c>
    </row>
    <row r="79" spans="2:10" x14ac:dyDescent="0.2">
      <c r="C79" s="1" t="s">
        <v>19</v>
      </c>
      <c r="D79" s="1">
        <v>214</v>
      </c>
      <c r="E79" s="1">
        <v>2427750.3333333335</v>
      </c>
      <c r="G79" s="1">
        <f t="shared" si="2"/>
        <v>11344.627725856699</v>
      </c>
    </row>
    <row r="80" spans="2:10" x14ac:dyDescent="0.2">
      <c r="C80" s="1" t="s">
        <v>20</v>
      </c>
      <c r="D80" s="1">
        <v>8</v>
      </c>
      <c r="E80" s="1">
        <v>189000</v>
      </c>
      <c r="G80" s="1">
        <f t="shared" si="2"/>
        <v>23625</v>
      </c>
    </row>
    <row r="81" spans="2:7" x14ac:dyDescent="0.2">
      <c r="C81" s="1" t="s">
        <v>21</v>
      </c>
      <c r="D81" s="1">
        <v>109</v>
      </c>
      <c r="E81" s="1">
        <v>1336000</v>
      </c>
      <c r="G81" s="1">
        <f t="shared" si="2"/>
        <v>12256.880733944954</v>
      </c>
    </row>
    <row r="82" spans="2:7" x14ac:dyDescent="0.2">
      <c r="C82" s="1" t="s">
        <v>22</v>
      </c>
      <c r="D82" s="1">
        <v>45</v>
      </c>
      <c r="E82" s="1">
        <v>667434.33333333337</v>
      </c>
      <c r="G82" s="1">
        <f t="shared" si="2"/>
        <v>14831.874074074074</v>
      </c>
    </row>
    <row r="83" spans="2:7" x14ac:dyDescent="0.2">
      <c r="C83" s="287" t="s">
        <v>23</v>
      </c>
      <c r="D83" s="288">
        <v>1102</v>
      </c>
      <c r="E83" s="288">
        <v>9042962.333333334</v>
      </c>
      <c r="F83" s="288"/>
      <c r="G83" s="1">
        <f t="shared" si="2"/>
        <v>8205.9549304295233</v>
      </c>
    </row>
    <row r="84" spans="2:7" x14ac:dyDescent="0.2">
      <c r="B84" s="1">
        <v>2011</v>
      </c>
      <c r="C84" s="1" t="s">
        <v>8</v>
      </c>
      <c r="D84" s="1">
        <v>46</v>
      </c>
      <c r="E84" s="1">
        <v>748000</v>
      </c>
      <c r="G84" s="1">
        <f t="shared" si="2"/>
        <v>16260.869565217392</v>
      </c>
    </row>
    <row r="85" spans="2:7" x14ac:dyDescent="0.2">
      <c r="C85" s="1" t="s">
        <v>9</v>
      </c>
      <c r="D85" s="1">
        <v>89</v>
      </c>
      <c r="E85" s="1">
        <v>1176137</v>
      </c>
      <c r="G85" s="1">
        <f t="shared" si="2"/>
        <v>13215.022471910112</v>
      </c>
    </row>
    <row r="86" spans="2:7" x14ac:dyDescent="0.2">
      <c r="C86" s="1" t="s">
        <v>10</v>
      </c>
      <c r="D86" s="1">
        <v>318</v>
      </c>
      <c r="E86" s="1">
        <v>3268393</v>
      </c>
      <c r="G86" s="1">
        <f t="shared" si="2"/>
        <v>10277.965408805032</v>
      </c>
    </row>
    <row r="87" spans="2:7" x14ac:dyDescent="0.2">
      <c r="C87" s="1" t="s">
        <v>11</v>
      </c>
      <c r="D87" s="1">
        <v>65</v>
      </c>
      <c r="E87" s="1">
        <v>952000</v>
      </c>
      <c r="G87" s="1">
        <f t="shared" si="2"/>
        <v>14646.153846153846</v>
      </c>
    </row>
    <row r="88" spans="2:7" x14ac:dyDescent="0.2">
      <c r="C88" s="1" t="s">
        <v>12</v>
      </c>
      <c r="D88" s="1">
        <v>50</v>
      </c>
      <c r="E88" s="1">
        <v>638013</v>
      </c>
      <c r="G88" s="1">
        <f t="shared" si="2"/>
        <v>12760.26</v>
      </c>
    </row>
    <row r="89" spans="2:7" x14ac:dyDescent="0.2">
      <c r="C89" s="1" t="s">
        <v>13</v>
      </c>
      <c r="D89" s="1">
        <v>173</v>
      </c>
      <c r="E89" s="1">
        <v>1922367</v>
      </c>
      <c r="G89" s="1">
        <f t="shared" si="2"/>
        <v>11111.947976878613</v>
      </c>
    </row>
    <row r="90" spans="2:7" x14ac:dyDescent="0.2">
      <c r="C90" s="1" t="s">
        <v>14</v>
      </c>
      <c r="D90" s="1">
        <v>565</v>
      </c>
      <c r="E90" s="1">
        <v>5202628</v>
      </c>
      <c r="G90" s="1">
        <f t="shared" si="2"/>
        <v>9208.191150442477</v>
      </c>
    </row>
    <row r="91" spans="2:7" x14ac:dyDescent="0.2">
      <c r="C91" s="1" t="s">
        <v>15</v>
      </c>
      <c r="D91" s="1">
        <v>33</v>
      </c>
      <c r="E91" s="1">
        <v>581000</v>
      </c>
      <c r="G91" s="1">
        <f t="shared" si="2"/>
        <v>17606.060606060608</v>
      </c>
    </row>
    <row r="92" spans="2:7" x14ac:dyDescent="0.2">
      <c r="C92" s="1" t="s">
        <v>16</v>
      </c>
      <c r="D92" s="1">
        <v>30</v>
      </c>
      <c r="E92" s="1">
        <v>470000</v>
      </c>
      <c r="G92" s="1">
        <f t="shared" si="2"/>
        <v>15666.666666666666</v>
      </c>
    </row>
    <row r="93" spans="2:7" x14ac:dyDescent="0.2">
      <c r="C93" s="1" t="s">
        <v>17</v>
      </c>
      <c r="D93" s="1">
        <v>275</v>
      </c>
      <c r="E93" s="1">
        <v>2981876</v>
      </c>
      <c r="G93" s="1">
        <f t="shared" si="2"/>
        <v>10843.185454545455</v>
      </c>
    </row>
    <row r="94" spans="2:7" x14ac:dyDescent="0.2">
      <c r="C94" s="1" t="s">
        <v>18</v>
      </c>
      <c r="D94" s="1">
        <v>51</v>
      </c>
      <c r="E94" s="1">
        <v>616000</v>
      </c>
      <c r="G94" s="1">
        <f t="shared" si="2"/>
        <v>12078.431372549019</v>
      </c>
    </row>
    <row r="95" spans="2:7" x14ac:dyDescent="0.2">
      <c r="C95" s="1" t="s">
        <v>19</v>
      </c>
      <c r="D95" s="1">
        <v>208</v>
      </c>
      <c r="E95" s="1">
        <v>2285752</v>
      </c>
      <c r="G95" s="1">
        <f t="shared" si="2"/>
        <v>10989.192307692309</v>
      </c>
    </row>
    <row r="96" spans="2:7" x14ac:dyDescent="0.2">
      <c r="C96" s="1" t="s">
        <v>20</v>
      </c>
      <c r="D96" s="1">
        <v>8</v>
      </c>
      <c r="E96" s="1">
        <v>217000</v>
      </c>
      <c r="G96" s="1">
        <f t="shared" si="2"/>
        <v>27125</v>
      </c>
    </row>
    <row r="97" spans="2:7" x14ac:dyDescent="0.2">
      <c r="C97" s="1" t="s">
        <v>21</v>
      </c>
      <c r="D97" s="1">
        <v>103</v>
      </c>
      <c r="E97" s="1">
        <v>1375000</v>
      </c>
      <c r="G97" s="1">
        <f t="shared" si="2"/>
        <v>13349.514563106795</v>
      </c>
    </row>
    <row r="98" spans="2:7" x14ac:dyDescent="0.2">
      <c r="C98" s="1" t="s">
        <v>22</v>
      </c>
      <c r="D98" s="1">
        <v>44</v>
      </c>
      <c r="E98" s="1">
        <v>671615</v>
      </c>
      <c r="G98" s="1">
        <f t="shared" si="2"/>
        <v>15263.977272727272</v>
      </c>
    </row>
    <row r="99" spans="2:7" x14ac:dyDescent="0.2">
      <c r="C99" s="287" t="s">
        <v>23</v>
      </c>
      <c r="D99" s="288">
        <v>1080</v>
      </c>
      <c r="E99" s="288">
        <v>8898884</v>
      </c>
      <c r="G99" s="1">
        <f t="shared" si="2"/>
        <v>8239.707407407408</v>
      </c>
    </row>
    <row r="100" spans="2:7" x14ac:dyDescent="0.2">
      <c r="B100" s="1">
        <v>2010</v>
      </c>
      <c r="C100" s="1" t="s">
        <v>8</v>
      </c>
      <c r="D100" s="1">
        <v>48</v>
      </c>
      <c r="E100" s="1">
        <v>759000</v>
      </c>
      <c r="G100" s="1">
        <f t="shared" si="2"/>
        <v>15812.5</v>
      </c>
    </row>
    <row r="101" spans="2:7" x14ac:dyDescent="0.2">
      <c r="C101" s="1" t="s">
        <v>9</v>
      </c>
      <c r="D101" s="1">
        <v>93</v>
      </c>
      <c r="E101" s="1">
        <v>1172404</v>
      </c>
      <c r="G101" s="1">
        <f t="shared" si="2"/>
        <v>12606.494623655914</v>
      </c>
    </row>
    <row r="102" spans="2:7" x14ac:dyDescent="0.2">
      <c r="C102" s="1" t="s">
        <v>10</v>
      </c>
      <c r="D102" s="1">
        <v>309</v>
      </c>
      <c r="E102" s="1">
        <v>3217706.5</v>
      </c>
      <c r="G102" s="1">
        <f t="shared" si="2"/>
        <v>10413.289644012944</v>
      </c>
    </row>
    <row r="103" spans="2:7" x14ac:dyDescent="0.2">
      <c r="C103" s="1" t="s">
        <v>11</v>
      </c>
      <c r="D103" s="1">
        <v>65</v>
      </c>
      <c r="E103" s="1">
        <v>935000</v>
      </c>
      <c r="G103" s="1">
        <f t="shared" si="2"/>
        <v>14384.615384615385</v>
      </c>
    </row>
    <row r="104" spans="2:7" x14ac:dyDescent="0.2">
      <c r="C104" s="1" t="s">
        <v>12</v>
      </c>
      <c r="D104" s="1">
        <v>42</v>
      </c>
      <c r="E104" s="1">
        <v>596106</v>
      </c>
      <c r="G104" s="1">
        <f t="shared" si="2"/>
        <v>14193</v>
      </c>
    </row>
    <row r="105" spans="2:7" x14ac:dyDescent="0.2">
      <c r="C105" s="1" t="s">
        <v>13</v>
      </c>
      <c r="D105" s="1">
        <v>172</v>
      </c>
      <c r="E105" s="1">
        <v>1858404</v>
      </c>
      <c r="G105" s="1">
        <f t="shared" si="2"/>
        <v>10804.674418604651</v>
      </c>
    </row>
    <row r="106" spans="2:7" x14ac:dyDescent="0.2">
      <c r="C106" s="1" t="s">
        <v>14</v>
      </c>
      <c r="D106" s="1">
        <v>541</v>
      </c>
      <c r="E106" s="1">
        <v>4836106</v>
      </c>
      <c r="G106" s="1">
        <f t="shared" si="2"/>
        <v>8939.1977818853975</v>
      </c>
    </row>
    <row r="107" spans="2:7" x14ac:dyDescent="0.2">
      <c r="C107" s="1" t="s">
        <v>15</v>
      </c>
      <c r="D107" s="1">
        <v>29</v>
      </c>
      <c r="E107" s="1">
        <v>551000</v>
      </c>
      <c r="G107" s="1">
        <f t="shared" si="2"/>
        <v>19000</v>
      </c>
    </row>
    <row r="108" spans="2:7" x14ac:dyDescent="0.2">
      <c r="C108" s="1" t="s">
        <v>16</v>
      </c>
      <c r="D108" s="1">
        <v>28</v>
      </c>
      <c r="E108" s="1">
        <v>495000</v>
      </c>
      <c r="G108" s="1">
        <f t="shared" si="2"/>
        <v>17678.571428571428</v>
      </c>
    </row>
    <row r="109" spans="2:7" x14ac:dyDescent="0.2">
      <c r="C109" s="1" t="s">
        <v>17</v>
      </c>
      <c r="D109" s="1">
        <v>284</v>
      </c>
      <c r="E109" s="1">
        <v>2825702</v>
      </c>
      <c r="G109" s="1">
        <f t="shared" si="2"/>
        <v>9949.6549295774639</v>
      </c>
    </row>
    <row r="110" spans="2:7" x14ac:dyDescent="0.2">
      <c r="C110" s="1" t="s">
        <v>18</v>
      </c>
      <c r="D110" s="1">
        <v>50</v>
      </c>
      <c r="E110" s="1">
        <v>666000</v>
      </c>
      <c r="G110" s="1">
        <f t="shared" si="2"/>
        <v>13320</v>
      </c>
    </row>
    <row r="111" spans="2:7" x14ac:dyDescent="0.2">
      <c r="C111" s="1" t="s">
        <v>19</v>
      </c>
      <c r="D111" s="1">
        <v>217</v>
      </c>
      <c r="E111" s="1">
        <v>2215404</v>
      </c>
      <c r="G111" s="1">
        <f t="shared" si="2"/>
        <v>10209.235023041474</v>
      </c>
    </row>
    <row r="112" spans="2:7" x14ac:dyDescent="0.2">
      <c r="C112" s="1" t="s">
        <v>20</v>
      </c>
      <c r="D112" s="1">
        <v>14</v>
      </c>
      <c r="E112" s="1">
        <v>294000</v>
      </c>
      <c r="G112" s="1">
        <f t="shared" si="2"/>
        <v>21000</v>
      </c>
    </row>
    <row r="113" spans="2:17" x14ac:dyDescent="0.2">
      <c r="C113" s="1" t="s">
        <v>21</v>
      </c>
      <c r="D113" s="1">
        <v>113</v>
      </c>
      <c r="E113" s="1">
        <v>1424000</v>
      </c>
      <c r="G113" s="1">
        <f t="shared" si="2"/>
        <v>12601.769911504425</v>
      </c>
    </row>
    <row r="114" spans="2:17" x14ac:dyDescent="0.2">
      <c r="C114" s="1" t="s">
        <v>22</v>
      </c>
      <c r="D114" s="1">
        <v>49</v>
      </c>
      <c r="E114" s="1">
        <v>657000</v>
      </c>
      <c r="G114" s="1">
        <f t="shared" si="2"/>
        <v>13408.163265306122</v>
      </c>
    </row>
    <row r="115" spans="2:17" x14ac:dyDescent="0.2">
      <c r="C115" s="287" t="s">
        <v>23</v>
      </c>
      <c r="D115" s="288">
        <v>1117</v>
      </c>
      <c r="E115" s="288">
        <v>8780046.5</v>
      </c>
      <c r="G115" s="1">
        <f t="shared" si="2"/>
        <v>7860.3818263205012</v>
      </c>
    </row>
    <row r="116" spans="2:17" x14ac:dyDescent="0.2">
      <c r="K116" s="1">
        <v>60648.75</v>
      </c>
      <c r="L116" s="1">
        <v>40432.5</v>
      </c>
      <c r="M116" s="1">
        <v>26955</v>
      </c>
      <c r="N116" s="1">
        <v>10782</v>
      </c>
      <c r="O116" s="1">
        <v>5391</v>
      </c>
      <c r="P116" s="1">
        <v>2695.5</v>
      </c>
      <c r="Q116" s="1">
        <v>2695.5</v>
      </c>
    </row>
    <row r="119" spans="2:17" x14ac:dyDescent="0.2">
      <c r="K119" s="1">
        <v>24259.5</v>
      </c>
      <c r="L119" s="1">
        <v>16172.999999999998</v>
      </c>
      <c r="M119" s="1">
        <v>10782</v>
      </c>
      <c r="N119" s="1">
        <v>4312.7999999999993</v>
      </c>
      <c r="O119" s="1">
        <v>2156.3999999999996</v>
      </c>
      <c r="P119" s="1">
        <v>1078.1999999999998</v>
      </c>
      <c r="Q119" s="1">
        <v>1078.1999999999998</v>
      </c>
    </row>
    <row r="120" spans="2:17" x14ac:dyDescent="0.2">
      <c r="K120" s="1" t="s">
        <v>110</v>
      </c>
      <c r="L120" s="1" t="s">
        <v>111</v>
      </c>
      <c r="M120" s="1" t="s">
        <v>112</v>
      </c>
      <c r="N120" s="1" t="s">
        <v>113</v>
      </c>
      <c r="O120" s="1" t="s">
        <v>114</v>
      </c>
      <c r="P120" s="1" t="s">
        <v>115</v>
      </c>
      <c r="Q120" s="1" t="s">
        <v>116</v>
      </c>
    </row>
    <row r="121" spans="2:17" x14ac:dyDescent="0.2">
      <c r="D121" s="1" t="s">
        <v>298</v>
      </c>
      <c r="E121" s="1" t="s">
        <v>156</v>
      </c>
      <c r="G121" s="1" t="s">
        <v>157</v>
      </c>
    </row>
    <row r="122" spans="2:17" x14ac:dyDescent="0.2">
      <c r="B122" s="1">
        <v>2013</v>
      </c>
      <c r="C122" s="1" t="s">
        <v>8</v>
      </c>
    </row>
    <row r="123" spans="2:17" x14ac:dyDescent="0.2">
      <c r="C123" s="1" t="s">
        <v>9</v>
      </c>
      <c r="D123" s="1">
        <v>93</v>
      </c>
      <c r="E123" s="1">
        <v>1164395</v>
      </c>
      <c r="G123" s="1">
        <f t="shared" ref="G123:G185" si="3">E123/D123</f>
        <v>12520.376344086022</v>
      </c>
    </row>
    <row r="124" spans="2:17" x14ac:dyDescent="0.2">
      <c r="C124" s="1" t="s">
        <v>10</v>
      </c>
      <c r="D124" s="1">
        <v>316</v>
      </c>
      <c r="E124" s="1">
        <v>3382100</v>
      </c>
      <c r="G124" s="1">
        <f t="shared" si="3"/>
        <v>10702.848101265823</v>
      </c>
    </row>
    <row r="125" spans="2:17" x14ac:dyDescent="0.2">
      <c r="C125" s="1" t="s">
        <v>11</v>
      </c>
    </row>
    <row r="126" spans="2:17" x14ac:dyDescent="0.2">
      <c r="C126" s="1" t="s">
        <v>12</v>
      </c>
    </row>
    <row r="127" spans="2:17" x14ac:dyDescent="0.2">
      <c r="C127" s="1" t="s">
        <v>13</v>
      </c>
      <c r="D127" s="1">
        <v>196</v>
      </c>
      <c r="E127" s="1">
        <v>2069460</v>
      </c>
      <c r="G127" s="1">
        <f t="shared" si="3"/>
        <v>10558.469387755102</v>
      </c>
    </row>
    <row r="128" spans="2:17" x14ac:dyDescent="0.2">
      <c r="C128" s="1" t="s">
        <v>14</v>
      </c>
      <c r="D128" s="1">
        <v>604</v>
      </c>
      <c r="E128" s="1">
        <v>5854215</v>
      </c>
      <c r="G128" s="1">
        <f t="shared" si="3"/>
        <v>9692.4089403973503</v>
      </c>
    </row>
    <row r="129" spans="2:7" x14ac:dyDescent="0.2">
      <c r="C129" s="1" t="s">
        <v>15</v>
      </c>
    </row>
    <row r="130" spans="2:7" x14ac:dyDescent="0.2">
      <c r="C130" s="1" t="s">
        <v>16</v>
      </c>
    </row>
    <row r="131" spans="2:7" x14ac:dyDescent="0.2">
      <c r="C131" s="1" t="s">
        <v>17</v>
      </c>
      <c r="D131" s="1">
        <v>262</v>
      </c>
      <c r="E131" s="1">
        <v>3324820</v>
      </c>
      <c r="G131" s="1">
        <f t="shared" si="3"/>
        <v>12690.152671755724</v>
      </c>
    </row>
    <row r="132" spans="2:7" x14ac:dyDescent="0.2">
      <c r="C132" s="1" t="s">
        <v>18</v>
      </c>
    </row>
    <row r="133" spans="2:7" x14ac:dyDescent="0.2">
      <c r="C133" s="1" t="s">
        <v>19</v>
      </c>
      <c r="D133" s="1">
        <v>220</v>
      </c>
      <c r="E133" s="1">
        <v>2390395</v>
      </c>
      <c r="G133" s="1">
        <f t="shared" si="3"/>
        <v>10865.431818181818</v>
      </c>
    </row>
    <row r="134" spans="2:7" x14ac:dyDescent="0.2">
      <c r="C134" s="1" t="s">
        <v>20</v>
      </c>
    </row>
    <row r="135" spans="2:7" x14ac:dyDescent="0.2">
      <c r="C135" s="1" t="s">
        <v>21</v>
      </c>
      <c r="D135" s="1">
        <v>119</v>
      </c>
      <c r="E135" s="1">
        <v>1401000</v>
      </c>
      <c r="G135" s="1">
        <f t="shared" si="3"/>
        <v>11773.10924369748</v>
      </c>
    </row>
    <row r="136" spans="2:7" x14ac:dyDescent="0.2">
      <c r="C136" s="1" t="s">
        <v>22</v>
      </c>
    </row>
    <row r="137" spans="2:7" x14ac:dyDescent="0.2">
      <c r="C137" s="287" t="s">
        <v>23</v>
      </c>
      <c r="D137" s="288">
        <v>1086</v>
      </c>
      <c r="E137" s="288">
        <v>9509985</v>
      </c>
      <c r="G137" s="1">
        <f t="shared" si="3"/>
        <v>8756.8922651933699</v>
      </c>
    </row>
    <row r="138" spans="2:7" x14ac:dyDescent="0.2">
      <c r="B138" s="1">
        <v>2012</v>
      </c>
      <c r="C138" s="1" t="s">
        <v>8</v>
      </c>
    </row>
    <row r="139" spans="2:7" x14ac:dyDescent="0.2">
      <c r="C139" s="1" t="s">
        <v>9</v>
      </c>
      <c r="D139" s="1">
        <v>84</v>
      </c>
      <c r="E139" s="1">
        <v>1154316</v>
      </c>
      <c r="G139" s="1">
        <f t="shared" si="3"/>
        <v>13741.857142857143</v>
      </c>
    </row>
    <row r="140" spans="2:7" x14ac:dyDescent="0.2">
      <c r="C140" s="1" t="s">
        <v>10</v>
      </c>
      <c r="D140" s="1">
        <v>313</v>
      </c>
      <c r="E140" s="1">
        <v>3272448.6666666665</v>
      </c>
      <c r="G140" s="1">
        <f t="shared" si="3"/>
        <v>10455.107561235356</v>
      </c>
    </row>
    <row r="141" spans="2:7" x14ac:dyDescent="0.2">
      <c r="C141" s="1" t="s">
        <v>11</v>
      </c>
    </row>
    <row r="142" spans="2:7" x14ac:dyDescent="0.2">
      <c r="C142" s="1" t="s">
        <v>12</v>
      </c>
    </row>
    <row r="143" spans="2:7" x14ac:dyDescent="0.2">
      <c r="C143" s="1" t="s">
        <v>13</v>
      </c>
      <c r="D143" s="1">
        <v>181</v>
      </c>
      <c r="E143" s="1">
        <v>1962948</v>
      </c>
      <c r="G143" s="1">
        <f t="shared" si="3"/>
        <v>10845.016574585636</v>
      </c>
    </row>
    <row r="144" spans="2:7" x14ac:dyDescent="0.2">
      <c r="C144" s="1" t="s">
        <v>14</v>
      </c>
      <c r="D144" s="1">
        <v>581</v>
      </c>
      <c r="E144" s="1">
        <v>5732066.333333333</v>
      </c>
      <c r="G144" s="1">
        <f t="shared" si="3"/>
        <v>9865.8628800917959</v>
      </c>
    </row>
    <row r="145" spans="2:10" x14ac:dyDescent="0.2">
      <c r="C145" s="1" t="s">
        <v>15</v>
      </c>
    </row>
    <row r="146" spans="2:10" x14ac:dyDescent="0.2">
      <c r="C146" s="1" t="s">
        <v>16</v>
      </c>
    </row>
    <row r="147" spans="2:10" x14ac:dyDescent="0.2">
      <c r="C147" s="1" t="s">
        <v>17</v>
      </c>
      <c r="D147" s="1">
        <v>273</v>
      </c>
      <c r="E147" s="1">
        <v>3091316</v>
      </c>
      <c r="G147" s="1">
        <f t="shared" si="3"/>
        <v>11323.501831501831</v>
      </c>
    </row>
    <row r="148" spans="2:10" x14ac:dyDescent="0.2">
      <c r="C148" s="1" t="s">
        <v>18</v>
      </c>
    </row>
    <row r="149" spans="2:10" x14ac:dyDescent="0.2">
      <c r="C149" s="1" t="s">
        <v>19</v>
      </c>
      <c r="D149" s="1">
        <v>214</v>
      </c>
      <c r="E149" s="1">
        <v>2427750.3333333335</v>
      </c>
      <c r="G149" s="1">
        <f t="shared" si="3"/>
        <v>11344.627725856699</v>
      </c>
    </row>
    <row r="150" spans="2:10" x14ac:dyDescent="0.2">
      <c r="C150" s="1" t="s">
        <v>20</v>
      </c>
    </row>
    <row r="151" spans="2:10" x14ac:dyDescent="0.2">
      <c r="C151" s="1" t="s">
        <v>21</v>
      </c>
      <c r="D151" s="1">
        <v>109</v>
      </c>
      <c r="E151" s="1">
        <v>1336000</v>
      </c>
      <c r="G151" s="1">
        <f t="shared" si="3"/>
        <v>12256.880733944954</v>
      </c>
    </row>
    <row r="152" spans="2:10" x14ac:dyDescent="0.2">
      <c r="C152" s="1" t="s">
        <v>22</v>
      </c>
    </row>
    <row r="153" spans="2:10" ht="16.5" thickBot="1" x14ac:dyDescent="0.3">
      <c r="C153" s="287" t="s">
        <v>23</v>
      </c>
      <c r="D153" s="288">
        <v>1102</v>
      </c>
      <c r="E153" s="288">
        <v>9042962.333333334</v>
      </c>
      <c r="F153" s="288"/>
      <c r="G153" s="1">
        <f t="shared" si="3"/>
        <v>8205.9549304295233</v>
      </c>
      <c r="J153" s="234" t="s">
        <v>327</v>
      </c>
    </row>
    <row r="154" spans="2:10" x14ac:dyDescent="0.2">
      <c r="B154" s="1">
        <v>2011</v>
      </c>
      <c r="C154" s="1" t="s">
        <v>8</v>
      </c>
      <c r="J154" s="1" t="s">
        <v>328</v>
      </c>
    </row>
    <row r="155" spans="2:10" x14ac:dyDescent="0.2">
      <c r="C155" s="1" t="s">
        <v>9</v>
      </c>
      <c r="D155" s="1">
        <v>89</v>
      </c>
      <c r="E155" s="1">
        <v>1176137</v>
      </c>
      <c r="G155" s="1">
        <f t="shared" si="3"/>
        <v>13215.022471910112</v>
      </c>
      <c r="J155" s="1" t="s">
        <v>329</v>
      </c>
    </row>
    <row r="156" spans="2:10" x14ac:dyDescent="0.2">
      <c r="C156" s="1" t="s">
        <v>10</v>
      </c>
      <c r="D156" s="1">
        <v>318</v>
      </c>
      <c r="E156" s="1">
        <v>3268393</v>
      </c>
      <c r="G156" s="1">
        <f t="shared" si="3"/>
        <v>10277.965408805032</v>
      </c>
      <c r="J156" s="1" t="s">
        <v>330</v>
      </c>
    </row>
    <row r="157" spans="2:10" x14ac:dyDescent="0.2">
      <c r="C157" s="1" t="s">
        <v>11</v>
      </c>
    </row>
    <row r="158" spans="2:10" x14ac:dyDescent="0.2">
      <c r="C158" s="1" t="s">
        <v>12</v>
      </c>
    </row>
    <row r="159" spans="2:10" x14ac:dyDescent="0.2">
      <c r="C159" s="1" t="s">
        <v>13</v>
      </c>
      <c r="D159" s="1">
        <v>173</v>
      </c>
      <c r="E159" s="1">
        <v>1922367</v>
      </c>
      <c r="G159" s="1">
        <f t="shared" si="3"/>
        <v>11111.947976878613</v>
      </c>
    </row>
    <row r="160" spans="2:10" x14ac:dyDescent="0.2">
      <c r="C160" s="1" t="s">
        <v>14</v>
      </c>
      <c r="D160" s="1">
        <v>565</v>
      </c>
      <c r="E160" s="1">
        <v>5202628</v>
      </c>
      <c r="G160" s="1">
        <f t="shared" si="3"/>
        <v>9208.191150442477</v>
      </c>
    </row>
    <row r="161" spans="2:7" x14ac:dyDescent="0.2">
      <c r="C161" s="1" t="s">
        <v>15</v>
      </c>
    </row>
    <row r="162" spans="2:7" x14ac:dyDescent="0.2">
      <c r="C162" s="1" t="s">
        <v>16</v>
      </c>
    </row>
    <row r="163" spans="2:7" x14ac:dyDescent="0.2">
      <c r="C163" s="1" t="s">
        <v>17</v>
      </c>
      <c r="D163" s="1">
        <v>275</v>
      </c>
      <c r="E163" s="1">
        <v>2981876</v>
      </c>
      <c r="G163" s="1">
        <f t="shared" si="3"/>
        <v>10843.185454545455</v>
      </c>
    </row>
    <row r="164" spans="2:7" x14ac:dyDescent="0.2">
      <c r="C164" s="1" t="s">
        <v>18</v>
      </c>
    </row>
    <row r="165" spans="2:7" x14ac:dyDescent="0.2">
      <c r="C165" s="1" t="s">
        <v>19</v>
      </c>
      <c r="D165" s="1">
        <v>208</v>
      </c>
      <c r="E165" s="1">
        <v>2285752</v>
      </c>
      <c r="G165" s="1">
        <f t="shared" si="3"/>
        <v>10989.192307692309</v>
      </c>
    </row>
    <row r="166" spans="2:7" x14ac:dyDescent="0.2">
      <c r="C166" s="1" t="s">
        <v>20</v>
      </c>
    </row>
    <row r="167" spans="2:7" x14ac:dyDescent="0.2">
      <c r="C167" s="1" t="s">
        <v>21</v>
      </c>
      <c r="D167" s="1">
        <v>103</v>
      </c>
      <c r="E167" s="1">
        <v>1375000</v>
      </c>
      <c r="G167" s="1">
        <f t="shared" si="3"/>
        <v>13349.514563106795</v>
      </c>
    </row>
    <row r="168" spans="2:7" x14ac:dyDescent="0.2">
      <c r="C168" s="1" t="s">
        <v>22</v>
      </c>
    </row>
    <row r="169" spans="2:7" x14ac:dyDescent="0.2">
      <c r="C169" s="287" t="s">
        <v>23</v>
      </c>
      <c r="D169" s="288">
        <v>1080</v>
      </c>
      <c r="E169" s="288">
        <v>8898884</v>
      </c>
      <c r="G169" s="1">
        <f t="shared" si="3"/>
        <v>8239.707407407408</v>
      </c>
    </row>
    <row r="170" spans="2:7" x14ac:dyDescent="0.2">
      <c r="B170" s="1">
        <v>2010</v>
      </c>
      <c r="C170" s="1" t="s">
        <v>8</v>
      </c>
    </row>
    <row r="171" spans="2:7" x14ac:dyDescent="0.2">
      <c r="C171" s="1" t="s">
        <v>9</v>
      </c>
      <c r="D171" s="1">
        <v>93</v>
      </c>
      <c r="E171" s="1">
        <v>1172404</v>
      </c>
      <c r="G171" s="1">
        <f t="shared" si="3"/>
        <v>12606.494623655914</v>
      </c>
    </row>
    <row r="172" spans="2:7" x14ac:dyDescent="0.2">
      <c r="C172" s="1" t="s">
        <v>10</v>
      </c>
      <c r="D172" s="1">
        <v>309</v>
      </c>
      <c r="E172" s="1">
        <v>3217706.5</v>
      </c>
      <c r="G172" s="1">
        <f t="shared" si="3"/>
        <v>10413.289644012944</v>
      </c>
    </row>
    <row r="173" spans="2:7" x14ac:dyDescent="0.2">
      <c r="C173" s="1" t="s">
        <v>11</v>
      </c>
    </row>
    <row r="174" spans="2:7" x14ac:dyDescent="0.2">
      <c r="C174" s="1" t="s">
        <v>12</v>
      </c>
    </row>
    <row r="175" spans="2:7" x14ac:dyDescent="0.2">
      <c r="C175" s="1" t="s">
        <v>13</v>
      </c>
      <c r="D175" s="1">
        <v>172</v>
      </c>
      <c r="E175" s="1">
        <v>1858404</v>
      </c>
      <c r="G175" s="1">
        <f t="shared" si="3"/>
        <v>10804.674418604651</v>
      </c>
    </row>
    <row r="176" spans="2:7" x14ac:dyDescent="0.2">
      <c r="C176" s="1" t="s">
        <v>14</v>
      </c>
      <c r="D176" s="1">
        <v>541</v>
      </c>
      <c r="E176" s="1">
        <v>4836106</v>
      </c>
      <c r="G176" s="1">
        <f t="shared" si="3"/>
        <v>8939.1977818853975</v>
      </c>
    </row>
    <row r="177" spans="2:8" x14ac:dyDescent="0.2">
      <c r="C177" s="1" t="s">
        <v>15</v>
      </c>
    </row>
    <row r="178" spans="2:8" x14ac:dyDescent="0.2">
      <c r="C178" s="1" t="s">
        <v>16</v>
      </c>
    </row>
    <row r="179" spans="2:8" x14ac:dyDescent="0.2">
      <c r="C179" s="1" t="s">
        <v>17</v>
      </c>
      <c r="D179" s="1">
        <v>284</v>
      </c>
      <c r="E179" s="1">
        <v>2825702</v>
      </c>
      <c r="G179" s="1">
        <f t="shared" si="3"/>
        <v>9949.6549295774639</v>
      </c>
    </row>
    <row r="180" spans="2:8" x14ac:dyDescent="0.2">
      <c r="C180" s="1" t="s">
        <v>18</v>
      </c>
    </row>
    <row r="181" spans="2:8" x14ac:dyDescent="0.2">
      <c r="C181" s="1" t="s">
        <v>19</v>
      </c>
      <c r="D181" s="1">
        <v>217</v>
      </c>
      <c r="E181" s="1">
        <v>2215404</v>
      </c>
      <c r="G181" s="1">
        <f t="shared" si="3"/>
        <v>10209.235023041474</v>
      </c>
    </row>
    <row r="182" spans="2:8" x14ac:dyDescent="0.2">
      <c r="C182" s="1" t="s">
        <v>20</v>
      </c>
    </row>
    <row r="183" spans="2:8" x14ac:dyDescent="0.2">
      <c r="C183" s="1" t="s">
        <v>21</v>
      </c>
      <c r="D183" s="1">
        <v>113</v>
      </c>
      <c r="E183" s="1">
        <v>1424000</v>
      </c>
      <c r="G183" s="1">
        <f t="shared" si="3"/>
        <v>12601.769911504425</v>
      </c>
    </row>
    <row r="184" spans="2:8" x14ac:dyDescent="0.2">
      <c r="C184" s="1" t="s">
        <v>22</v>
      </c>
    </row>
    <row r="185" spans="2:8" x14ac:dyDescent="0.2">
      <c r="C185" s="287" t="s">
        <v>23</v>
      </c>
      <c r="D185" s="288">
        <v>1117</v>
      </c>
      <c r="E185" s="288">
        <v>8780046.5</v>
      </c>
      <c r="G185" s="1">
        <f t="shared" si="3"/>
        <v>7860.3818263205012</v>
      </c>
    </row>
    <row r="189" spans="2:8" x14ac:dyDescent="0.2">
      <c r="E189" s="1" t="s">
        <v>156</v>
      </c>
      <c r="G189" s="1" t="s">
        <v>157</v>
      </c>
      <c r="H189" s="1" t="s">
        <v>630</v>
      </c>
    </row>
    <row r="190" spans="2:8" x14ac:dyDescent="0.2">
      <c r="B190" s="1">
        <v>2013</v>
      </c>
      <c r="C190" s="1" t="s">
        <v>8</v>
      </c>
      <c r="D190" s="1">
        <v>43</v>
      </c>
      <c r="E190" s="1">
        <v>731000</v>
      </c>
      <c r="G190" s="1">
        <f>E190/D190</f>
        <v>17000</v>
      </c>
      <c r="H190" s="1198">
        <v>108</v>
      </c>
    </row>
    <row r="191" spans="2:8" x14ac:dyDescent="0.2">
      <c r="C191" s="1" t="s">
        <v>9</v>
      </c>
      <c r="D191" s="1">
        <v>93</v>
      </c>
      <c r="E191" s="1">
        <v>1164395</v>
      </c>
      <c r="G191" s="1">
        <f t="shared" ref="G191:G253" si="4">E191/D191</f>
        <v>12520.376344086022</v>
      </c>
      <c r="H191" s="1199">
        <v>107.68999999999994</v>
      </c>
    </row>
    <row r="192" spans="2:8" x14ac:dyDescent="0.2">
      <c r="C192" s="1" t="s">
        <v>10</v>
      </c>
      <c r="D192" s="1">
        <v>316</v>
      </c>
      <c r="E192" s="1">
        <v>3382100</v>
      </c>
      <c r="G192" s="1">
        <f t="shared" si="4"/>
        <v>10702.848101265823</v>
      </c>
      <c r="H192" s="1199">
        <v>123.24999999999999</v>
      </c>
    </row>
    <row r="193" spans="2:8" x14ac:dyDescent="0.2">
      <c r="C193" s="1" t="s">
        <v>11</v>
      </c>
      <c r="D193" s="1">
        <v>58</v>
      </c>
      <c r="E193" s="1">
        <v>977000</v>
      </c>
      <c r="G193" s="1">
        <f t="shared" si="4"/>
        <v>16844.827586206895</v>
      </c>
      <c r="H193" s="1199">
        <v>134.77999999999997</v>
      </c>
    </row>
    <row r="194" spans="2:8" x14ac:dyDescent="0.2">
      <c r="C194" s="1" t="s">
        <v>12</v>
      </c>
      <c r="D194" s="1">
        <v>53</v>
      </c>
      <c r="E194" s="1">
        <v>674640</v>
      </c>
      <c r="G194" s="1">
        <f t="shared" si="4"/>
        <v>12729.056603773584</v>
      </c>
      <c r="H194" s="1199">
        <v>84.340000000000032</v>
      </c>
    </row>
    <row r="195" spans="2:8" x14ac:dyDescent="0.2">
      <c r="C195" s="1" t="s">
        <v>13</v>
      </c>
      <c r="D195" s="1">
        <v>196</v>
      </c>
      <c r="E195" s="1">
        <v>2069460</v>
      </c>
      <c r="G195" s="1">
        <f t="shared" si="4"/>
        <v>10558.469387755102</v>
      </c>
      <c r="H195" s="1199">
        <v>138.16999999999985</v>
      </c>
    </row>
    <row r="196" spans="2:8" x14ac:dyDescent="0.2">
      <c r="C196" s="1" t="s">
        <v>14</v>
      </c>
      <c r="D196" s="1">
        <v>604</v>
      </c>
      <c r="E196" s="1">
        <v>5854215</v>
      </c>
      <c r="G196" s="1">
        <f t="shared" si="4"/>
        <v>9692.4089403973503</v>
      </c>
      <c r="H196" s="1199">
        <v>142.52999999999997</v>
      </c>
    </row>
    <row r="197" spans="2:8" x14ac:dyDescent="0.2">
      <c r="C197" s="1" t="s">
        <v>15</v>
      </c>
      <c r="D197" s="1">
        <v>22</v>
      </c>
      <c r="E197" s="1">
        <v>537000</v>
      </c>
      <c r="G197" s="1">
        <f t="shared" si="4"/>
        <v>24409.090909090908</v>
      </c>
      <c r="H197" s="1199">
        <v>99.259999999999991</v>
      </c>
    </row>
    <row r="198" spans="2:8" x14ac:dyDescent="0.2">
      <c r="C198" s="1" t="s">
        <v>16</v>
      </c>
      <c r="D198" s="1">
        <v>26</v>
      </c>
      <c r="E198" s="1">
        <v>504000</v>
      </c>
      <c r="G198" s="1">
        <f t="shared" si="4"/>
        <v>19384.615384615383</v>
      </c>
      <c r="H198" s="1199">
        <v>63.550000000000182</v>
      </c>
    </row>
    <row r="199" spans="2:8" x14ac:dyDescent="0.2">
      <c r="C199" s="1" t="s">
        <v>17</v>
      </c>
      <c r="D199" s="1">
        <v>262</v>
      </c>
      <c r="E199" s="1">
        <v>3324820</v>
      </c>
      <c r="G199" s="1">
        <f t="shared" si="4"/>
        <v>12690.152671755724</v>
      </c>
      <c r="H199" s="1199">
        <v>113.08000000000004</v>
      </c>
    </row>
    <row r="200" spans="2:8" x14ac:dyDescent="0.2">
      <c r="C200" s="1" t="s">
        <v>18</v>
      </c>
      <c r="D200" s="1">
        <v>55</v>
      </c>
      <c r="E200" s="1">
        <v>770000</v>
      </c>
      <c r="G200" s="1">
        <f t="shared" si="4"/>
        <v>14000</v>
      </c>
      <c r="H200" s="1199">
        <v>36.26</v>
      </c>
    </row>
    <row r="201" spans="2:8" x14ac:dyDescent="0.2">
      <c r="C201" s="1" t="s">
        <v>19</v>
      </c>
      <c r="D201" s="1">
        <v>220</v>
      </c>
      <c r="E201" s="1">
        <v>2390395</v>
      </c>
      <c r="G201" s="1">
        <f t="shared" si="4"/>
        <v>10865.431818181818</v>
      </c>
      <c r="H201" s="1199">
        <v>151.91999999999996</v>
      </c>
    </row>
    <row r="202" spans="2:8" x14ac:dyDescent="0.2">
      <c r="C202" s="1" t="s">
        <v>20</v>
      </c>
      <c r="D202" s="1">
        <v>3</v>
      </c>
      <c r="E202" s="1">
        <v>156000</v>
      </c>
      <c r="G202" s="1">
        <f t="shared" si="4"/>
        <v>52000</v>
      </c>
      <c r="H202" s="1199">
        <v>28.04000000000002</v>
      </c>
    </row>
    <row r="203" spans="2:8" x14ac:dyDescent="0.2">
      <c r="C203" s="1" t="s">
        <v>21</v>
      </c>
      <c r="D203" s="1">
        <v>119</v>
      </c>
      <c r="E203" s="1">
        <v>1401000</v>
      </c>
      <c r="G203" s="1">
        <f t="shared" si="4"/>
        <v>11773.10924369748</v>
      </c>
      <c r="H203" s="1199">
        <v>108.12</v>
      </c>
    </row>
    <row r="204" spans="2:8" x14ac:dyDescent="0.2">
      <c r="C204" s="1" t="s">
        <v>22</v>
      </c>
      <c r="D204" s="1">
        <v>50</v>
      </c>
      <c r="E204" s="1">
        <v>662425</v>
      </c>
      <c r="G204" s="1">
        <f t="shared" si="4"/>
        <v>13248.5</v>
      </c>
      <c r="H204" s="235">
        <v>101.59000000000003</v>
      </c>
    </row>
    <row r="205" spans="2:8" x14ac:dyDescent="0.2">
      <c r="C205" s="287" t="s">
        <v>23</v>
      </c>
      <c r="D205" s="288">
        <v>1086</v>
      </c>
      <c r="E205" s="288">
        <v>9509985</v>
      </c>
      <c r="G205" s="1">
        <f t="shared" si="4"/>
        <v>8756.8922651933699</v>
      </c>
      <c r="H205" s="1199">
        <v>11.8</v>
      </c>
    </row>
    <row r="206" spans="2:8" x14ac:dyDescent="0.2">
      <c r="B206" s="1">
        <v>2012</v>
      </c>
      <c r="C206" s="1" t="s">
        <v>8</v>
      </c>
      <c r="D206" s="1">
        <v>42</v>
      </c>
      <c r="E206" s="1">
        <v>774000</v>
      </c>
      <c r="G206" s="1">
        <f t="shared" si="4"/>
        <v>18428.571428571428</v>
      </c>
      <c r="H206" s="1198">
        <v>108</v>
      </c>
    </row>
    <row r="207" spans="2:8" x14ac:dyDescent="0.2">
      <c r="C207" s="1" t="s">
        <v>9</v>
      </c>
      <c r="D207" s="1">
        <v>84</v>
      </c>
      <c r="E207" s="1">
        <v>1154316</v>
      </c>
      <c r="G207" s="1">
        <f t="shared" si="4"/>
        <v>13741.857142857143</v>
      </c>
      <c r="H207" s="1199">
        <v>107.68999999999994</v>
      </c>
    </row>
    <row r="208" spans="2:8" x14ac:dyDescent="0.2">
      <c r="C208" s="1" t="s">
        <v>10</v>
      </c>
      <c r="D208" s="1">
        <v>313</v>
      </c>
      <c r="E208" s="1">
        <v>3272448.6666666665</v>
      </c>
      <c r="G208" s="1">
        <f t="shared" si="4"/>
        <v>10455.107561235356</v>
      </c>
      <c r="H208" s="1199">
        <v>123.24999999999999</v>
      </c>
    </row>
    <row r="209" spans="2:8" x14ac:dyDescent="0.2">
      <c r="C209" s="1" t="s">
        <v>11</v>
      </c>
      <c r="D209" s="1">
        <v>63</v>
      </c>
      <c r="E209" s="1">
        <v>1032000</v>
      </c>
      <c r="G209" s="1">
        <f t="shared" si="4"/>
        <v>16380.952380952382</v>
      </c>
      <c r="H209" s="1199">
        <v>134.77999999999997</v>
      </c>
    </row>
    <row r="210" spans="2:8" x14ac:dyDescent="0.2">
      <c r="C210" s="1" t="s">
        <v>12</v>
      </c>
      <c r="D210" s="1">
        <v>52</v>
      </c>
      <c r="E210" s="1">
        <v>598632</v>
      </c>
      <c r="G210" s="1">
        <f t="shared" si="4"/>
        <v>11512.153846153846</v>
      </c>
      <c r="H210" s="1199">
        <v>84.340000000000032</v>
      </c>
    </row>
    <row r="211" spans="2:8" x14ac:dyDescent="0.2">
      <c r="C211" s="1" t="s">
        <v>13</v>
      </c>
      <c r="D211" s="1">
        <v>181</v>
      </c>
      <c r="E211" s="1">
        <v>1962948</v>
      </c>
      <c r="G211" s="1">
        <f t="shared" si="4"/>
        <v>10845.016574585636</v>
      </c>
      <c r="H211" s="1199">
        <v>138.16999999999985</v>
      </c>
    </row>
    <row r="212" spans="2:8" x14ac:dyDescent="0.2">
      <c r="C212" s="1" t="s">
        <v>14</v>
      </c>
      <c r="D212" s="1">
        <v>581</v>
      </c>
      <c r="E212" s="1">
        <v>5732066.333333333</v>
      </c>
      <c r="G212" s="1">
        <f t="shared" si="4"/>
        <v>9865.8628800917959</v>
      </c>
      <c r="H212" s="1199">
        <v>142.52999999999997</v>
      </c>
    </row>
    <row r="213" spans="2:8" x14ac:dyDescent="0.2">
      <c r="C213" s="1" t="s">
        <v>15</v>
      </c>
      <c r="D213" s="1">
        <v>24</v>
      </c>
      <c r="E213" s="1">
        <v>625000</v>
      </c>
      <c r="G213" s="1">
        <f t="shared" si="4"/>
        <v>26041.666666666668</v>
      </c>
      <c r="H213" s="1199">
        <v>99.259999999999991</v>
      </c>
    </row>
    <row r="214" spans="2:8" x14ac:dyDescent="0.2">
      <c r="C214" s="1" t="s">
        <v>16</v>
      </c>
      <c r="D214" s="1">
        <v>26</v>
      </c>
      <c r="E214" s="1">
        <v>552000</v>
      </c>
      <c r="G214" s="1">
        <f t="shared" si="4"/>
        <v>21230.76923076923</v>
      </c>
      <c r="H214" s="1199">
        <v>63.550000000000182</v>
      </c>
    </row>
    <row r="215" spans="2:8" x14ac:dyDescent="0.2">
      <c r="C215" s="1" t="s">
        <v>17</v>
      </c>
      <c r="D215" s="1">
        <v>273</v>
      </c>
      <c r="E215" s="1">
        <v>3091316</v>
      </c>
      <c r="G215" s="1">
        <f t="shared" si="4"/>
        <v>11323.501831501831</v>
      </c>
      <c r="H215" s="1199">
        <v>113.08000000000004</v>
      </c>
    </row>
    <row r="216" spans="2:8" x14ac:dyDescent="0.2">
      <c r="C216" s="1" t="s">
        <v>18</v>
      </c>
      <c r="D216" s="1">
        <v>48</v>
      </c>
      <c r="E216" s="1">
        <v>713000</v>
      </c>
      <c r="G216" s="1">
        <f t="shared" si="4"/>
        <v>14854.166666666666</v>
      </c>
      <c r="H216" s="1199">
        <v>36.26</v>
      </c>
    </row>
    <row r="217" spans="2:8" x14ac:dyDescent="0.2">
      <c r="C217" s="1" t="s">
        <v>19</v>
      </c>
      <c r="D217" s="1">
        <v>214</v>
      </c>
      <c r="E217" s="1">
        <v>2427750.3333333335</v>
      </c>
      <c r="G217" s="1">
        <f t="shared" si="4"/>
        <v>11344.627725856699</v>
      </c>
      <c r="H217" s="1199">
        <v>151.91999999999996</v>
      </c>
    </row>
    <row r="218" spans="2:8" x14ac:dyDescent="0.2">
      <c r="C218" s="1" t="s">
        <v>20</v>
      </c>
      <c r="D218" s="1">
        <v>8</v>
      </c>
      <c r="E218" s="1">
        <v>189000</v>
      </c>
      <c r="G218" s="1">
        <f t="shared" si="4"/>
        <v>23625</v>
      </c>
      <c r="H218" s="1199">
        <v>28.04000000000002</v>
      </c>
    </row>
    <row r="219" spans="2:8" x14ac:dyDescent="0.2">
      <c r="C219" s="1" t="s">
        <v>21</v>
      </c>
      <c r="D219" s="1">
        <v>109</v>
      </c>
      <c r="E219" s="1">
        <v>1336000</v>
      </c>
      <c r="G219" s="1">
        <f t="shared" si="4"/>
        <v>12256.880733944954</v>
      </c>
      <c r="H219" s="1199">
        <v>108.12</v>
      </c>
    </row>
    <row r="220" spans="2:8" x14ac:dyDescent="0.2">
      <c r="C220" s="1" t="s">
        <v>22</v>
      </c>
      <c r="D220" s="1">
        <v>45</v>
      </c>
      <c r="E220" s="1">
        <v>667434.33333333337</v>
      </c>
      <c r="G220" s="1">
        <f t="shared" si="4"/>
        <v>14831.874074074074</v>
      </c>
      <c r="H220" s="235">
        <v>101.59000000000003</v>
      </c>
    </row>
    <row r="221" spans="2:8" x14ac:dyDescent="0.2">
      <c r="C221" s="287" t="s">
        <v>23</v>
      </c>
      <c r="D221" s="288">
        <v>1102</v>
      </c>
      <c r="E221" s="288">
        <v>9042962.333333334</v>
      </c>
      <c r="F221" s="288"/>
      <c r="G221" s="1">
        <f t="shared" si="4"/>
        <v>8205.9549304295233</v>
      </c>
      <c r="H221" s="1199">
        <v>11.8</v>
      </c>
    </row>
    <row r="222" spans="2:8" x14ac:dyDescent="0.2">
      <c r="B222" s="1">
        <v>2011</v>
      </c>
      <c r="C222" s="1" t="s">
        <v>8</v>
      </c>
      <c r="D222" s="1">
        <v>46</v>
      </c>
      <c r="E222" s="1">
        <v>748000</v>
      </c>
      <c r="G222" s="1">
        <f t="shared" si="4"/>
        <v>16260.869565217392</v>
      </c>
      <c r="H222" s="1198">
        <v>108</v>
      </c>
    </row>
    <row r="223" spans="2:8" x14ac:dyDescent="0.2">
      <c r="C223" s="1" t="s">
        <v>9</v>
      </c>
      <c r="D223" s="1">
        <v>89</v>
      </c>
      <c r="E223" s="1">
        <v>1176137</v>
      </c>
      <c r="G223" s="1">
        <f t="shared" si="4"/>
        <v>13215.022471910112</v>
      </c>
      <c r="H223" s="1199">
        <v>107.68999999999994</v>
      </c>
    </row>
    <row r="224" spans="2:8" x14ac:dyDescent="0.2">
      <c r="C224" s="1" t="s">
        <v>10</v>
      </c>
      <c r="D224" s="1">
        <v>318</v>
      </c>
      <c r="E224" s="1">
        <v>3268393</v>
      </c>
      <c r="G224" s="1">
        <f t="shared" si="4"/>
        <v>10277.965408805032</v>
      </c>
      <c r="H224" s="1199">
        <v>123.24999999999999</v>
      </c>
    </row>
    <row r="225" spans="2:8" x14ac:dyDescent="0.2">
      <c r="C225" s="1" t="s">
        <v>11</v>
      </c>
      <c r="D225" s="1">
        <v>65</v>
      </c>
      <c r="E225" s="1">
        <v>952000</v>
      </c>
      <c r="G225" s="1">
        <f t="shared" si="4"/>
        <v>14646.153846153846</v>
      </c>
      <c r="H225" s="1199">
        <v>134.77999999999997</v>
      </c>
    </row>
    <row r="226" spans="2:8" x14ac:dyDescent="0.2">
      <c r="C226" s="1" t="s">
        <v>12</v>
      </c>
      <c r="D226" s="1">
        <v>50</v>
      </c>
      <c r="E226" s="1">
        <v>638013</v>
      </c>
      <c r="G226" s="1">
        <f t="shared" si="4"/>
        <v>12760.26</v>
      </c>
      <c r="H226" s="1199">
        <v>84.340000000000032</v>
      </c>
    </row>
    <row r="227" spans="2:8" x14ac:dyDescent="0.2">
      <c r="C227" s="1" t="s">
        <v>13</v>
      </c>
      <c r="D227" s="1">
        <v>173</v>
      </c>
      <c r="E227" s="1">
        <v>1922367</v>
      </c>
      <c r="G227" s="1">
        <f t="shared" si="4"/>
        <v>11111.947976878613</v>
      </c>
      <c r="H227" s="1199">
        <v>138.16999999999985</v>
      </c>
    </row>
    <row r="228" spans="2:8" x14ac:dyDescent="0.2">
      <c r="C228" s="1" t="s">
        <v>14</v>
      </c>
      <c r="D228" s="1">
        <v>565</v>
      </c>
      <c r="E228" s="1">
        <v>5202628</v>
      </c>
      <c r="G228" s="1">
        <f t="shared" si="4"/>
        <v>9208.191150442477</v>
      </c>
      <c r="H228" s="1199">
        <v>142.52999999999997</v>
      </c>
    </row>
    <row r="229" spans="2:8" x14ac:dyDescent="0.2">
      <c r="C229" s="1" t="s">
        <v>15</v>
      </c>
      <c r="D229" s="1">
        <v>33</v>
      </c>
      <c r="E229" s="1">
        <v>581000</v>
      </c>
      <c r="G229" s="1">
        <f t="shared" si="4"/>
        <v>17606.060606060608</v>
      </c>
      <c r="H229" s="1199">
        <v>99.259999999999991</v>
      </c>
    </row>
    <row r="230" spans="2:8" x14ac:dyDescent="0.2">
      <c r="C230" s="1" t="s">
        <v>16</v>
      </c>
      <c r="D230" s="1">
        <v>30</v>
      </c>
      <c r="E230" s="1">
        <v>470000</v>
      </c>
      <c r="G230" s="1">
        <f t="shared" si="4"/>
        <v>15666.666666666666</v>
      </c>
      <c r="H230" s="1199">
        <v>63.550000000000182</v>
      </c>
    </row>
    <row r="231" spans="2:8" x14ac:dyDescent="0.2">
      <c r="C231" s="1" t="s">
        <v>17</v>
      </c>
      <c r="D231" s="1">
        <v>275</v>
      </c>
      <c r="E231" s="1">
        <v>2981876</v>
      </c>
      <c r="G231" s="1">
        <f t="shared" si="4"/>
        <v>10843.185454545455</v>
      </c>
      <c r="H231" s="1199">
        <v>113.08000000000004</v>
      </c>
    </row>
    <row r="232" spans="2:8" x14ac:dyDescent="0.2">
      <c r="C232" s="1" t="s">
        <v>18</v>
      </c>
      <c r="D232" s="1">
        <v>51</v>
      </c>
      <c r="E232" s="1">
        <v>616000</v>
      </c>
      <c r="G232" s="1">
        <f t="shared" si="4"/>
        <v>12078.431372549019</v>
      </c>
      <c r="H232" s="1199">
        <v>36.26</v>
      </c>
    </row>
    <row r="233" spans="2:8" x14ac:dyDescent="0.2">
      <c r="C233" s="1" t="s">
        <v>19</v>
      </c>
      <c r="D233" s="1">
        <v>208</v>
      </c>
      <c r="E233" s="1">
        <v>2285752</v>
      </c>
      <c r="G233" s="1">
        <f t="shared" si="4"/>
        <v>10989.192307692309</v>
      </c>
      <c r="H233" s="1199">
        <v>151.91999999999996</v>
      </c>
    </row>
    <row r="234" spans="2:8" x14ac:dyDescent="0.2">
      <c r="C234" s="1" t="s">
        <v>20</v>
      </c>
      <c r="D234" s="1">
        <v>8</v>
      </c>
      <c r="E234" s="1">
        <v>217000</v>
      </c>
      <c r="G234" s="1">
        <f t="shared" si="4"/>
        <v>27125</v>
      </c>
      <c r="H234" s="1199">
        <v>28.04000000000002</v>
      </c>
    </row>
    <row r="235" spans="2:8" x14ac:dyDescent="0.2">
      <c r="C235" s="1" t="s">
        <v>21</v>
      </c>
      <c r="D235" s="1">
        <v>103</v>
      </c>
      <c r="E235" s="1">
        <v>1375000</v>
      </c>
      <c r="G235" s="1">
        <f t="shared" si="4"/>
        <v>13349.514563106795</v>
      </c>
      <c r="H235" s="1199">
        <v>108.12</v>
      </c>
    </row>
    <row r="236" spans="2:8" x14ac:dyDescent="0.2">
      <c r="C236" s="1" t="s">
        <v>22</v>
      </c>
      <c r="D236" s="1">
        <v>44</v>
      </c>
      <c r="E236" s="1">
        <v>671615</v>
      </c>
      <c r="G236" s="1">
        <f t="shared" si="4"/>
        <v>15263.977272727272</v>
      </c>
      <c r="H236" s="235">
        <v>101.59000000000003</v>
      </c>
    </row>
    <row r="237" spans="2:8" x14ac:dyDescent="0.2">
      <c r="C237" s="287" t="s">
        <v>23</v>
      </c>
      <c r="D237" s="288">
        <v>1080</v>
      </c>
      <c r="E237" s="288">
        <v>8898884</v>
      </c>
      <c r="G237" s="1">
        <f t="shared" si="4"/>
        <v>8239.707407407408</v>
      </c>
      <c r="H237" s="1199">
        <v>11.8</v>
      </c>
    </row>
    <row r="238" spans="2:8" x14ac:dyDescent="0.2">
      <c r="B238" s="1">
        <v>2010</v>
      </c>
      <c r="C238" s="1" t="s">
        <v>8</v>
      </c>
      <c r="D238" s="1">
        <v>48</v>
      </c>
      <c r="E238" s="1">
        <v>759000</v>
      </c>
      <c r="G238" s="1">
        <f t="shared" si="4"/>
        <v>15812.5</v>
      </c>
      <c r="H238" s="1198">
        <v>108</v>
      </c>
    </row>
    <row r="239" spans="2:8" x14ac:dyDescent="0.2">
      <c r="C239" s="1" t="s">
        <v>9</v>
      </c>
      <c r="D239" s="1">
        <v>93</v>
      </c>
      <c r="E239" s="1">
        <v>1172404</v>
      </c>
      <c r="G239" s="1">
        <f t="shared" si="4"/>
        <v>12606.494623655914</v>
      </c>
      <c r="H239" s="1199">
        <v>107.68999999999994</v>
      </c>
    </row>
    <row r="240" spans="2:8" x14ac:dyDescent="0.2">
      <c r="C240" s="1" t="s">
        <v>10</v>
      </c>
      <c r="D240" s="1">
        <v>309</v>
      </c>
      <c r="E240" s="1">
        <v>3217706.5</v>
      </c>
      <c r="G240" s="1">
        <f t="shared" si="4"/>
        <v>10413.289644012944</v>
      </c>
      <c r="H240" s="1199">
        <v>123.24999999999999</v>
      </c>
    </row>
    <row r="241" spans="3:8" x14ac:dyDescent="0.2">
      <c r="C241" s="1" t="s">
        <v>11</v>
      </c>
      <c r="D241" s="1">
        <v>65</v>
      </c>
      <c r="E241" s="1">
        <v>935000</v>
      </c>
      <c r="G241" s="1">
        <f t="shared" si="4"/>
        <v>14384.615384615385</v>
      </c>
      <c r="H241" s="1199">
        <v>134.77999999999997</v>
      </c>
    </row>
    <row r="242" spans="3:8" x14ac:dyDescent="0.2">
      <c r="C242" s="1" t="s">
        <v>12</v>
      </c>
      <c r="D242" s="1">
        <v>42</v>
      </c>
      <c r="E242" s="1">
        <v>596106</v>
      </c>
      <c r="G242" s="1">
        <f t="shared" si="4"/>
        <v>14193</v>
      </c>
      <c r="H242" s="1199">
        <v>84.340000000000032</v>
      </c>
    </row>
    <row r="243" spans="3:8" x14ac:dyDescent="0.2">
      <c r="C243" s="1" t="s">
        <v>13</v>
      </c>
      <c r="D243" s="1">
        <v>172</v>
      </c>
      <c r="E243" s="1">
        <v>1858404</v>
      </c>
      <c r="G243" s="1">
        <f t="shared" si="4"/>
        <v>10804.674418604651</v>
      </c>
      <c r="H243" s="1199">
        <v>138.16999999999985</v>
      </c>
    </row>
    <row r="244" spans="3:8" x14ac:dyDescent="0.2">
      <c r="C244" s="1" t="s">
        <v>14</v>
      </c>
      <c r="D244" s="1">
        <v>541</v>
      </c>
      <c r="E244" s="1">
        <v>4836106</v>
      </c>
      <c r="G244" s="1">
        <f t="shared" si="4"/>
        <v>8939.1977818853975</v>
      </c>
      <c r="H244" s="1199">
        <v>142.52999999999997</v>
      </c>
    </row>
    <row r="245" spans="3:8" x14ac:dyDescent="0.2">
      <c r="C245" s="1" t="s">
        <v>15</v>
      </c>
      <c r="D245" s="1">
        <v>29</v>
      </c>
      <c r="E245" s="1">
        <v>551000</v>
      </c>
      <c r="G245" s="1">
        <f t="shared" si="4"/>
        <v>19000</v>
      </c>
      <c r="H245" s="1199">
        <v>99.259999999999991</v>
      </c>
    </row>
    <row r="246" spans="3:8" x14ac:dyDescent="0.2">
      <c r="C246" s="1" t="s">
        <v>16</v>
      </c>
      <c r="D246" s="1">
        <v>28</v>
      </c>
      <c r="E246" s="1">
        <v>495000</v>
      </c>
      <c r="G246" s="1">
        <f t="shared" si="4"/>
        <v>17678.571428571428</v>
      </c>
      <c r="H246" s="1199">
        <v>63.550000000000182</v>
      </c>
    </row>
    <row r="247" spans="3:8" x14ac:dyDescent="0.2">
      <c r="C247" s="1" t="s">
        <v>17</v>
      </c>
      <c r="D247" s="1">
        <v>284</v>
      </c>
      <c r="E247" s="1">
        <v>2825702</v>
      </c>
      <c r="G247" s="1">
        <f t="shared" si="4"/>
        <v>9949.6549295774639</v>
      </c>
      <c r="H247" s="1199">
        <v>113.08000000000004</v>
      </c>
    </row>
    <row r="248" spans="3:8" x14ac:dyDescent="0.2">
      <c r="C248" s="1" t="s">
        <v>18</v>
      </c>
      <c r="D248" s="1">
        <v>50</v>
      </c>
      <c r="E248" s="1">
        <v>666000</v>
      </c>
      <c r="G248" s="1">
        <f t="shared" si="4"/>
        <v>13320</v>
      </c>
      <c r="H248" s="1199">
        <v>36.26</v>
      </c>
    </row>
    <row r="249" spans="3:8" x14ac:dyDescent="0.2">
      <c r="C249" s="1" t="s">
        <v>19</v>
      </c>
      <c r="D249" s="1">
        <v>217</v>
      </c>
      <c r="E249" s="1">
        <v>2215404</v>
      </c>
      <c r="G249" s="1">
        <f t="shared" si="4"/>
        <v>10209.235023041474</v>
      </c>
      <c r="H249" s="1199">
        <v>151.91999999999996</v>
      </c>
    </row>
    <row r="250" spans="3:8" x14ac:dyDescent="0.2">
      <c r="C250" s="1" t="s">
        <v>20</v>
      </c>
      <c r="D250" s="1">
        <v>14</v>
      </c>
      <c r="E250" s="1">
        <v>294000</v>
      </c>
      <c r="G250" s="1">
        <f t="shared" si="4"/>
        <v>21000</v>
      </c>
      <c r="H250" s="1199">
        <v>28.04000000000002</v>
      </c>
    </row>
    <row r="251" spans="3:8" x14ac:dyDescent="0.2">
      <c r="C251" s="1" t="s">
        <v>21</v>
      </c>
      <c r="D251" s="1">
        <v>113</v>
      </c>
      <c r="E251" s="1">
        <v>1424000</v>
      </c>
      <c r="G251" s="1">
        <f t="shared" si="4"/>
        <v>12601.769911504425</v>
      </c>
      <c r="H251" s="1199">
        <v>108.12</v>
      </c>
    </row>
    <row r="252" spans="3:8" x14ac:dyDescent="0.2">
      <c r="C252" s="1" t="s">
        <v>22</v>
      </c>
      <c r="D252" s="1">
        <v>49</v>
      </c>
      <c r="E252" s="1">
        <v>657000</v>
      </c>
      <c r="G252" s="1">
        <f t="shared" si="4"/>
        <v>13408.163265306122</v>
      </c>
      <c r="H252" s="235">
        <v>101.59000000000003</v>
      </c>
    </row>
    <row r="253" spans="3:8" x14ac:dyDescent="0.2">
      <c r="C253" s="287" t="s">
        <v>23</v>
      </c>
      <c r="D253" s="288">
        <v>1117</v>
      </c>
      <c r="E253" s="288">
        <v>8780046.5</v>
      </c>
      <c r="G253" s="1">
        <f t="shared" si="4"/>
        <v>7860.3818263205012</v>
      </c>
      <c r="H253" s="1199">
        <v>11.8</v>
      </c>
    </row>
    <row r="259" spans="3:9" x14ac:dyDescent="0.2">
      <c r="C259" s="1">
        <v>17000</v>
      </c>
      <c r="D259" s="1">
        <v>108</v>
      </c>
      <c r="E259" s="1">
        <v>43</v>
      </c>
      <c r="G259" s="1">
        <v>731000</v>
      </c>
      <c r="H259" s="1">
        <v>108</v>
      </c>
      <c r="I259" s="1">
        <v>43</v>
      </c>
    </row>
    <row r="260" spans="3:9" x14ac:dyDescent="0.2">
      <c r="C260" s="1">
        <v>12520.376344086022</v>
      </c>
      <c r="D260" s="1">
        <v>107.68999999999994</v>
      </c>
      <c r="E260" s="1">
        <v>93</v>
      </c>
      <c r="G260" s="1">
        <v>1164395</v>
      </c>
      <c r="H260" s="1">
        <v>107.68999999999994</v>
      </c>
      <c r="I260" s="1">
        <v>93</v>
      </c>
    </row>
    <row r="261" spans="3:9" x14ac:dyDescent="0.2">
      <c r="C261" s="1">
        <v>10702.848101265823</v>
      </c>
      <c r="D261" s="1">
        <v>123.24999999999999</v>
      </c>
      <c r="E261" s="1">
        <v>316</v>
      </c>
      <c r="G261" s="1">
        <v>3382100</v>
      </c>
      <c r="H261" s="1">
        <v>123.24999999999999</v>
      </c>
      <c r="I261" s="1">
        <v>316</v>
      </c>
    </row>
    <row r="262" spans="3:9" x14ac:dyDescent="0.2">
      <c r="C262" s="1">
        <v>16844.827586206895</v>
      </c>
      <c r="D262" s="1">
        <v>134.77999999999997</v>
      </c>
      <c r="E262" s="1">
        <v>58</v>
      </c>
      <c r="G262" s="1">
        <v>977000</v>
      </c>
      <c r="H262" s="1">
        <v>134.77999999999997</v>
      </c>
      <c r="I262" s="1">
        <v>58</v>
      </c>
    </row>
    <row r="263" spans="3:9" x14ac:dyDescent="0.2">
      <c r="C263" s="1">
        <v>12729.056603773584</v>
      </c>
      <c r="D263" s="1">
        <v>84.340000000000032</v>
      </c>
      <c r="E263" s="1">
        <v>53</v>
      </c>
      <c r="G263" s="1">
        <v>674640</v>
      </c>
      <c r="H263" s="1">
        <v>84.340000000000032</v>
      </c>
      <c r="I263" s="1">
        <v>53</v>
      </c>
    </row>
    <row r="264" spans="3:9" x14ac:dyDescent="0.2">
      <c r="C264" s="1">
        <v>10558.469387755102</v>
      </c>
      <c r="D264" s="1">
        <v>138.16999999999985</v>
      </c>
      <c r="E264" s="1">
        <v>196</v>
      </c>
      <c r="G264" s="1">
        <v>2069460</v>
      </c>
      <c r="H264" s="1">
        <v>138.16999999999985</v>
      </c>
      <c r="I264" s="1">
        <v>196</v>
      </c>
    </row>
    <row r="265" spans="3:9" x14ac:dyDescent="0.2">
      <c r="C265" s="1">
        <v>9692.4089403973503</v>
      </c>
      <c r="D265" s="1">
        <v>142.52999999999997</v>
      </c>
      <c r="E265" s="1">
        <v>604</v>
      </c>
      <c r="G265" s="1">
        <v>5854215</v>
      </c>
      <c r="H265" s="1">
        <v>142.52999999999997</v>
      </c>
      <c r="I265" s="1">
        <v>604</v>
      </c>
    </row>
    <row r="266" spans="3:9" x14ac:dyDescent="0.2">
      <c r="C266" s="1">
        <v>24409.090909090908</v>
      </c>
      <c r="D266" s="1">
        <v>99.259999999999991</v>
      </c>
      <c r="E266" s="1">
        <v>22</v>
      </c>
      <c r="G266" s="1">
        <v>537000</v>
      </c>
      <c r="H266" s="1">
        <v>99.259999999999991</v>
      </c>
      <c r="I266" s="1">
        <v>22</v>
      </c>
    </row>
    <row r="267" spans="3:9" x14ac:dyDescent="0.2">
      <c r="C267" s="1">
        <v>19384.615384615383</v>
      </c>
      <c r="D267" s="1">
        <v>63.550000000000182</v>
      </c>
      <c r="E267" s="1">
        <v>26</v>
      </c>
      <c r="G267" s="1">
        <v>504000</v>
      </c>
      <c r="H267" s="1">
        <v>63.550000000000182</v>
      </c>
      <c r="I267" s="1">
        <v>26</v>
      </c>
    </row>
    <row r="268" spans="3:9" x14ac:dyDescent="0.2">
      <c r="C268" s="1">
        <v>12690.152671755724</v>
      </c>
      <c r="D268" s="1">
        <v>113.08000000000004</v>
      </c>
      <c r="E268" s="1">
        <v>262</v>
      </c>
      <c r="G268" s="1">
        <v>3324820</v>
      </c>
      <c r="H268" s="1">
        <v>113.08000000000004</v>
      </c>
      <c r="I268" s="1">
        <v>262</v>
      </c>
    </row>
    <row r="269" spans="3:9" x14ac:dyDescent="0.2">
      <c r="C269" s="1">
        <v>14000</v>
      </c>
      <c r="D269" s="1">
        <v>36.26</v>
      </c>
      <c r="E269" s="1">
        <v>55</v>
      </c>
      <c r="G269" s="1">
        <v>770000</v>
      </c>
      <c r="H269" s="1">
        <v>36.26</v>
      </c>
      <c r="I269" s="1">
        <v>55</v>
      </c>
    </row>
    <row r="270" spans="3:9" x14ac:dyDescent="0.2">
      <c r="C270" s="1">
        <v>10865.431818181818</v>
      </c>
      <c r="D270" s="1">
        <v>151.91999999999996</v>
      </c>
      <c r="E270" s="1">
        <v>220</v>
      </c>
      <c r="G270" s="1">
        <v>2390395</v>
      </c>
      <c r="H270" s="1">
        <v>151.91999999999996</v>
      </c>
      <c r="I270" s="1">
        <v>220</v>
      </c>
    </row>
    <row r="271" spans="3:9" x14ac:dyDescent="0.2">
      <c r="C271" s="1">
        <v>52000</v>
      </c>
      <c r="D271" s="1">
        <v>28.04000000000002</v>
      </c>
      <c r="E271" s="1">
        <v>3</v>
      </c>
      <c r="G271" s="1">
        <v>156000</v>
      </c>
      <c r="H271" s="1">
        <v>28.04000000000002</v>
      </c>
      <c r="I271" s="1">
        <v>3</v>
      </c>
    </row>
    <row r="272" spans="3:9" x14ac:dyDescent="0.2">
      <c r="C272" s="1">
        <v>11773.10924369748</v>
      </c>
      <c r="D272" s="1">
        <v>108.12</v>
      </c>
      <c r="E272" s="1">
        <v>119</v>
      </c>
      <c r="G272" s="1">
        <v>1401000</v>
      </c>
      <c r="H272" s="1">
        <v>108.12</v>
      </c>
      <c r="I272" s="1">
        <v>119</v>
      </c>
    </row>
    <row r="273" spans="3:9" x14ac:dyDescent="0.2">
      <c r="C273" s="1">
        <v>13248.5</v>
      </c>
      <c r="D273" s="1">
        <v>101.59000000000003</v>
      </c>
      <c r="E273" s="1">
        <v>50</v>
      </c>
      <c r="G273" s="1">
        <v>662425</v>
      </c>
      <c r="H273" s="1">
        <v>101.59000000000003</v>
      </c>
      <c r="I273" s="1">
        <v>50</v>
      </c>
    </row>
    <row r="274" spans="3:9" x14ac:dyDescent="0.2">
      <c r="C274" s="1">
        <v>8756.8922651933699</v>
      </c>
      <c r="D274" s="1">
        <v>11.8</v>
      </c>
      <c r="E274" s="288">
        <v>1086</v>
      </c>
    </row>
    <row r="275" spans="3:9" x14ac:dyDescent="0.2">
      <c r="C275" s="1">
        <v>18428.571428571428</v>
      </c>
      <c r="D275" s="1">
        <v>108</v>
      </c>
      <c r="E275" s="1">
        <v>42</v>
      </c>
      <c r="G275" s="1">
        <v>774000</v>
      </c>
      <c r="H275" s="1">
        <v>108</v>
      </c>
      <c r="I275" s="1">
        <v>42</v>
      </c>
    </row>
    <row r="276" spans="3:9" x14ac:dyDescent="0.2">
      <c r="C276" s="1">
        <v>13741.857142857143</v>
      </c>
      <c r="D276" s="1">
        <v>107.68999999999994</v>
      </c>
      <c r="E276" s="1">
        <v>84</v>
      </c>
      <c r="G276" s="1">
        <v>1154316</v>
      </c>
      <c r="H276" s="1">
        <v>107.68999999999994</v>
      </c>
      <c r="I276" s="1">
        <v>84</v>
      </c>
    </row>
    <row r="277" spans="3:9" x14ac:dyDescent="0.2">
      <c r="C277" s="1">
        <v>10455.107561235356</v>
      </c>
      <c r="D277" s="1">
        <v>123.24999999999999</v>
      </c>
      <c r="E277" s="1">
        <v>313</v>
      </c>
      <c r="G277" s="1">
        <v>3272448.6666666665</v>
      </c>
      <c r="H277" s="1">
        <v>123.24999999999999</v>
      </c>
      <c r="I277" s="1">
        <v>313</v>
      </c>
    </row>
    <row r="278" spans="3:9" x14ac:dyDescent="0.2">
      <c r="C278" s="1">
        <v>16380.952380952382</v>
      </c>
      <c r="D278" s="1">
        <v>134.77999999999997</v>
      </c>
      <c r="E278" s="1">
        <v>63</v>
      </c>
      <c r="G278" s="1">
        <v>1032000</v>
      </c>
      <c r="H278" s="1">
        <v>134.77999999999997</v>
      </c>
      <c r="I278" s="1">
        <v>63</v>
      </c>
    </row>
    <row r="279" spans="3:9" x14ac:dyDescent="0.2">
      <c r="C279" s="1">
        <v>11512.153846153846</v>
      </c>
      <c r="D279" s="1">
        <v>84.340000000000032</v>
      </c>
      <c r="E279" s="1">
        <v>52</v>
      </c>
      <c r="G279" s="1">
        <v>598632</v>
      </c>
      <c r="H279" s="1">
        <v>84.340000000000032</v>
      </c>
      <c r="I279" s="1">
        <v>52</v>
      </c>
    </row>
    <row r="280" spans="3:9" x14ac:dyDescent="0.2">
      <c r="C280" s="1">
        <v>10845.016574585636</v>
      </c>
      <c r="D280" s="1">
        <v>138.16999999999985</v>
      </c>
      <c r="E280" s="1">
        <v>181</v>
      </c>
      <c r="G280" s="1">
        <v>1962948</v>
      </c>
      <c r="H280" s="1">
        <v>138.16999999999985</v>
      </c>
      <c r="I280" s="1">
        <v>181</v>
      </c>
    </row>
    <row r="281" spans="3:9" x14ac:dyDescent="0.2">
      <c r="C281" s="1">
        <v>9865.8628800917959</v>
      </c>
      <c r="D281" s="1">
        <v>142.52999999999997</v>
      </c>
      <c r="E281" s="1">
        <v>581</v>
      </c>
      <c r="G281" s="1">
        <v>5732066.333333333</v>
      </c>
      <c r="H281" s="1">
        <v>142.52999999999997</v>
      </c>
      <c r="I281" s="1">
        <v>581</v>
      </c>
    </row>
    <row r="282" spans="3:9" x14ac:dyDescent="0.2">
      <c r="C282" s="1">
        <v>26041.666666666668</v>
      </c>
      <c r="D282" s="1">
        <v>99.259999999999991</v>
      </c>
      <c r="E282" s="1">
        <v>24</v>
      </c>
      <c r="G282" s="1">
        <v>625000</v>
      </c>
      <c r="H282" s="1">
        <v>99.259999999999991</v>
      </c>
      <c r="I282" s="1">
        <v>24</v>
      </c>
    </row>
    <row r="283" spans="3:9" x14ac:dyDescent="0.2">
      <c r="C283" s="1">
        <v>21230.76923076923</v>
      </c>
      <c r="D283" s="1">
        <v>63.550000000000182</v>
      </c>
      <c r="E283" s="1">
        <v>26</v>
      </c>
      <c r="G283" s="1">
        <v>552000</v>
      </c>
      <c r="H283" s="1">
        <v>63.550000000000182</v>
      </c>
      <c r="I283" s="1">
        <v>26</v>
      </c>
    </row>
    <row r="284" spans="3:9" x14ac:dyDescent="0.2">
      <c r="C284" s="1">
        <v>11323.501831501831</v>
      </c>
      <c r="D284" s="1">
        <v>113.08000000000004</v>
      </c>
      <c r="E284" s="1">
        <v>273</v>
      </c>
      <c r="G284" s="1">
        <v>3091316</v>
      </c>
      <c r="H284" s="1">
        <v>113.08000000000004</v>
      </c>
      <c r="I284" s="1">
        <v>273</v>
      </c>
    </row>
    <row r="285" spans="3:9" x14ac:dyDescent="0.2">
      <c r="C285" s="1">
        <v>14854.166666666666</v>
      </c>
      <c r="D285" s="1">
        <v>36.26</v>
      </c>
      <c r="E285" s="1">
        <v>48</v>
      </c>
      <c r="G285" s="1">
        <v>713000</v>
      </c>
      <c r="H285" s="1">
        <v>36.26</v>
      </c>
      <c r="I285" s="1">
        <v>48</v>
      </c>
    </row>
    <row r="286" spans="3:9" x14ac:dyDescent="0.2">
      <c r="C286" s="1">
        <v>11344.627725856699</v>
      </c>
      <c r="D286" s="1">
        <v>151.91999999999996</v>
      </c>
      <c r="E286" s="1">
        <v>214</v>
      </c>
      <c r="G286" s="1">
        <v>2427750.3333333335</v>
      </c>
      <c r="H286" s="1">
        <v>151.91999999999996</v>
      </c>
      <c r="I286" s="1">
        <v>214</v>
      </c>
    </row>
    <row r="287" spans="3:9" x14ac:dyDescent="0.2">
      <c r="C287" s="1">
        <v>23625</v>
      </c>
      <c r="D287" s="1">
        <v>28.04000000000002</v>
      </c>
      <c r="E287" s="1">
        <v>8</v>
      </c>
      <c r="G287" s="1">
        <v>189000</v>
      </c>
      <c r="H287" s="1">
        <v>28.04000000000002</v>
      </c>
      <c r="I287" s="1">
        <v>8</v>
      </c>
    </row>
    <row r="288" spans="3:9" x14ac:dyDescent="0.2">
      <c r="C288" s="1">
        <v>12256.880733944954</v>
      </c>
      <c r="D288" s="1">
        <v>108.12</v>
      </c>
      <c r="E288" s="1">
        <v>109</v>
      </c>
      <c r="G288" s="1">
        <v>1336000</v>
      </c>
      <c r="H288" s="1">
        <v>108.12</v>
      </c>
      <c r="I288" s="1">
        <v>109</v>
      </c>
    </row>
    <row r="289" spans="3:9" x14ac:dyDescent="0.2">
      <c r="C289" s="1">
        <v>14831.874074074074</v>
      </c>
      <c r="D289" s="1">
        <v>101.59000000000003</v>
      </c>
      <c r="E289" s="1">
        <v>45</v>
      </c>
      <c r="G289" s="1">
        <v>667434.33333333337</v>
      </c>
      <c r="H289" s="1">
        <v>101.59000000000003</v>
      </c>
      <c r="I289" s="1">
        <v>45</v>
      </c>
    </row>
    <row r="290" spans="3:9" x14ac:dyDescent="0.2">
      <c r="C290" s="1">
        <v>8205.9549304295233</v>
      </c>
      <c r="D290" s="1">
        <v>11.8</v>
      </c>
      <c r="E290" s="288">
        <v>1102</v>
      </c>
    </row>
    <row r="291" spans="3:9" x14ac:dyDescent="0.2">
      <c r="C291" s="1">
        <v>16260.869565217392</v>
      </c>
      <c r="D291" s="1">
        <v>108</v>
      </c>
      <c r="E291" s="1">
        <v>46</v>
      </c>
      <c r="G291" s="1">
        <v>748000</v>
      </c>
      <c r="H291" s="1">
        <v>108</v>
      </c>
      <c r="I291" s="1">
        <v>46</v>
      </c>
    </row>
    <row r="292" spans="3:9" x14ac:dyDescent="0.2">
      <c r="C292" s="1">
        <v>13215.022471910112</v>
      </c>
      <c r="D292" s="1">
        <v>107.68999999999994</v>
      </c>
      <c r="E292" s="1">
        <v>89</v>
      </c>
      <c r="G292" s="1">
        <v>1176137</v>
      </c>
      <c r="H292" s="1">
        <v>107.68999999999994</v>
      </c>
      <c r="I292" s="1">
        <v>89</v>
      </c>
    </row>
    <row r="293" spans="3:9" x14ac:dyDescent="0.2">
      <c r="C293" s="1">
        <v>10277.965408805032</v>
      </c>
      <c r="D293" s="1">
        <v>123.24999999999999</v>
      </c>
      <c r="E293" s="1">
        <v>318</v>
      </c>
      <c r="G293" s="1">
        <v>3268393</v>
      </c>
      <c r="H293" s="1">
        <v>123.24999999999999</v>
      </c>
      <c r="I293" s="1">
        <v>318</v>
      </c>
    </row>
    <row r="294" spans="3:9" x14ac:dyDescent="0.2">
      <c r="C294" s="1">
        <v>14646.153846153846</v>
      </c>
      <c r="D294" s="1">
        <v>134.77999999999997</v>
      </c>
      <c r="E294" s="1">
        <v>65</v>
      </c>
      <c r="G294" s="1">
        <v>952000</v>
      </c>
      <c r="H294" s="1">
        <v>134.77999999999997</v>
      </c>
      <c r="I294" s="1">
        <v>65</v>
      </c>
    </row>
    <row r="295" spans="3:9" x14ac:dyDescent="0.2">
      <c r="C295" s="1">
        <v>12760.26</v>
      </c>
      <c r="D295" s="1">
        <v>84.340000000000032</v>
      </c>
      <c r="E295" s="1">
        <v>50</v>
      </c>
      <c r="G295" s="1">
        <v>638013</v>
      </c>
      <c r="H295" s="1">
        <v>84.340000000000032</v>
      </c>
      <c r="I295" s="1">
        <v>50</v>
      </c>
    </row>
    <row r="296" spans="3:9" x14ac:dyDescent="0.2">
      <c r="C296" s="1">
        <v>11111.947976878613</v>
      </c>
      <c r="D296" s="1">
        <v>138.16999999999985</v>
      </c>
      <c r="E296" s="1">
        <v>173</v>
      </c>
      <c r="G296" s="1">
        <v>1922367</v>
      </c>
      <c r="H296" s="1">
        <v>138.16999999999985</v>
      </c>
      <c r="I296" s="1">
        <v>173</v>
      </c>
    </row>
    <row r="297" spans="3:9" x14ac:dyDescent="0.2">
      <c r="C297" s="1">
        <v>9208.191150442477</v>
      </c>
      <c r="D297" s="1">
        <v>142.52999999999997</v>
      </c>
      <c r="E297" s="1">
        <v>565</v>
      </c>
      <c r="G297" s="1">
        <v>5202628</v>
      </c>
      <c r="H297" s="1">
        <v>142.52999999999997</v>
      </c>
      <c r="I297" s="1">
        <v>565</v>
      </c>
    </row>
    <row r="298" spans="3:9" x14ac:dyDescent="0.2">
      <c r="C298" s="1">
        <v>17606.060606060608</v>
      </c>
      <c r="D298" s="1">
        <v>99.259999999999991</v>
      </c>
      <c r="E298" s="1">
        <v>33</v>
      </c>
      <c r="G298" s="1">
        <v>581000</v>
      </c>
      <c r="H298" s="1">
        <v>99.259999999999991</v>
      </c>
      <c r="I298" s="1">
        <v>33</v>
      </c>
    </row>
    <row r="299" spans="3:9" x14ac:dyDescent="0.2">
      <c r="C299" s="1">
        <v>15666.666666666666</v>
      </c>
      <c r="D299" s="1">
        <v>63.550000000000182</v>
      </c>
      <c r="E299" s="1">
        <v>30</v>
      </c>
      <c r="G299" s="1">
        <v>470000</v>
      </c>
      <c r="H299" s="1">
        <v>63.550000000000182</v>
      </c>
      <c r="I299" s="1">
        <v>30</v>
      </c>
    </row>
    <row r="300" spans="3:9" x14ac:dyDescent="0.2">
      <c r="C300" s="1">
        <v>10843.185454545455</v>
      </c>
      <c r="D300" s="1">
        <v>113.08000000000004</v>
      </c>
      <c r="E300" s="1">
        <v>275</v>
      </c>
      <c r="G300" s="1">
        <v>2981876</v>
      </c>
      <c r="H300" s="1">
        <v>113.08000000000004</v>
      </c>
      <c r="I300" s="1">
        <v>275</v>
      </c>
    </row>
    <row r="301" spans="3:9" x14ac:dyDescent="0.2">
      <c r="C301" s="1">
        <v>12078.431372549019</v>
      </c>
      <c r="D301" s="1">
        <v>36.26</v>
      </c>
      <c r="E301" s="1">
        <v>51</v>
      </c>
      <c r="G301" s="1">
        <v>616000</v>
      </c>
      <c r="H301" s="1">
        <v>36.26</v>
      </c>
      <c r="I301" s="1">
        <v>51</v>
      </c>
    </row>
    <row r="302" spans="3:9" x14ac:dyDescent="0.2">
      <c r="C302" s="1">
        <v>10989.192307692309</v>
      </c>
      <c r="D302" s="1">
        <v>151.91999999999996</v>
      </c>
      <c r="E302" s="1">
        <v>208</v>
      </c>
      <c r="G302" s="1">
        <v>2285752</v>
      </c>
      <c r="H302" s="1">
        <v>151.91999999999996</v>
      </c>
      <c r="I302" s="1">
        <v>208</v>
      </c>
    </row>
    <row r="303" spans="3:9" x14ac:dyDescent="0.2">
      <c r="C303" s="1">
        <v>27125</v>
      </c>
      <c r="D303" s="1">
        <v>28.04000000000002</v>
      </c>
      <c r="E303" s="1">
        <v>8</v>
      </c>
      <c r="G303" s="1">
        <v>217000</v>
      </c>
      <c r="H303" s="1">
        <v>28.04000000000002</v>
      </c>
      <c r="I303" s="1">
        <v>8</v>
      </c>
    </row>
    <row r="304" spans="3:9" x14ac:dyDescent="0.2">
      <c r="C304" s="1">
        <v>13349.514563106795</v>
      </c>
      <c r="D304" s="1">
        <v>108.12</v>
      </c>
      <c r="E304" s="1">
        <v>103</v>
      </c>
      <c r="G304" s="1">
        <v>1375000</v>
      </c>
      <c r="H304" s="1">
        <v>108.12</v>
      </c>
      <c r="I304" s="1">
        <v>103</v>
      </c>
    </row>
    <row r="305" spans="3:9" x14ac:dyDescent="0.2">
      <c r="C305" s="1">
        <v>15263.977272727272</v>
      </c>
      <c r="D305" s="1">
        <v>101.59000000000003</v>
      </c>
      <c r="E305" s="1">
        <v>44</v>
      </c>
      <c r="G305" s="1">
        <v>671615</v>
      </c>
      <c r="H305" s="1">
        <v>101.59000000000003</v>
      </c>
      <c r="I305" s="1">
        <v>44</v>
      </c>
    </row>
    <row r="306" spans="3:9" x14ac:dyDescent="0.2">
      <c r="C306" s="1">
        <v>8239.707407407408</v>
      </c>
      <c r="D306" s="1">
        <v>11.8</v>
      </c>
      <c r="E306" s="288">
        <v>1080</v>
      </c>
    </row>
    <row r="307" spans="3:9" x14ac:dyDescent="0.2">
      <c r="C307" s="1">
        <v>15812.5</v>
      </c>
      <c r="D307" s="1">
        <v>108</v>
      </c>
      <c r="E307" s="1">
        <v>48</v>
      </c>
      <c r="G307" s="1">
        <v>759000</v>
      </c>
      <c r="H307" s="1">
        <v>108</v>
      </c>
      <c r="I307" s="1">
        <v>48</v>
      </c>
    </row>
    <row r="308" spans="3:9" x14ac:dyDescent="0.2">
      <c r="C308" s="1">
        <v>12606.494623655914</v>
      </c>
      <c r="D308" s="1">
        <v>107.68999999999994</v>
      </c>
      <c r="E308" s="1">
        <v>93</v>
      </c>
      <c r="G308" s="1">
        <v>1172404</v>
      </c>
      <c r="H308" s="1">
        <v>107.68999999999994</v>
      </c>
      <c r="I308" s="1">
        <v>93</v>
      </c>
    </row>
    <row r="309" spans="3:9" x14ac:dyDescent="0.2">
      <c r="C309" s="1">
        <v>10413.289644012944</v>
      </c>
      <c r="D309" s="1">
        <v>123.24999999999999</v>
      </c>
      <c r="E309" s="1">
        <v>309</v>
      </c>
      <c r="G309" s="1">
        <v>3217706.5</v>
      </c>
      <c r="H309" s="1">
        <v>123.24999999999999</v>
      </c>
      <c r="I309" s="1">
        <v>309</v>
      </c>
    </row>
    <row r="310" spans="3:9" x14ac:dyDescent="0.2">
      <c r="C310" s="1">
        <v>14384.615384615385</v>
      </c>
      <c r="D310" s="1">
        <v>134.77999999999997</v>
      </c>
      <c r="E310" s="1">
        <v>65</v>
      </c>
      <c r="G310" s="1">
        <v>935000</v>
      </c>
      <c r="H310" s="1">
        <v>134.77999999999997</v>
      </c>
      <c r="I310" s="1">
        <v>65</v>
      </c>
    </row>
    <row r="311" spans="3:9" x14ac:dyDescent="0.2">
      <c r="C311" s="1">
        <v>14193</v>
      </c>
      <c r="D311" s="1">
        <v>84.340000000000032</v>
      </c>
      <c r="E311" s="1">
        <v>42</v>
      </c>
      <c r="G311" s="1">
        <v>596106</v>
      </c>
      <c r="H311" s="1">
        <v>84.340000000000032</v>
      </c>
      <c r="I311" s="1">
        <v>42</v>
      </c>
    </row>
    <row r="312" spans="3:9" x14ac:dyDescent="0.2">
      <c r="C312" s="1">
        <v>10804.674418604651</v>
      </c>
      <c r="D312" s="1">
        <v>138.16999999999985</v>
      </c>
      <c r="E312" s="1">
        <v>172</v>
      </c>
      <c r="G312" s="1">
        <v>1858404</v>
      </c>
      <c r="H312" s="1">
        <v>138.16999999999985</v>
      </c>
      <c r="I312" s="1">
        <v>172</v>
      </c>
    </row>
    <row r="313" spans="3:9" x14ac:dyDescent="0.2">
      <c r="C313" s="1">
        <v>8939.1977818853975</v>
      </c>
      <c r="D313" s="1">
        <v>142.52999999999997</v>
      </c>
      <c r="E313" s="1">
        <v>541</v>
      </c>
      <c r="G313" s="1">
        <v>4836106</v>
      </c>
      <c r="H313" s="1">
        <v>142.52999999999997</v>
      </c>
      <c r="I313" s="1">
        <v>541</v>
      </c>
    </row>
    <row r="314" spans="3:9" x14ac:dyDescent="0.2">
      <c r="C314" s="1">
        <v>19000</v>
      </c>
      <c r="D314" s="1">
        <v>99.259999999999991</v>
      </c>
      <c r="E314" s="1">
        <v>29</v>
      </c>
      <c r="G314" s="1">
        <v>551000</v>
      </c>
      <c r="H314" s="1">
        <v>99.259999999999991</v>
      </c>
      <c r="I314" s="1">
        <v>29</v>
      </c>
    </row>
    <row r="315" spans="3:9" x14ac:dyDescent="0.2">
      <c r="C315" s="1">
        <v>17678.571428571428</v>
      </c>
      <c r="D315" s="1">
        <v>63.550000000000182</v>
      </c>
      <c r="E315" s="1">
        <v>28</v>
      </c>
      <c r="G315" s="1">
        <v>495000</v>
      </c>
      <c r="H315" s="1">
        <v>63.550000000000182</v>
      </c>
      <c r="I315" s="1">
        <v>28</v>
      </c>
    </row>
    <row r="316" spans="3:9" x14ac:dyDescent="0.2">
      <c r="C316" s="1">
        <v>9949.6549295774639</v>
      </c>
      <c r="D316" s="1">
        <v>113.08000000000004</v>
      </c>
      <c r="E316" s="1">
        <v>284</v>
      </c>
      <c r="G316" s="1">
        <v>2825702</v>
      </c>
      <c r="H316" s="1">
        <v>113.08000000000004</v>
      </c>
      <c r="I316" s="1">
        <v>284</v>
      </c>
    </row>
    <row r="317" spans="3:9" x14ac:dyDescent="0.2">
      <c r="C317" s="1">
        <v>13320</v>
      </c>
      <c r="D317" s="1">
        <v>36.26</v>
      </c>
      <c r="E317" s="1">
        <v>50</v>
      </c>
      <c r="G317" s="1">
        <v>666000</v>
      </c>
      <c r="H317" s="1">
        <v>36.26</v>
      </c>
      <c r="I317" s="1">
        <v>50</v>
      </c>
    </row>
    <row r="318" spans="3:9" x14ac:dyDescent="0.2">
      <c r="C318" s="1">
        <v>10209.235023041474</v>
      </c>
      <c r="D318" s="1">
        <v>151.91999999999996</v>
      </c>
      <c r="E318" s="1">
        <v>217</v>
      </c>
      <c r="G318" s="1">
        <v>2215404</v>
      </c>
      <c r="H318" s="1">
        <v>151.91999999999996</v>
      </c>
      <c r="I318" s="1">
        <v>217</v>
      </c>
    </row>
    <row r="319" spans="3:9" x14ac:dyDescent="0.2">
      <c r="C319" s="1">
        <v>21000</v>
      </c>
      <c r="D319" s="1">
        <v>28.04000000000002</v>
      </c>
      <c r="E319" s="1">
        <v>14</v>
      </c>
      <c r="G319" s="1">
        <v>294000</v>
      </c>
      <c r="H319" s="1">
        <v>28.04000000000002</v>
      </c>
      <c r="I319" s="1">
        <v>14</v>
      </c>
    </row>
    <row r="320" spans="3:9" x14ac:dyDescent="0.2">
      <c r="C320" s="1">
        <v>12601.769911504425</v>
      </c>
      <c r="D320" s="1">
        <v>108.12</v>
      </c>
      <c r="E320" s="1">
        <v>113</v>
      </c>
      <c r="G320" s="1">
        <v>1424000</v>
      </c>
      <c r="H320" s="1">
        <v>108.12</v>
      </c>
      <c r="I320" s="1">
        <v>113</v>
      </c>
    </row>
    <row r="321" spans="3:9" x14ac:dyDescent="0.2">
      <c r="C321" s="1">
        <v>13408.163265306122</v>
      </c>
      <c r="D321" s="1">
        <v>101.59000000000003</v>
      </c>
      <c r="E321" s="1">
        <v>49</v>
      </c>
      <c r="G321" s="1">
        <v>657000</v>
      </c>
      <c r="H321" s="1">
        <v>101.59000000000003</v>
      </c>
      <c r="I321" s="1">
        <v>49</v>
      </c>
    </row>
    <row r="322" spans="3:9" x14ac:dyDescent="0.2">
      <c r="C322" s="1">
        <v>7860.3818263205012</v>
      </c>
      <c r="D322" s="1">
        <v>11.8</v>
      </c>
      <c r="E322" s="288">
        <v>1117</v>
      </c>
    </row>
    <row r="343" spans="3:7" x14ac:dyDescent="0.2">
      <c r="C343" s="1" t="s">
        <v>8</v>
      </c>
      <c r="D343" s="1">
        <v>43</v>
      </c>
      <c r="F343" s="1">
        <f>SUM(D343:D357)</f>
        <v>522</v>
      </c>
      <c r="G343" s="1">
        <f>F343*4000</f>
        <v>2088000</v>
      </c>
    </row>
    <row r="344" spans="3:7" x14ac:dyDescent="0.2">
      <c r="C344" s="1" t="s">
        <v>9</v>
      </c>
      <c r="D344" s="1">
        <v>93</v>
      </c>
    </row>
    <row r="346" spans="3:7" x14ac:dyDescent="0.2">
      <c r="C346" s="1" t="s">
        <v>11</v>
      </c>
      <c r="D346" s="1">
        <v>58</v>
      </c>
    </row>
    <row r="347" spans="3:7" x14ac:dyDescent="0.2">
      <c r="C347" s="1" t="s">
        <v>12</v>
      </c>
      <c r="D347" s="1">
        <v>53</v>
      </c>
    </row>
    <row r="350" spans="3:7" x14ac:dyDescent="0.2">
      <c r="C350" s="1" t="s">
        <v>15</v>
      </c>
      <c r="D350" s="1">
        <v>22</v>
      </c>
    </row>
    <row r="351" spans="3:7" x14ac:dyDescent="0.2">
      <c r="C351" s="1" t="s">
        <v>16</v>
      </c>
      <c r="D351" s="1">
        <v>26</v>
      </c>
    </row>
    <row r="353" spans="3:4" x14ac:dyDescent="0.2">
      <c r="C353" s="1" t="s">
        <v>18</v>
      </c>
      <c r="D353" s="1">
        <v>55</v>
      </c>
    </row>
    <row r="355" spans="3:4" x14ac:dyDescent="0.2">
      <c r="C355" s="1" t="s">
        <v>20</v>
      </c>
      <c r="D355" s="1">
        <v>3</v>
      </c>
    </row>
    <row r="356" spans="3:4" x14ac:dyDescent="0.2">
      <c r="C356" s="1" t="s">
        <v>21</v>
      </c>
      <c r="D356" s="1">
        <v>119</v>
      </c>
    </row>
    <row r="357" spans="3:4" x14ac:dyDescent="0.2">
      <c r="C357" s="1" t="s">
        <v>22</v>
      </c>
      <c r="D357" s="1">
        <v>50</v>
      </c>
    </row>
    <row r="358" spans="3:4" x14ac:dyDescent="0.2">
      <c r="C358" s="287"/>
      <c r="D358" s="288"/>
    </row>
    <row r="363" spans="3:4" x14ac:dyDescent="0.2">
      <c r="D363" s="1">
        <f>9000*3000</f>
        <v>27000000</v>
      </c>
    </row>
    <row r="364" spans="3:4" x14ac:dyDescent="0.2">
      <c r="D364" s="1">
        <v>35061000</v>
      </c>
    </row>
    <row r="365" spans="3:4" x14ac:dyDescent="0.2">
      <c r="D365" s="1">
        <f>D364-D363</f>
        <v>8061000</v>
      </c>
    </row>
    <row r="367" spans="3:4" x14ac:dyDescent="0.2">
      <c r="D367" s="1">
        <f>0.4*D365</f>
        <v>3224400</v>
      </c>
    </row>
  </sheetData>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23"/>
  <sheetViews>
    <sheetView zoomScale="85" zoomScaleNormal="85" workbookViewId="0">
      <selection activeCell="L22" sqref="L22"/>
    </sheetView>
  </sheetViews>
  <sheetFormatPr defaultColWidth="8.88671875" defaultRowHeight="15" x14ac:dyDescent="0.2"/>
  <cols>
    <col min="1" max="3" width="8.88671875" style="1"/>
    <col min="4" max="4" width="13.33203125" style="1" customWidth="1"/>
    <col min="5" max="5" width="11.88671875" style="1" customWidth="1"/>
    <col min="6" max="6" width="8.88671875" style="1"/>
    <col min="7" max="7" width="17.44140625" style="1" customWidth="1"/>
    <col min="8" max="16384" width="8.88671875" style="1"/>
  </cols>
  <sheetData>
    <row r="1" spans="2:20" x14ac:dyDescent="0.2">
      <c r="B1" s="1" t="s">
        <v>402</v>
      </c>
    </row>
    <row r="2" spans="2:20" x14ac:dyDescent="0.2">
      <c r="B2" s="1" t="s">
        <v>401</v>
      </c>
    </row>
    <row r="4" spans="2:20" x14ac:dyDescent="0.2">
      <c r="B4" s="1">
        <v>2013</v>
      </c>
    </row>
    <row r="5" spans="2:20" x14ac:dyDescent="0.2">
      <c r="C5" s="1" t="s">
        <v>43</v>
      </c>
      <c r="D5" s="1" t="s">
        <v>399</v>
      </c>
      <c r="E5" s="1" t="s">
        <v>400</v>
      </c>
      <c r="G5" s="1" t="s">
        <v>408</v>
      </c>
      <c r="H5" s="1" t="s">
        <v>407</v>
      </c>
    </row>
    <row r="6" spans="2:20" ht="15.75" x14ac:dyDescent="0.25">
      <c r="B6" s="5" t="s">
        <v>8</v>
      </c>
      <c r="C6" s="1">
        <v>475</v>
      </c>
      <c r="D6" s="1">
        <v>163</v>
      </c>
      <c r="E6" s="219"/>
      <c r="G6" s="1">
        <v>9</v>
      </c>
      <c r="H6" s="1">
        <f>D6-G6</f>
        <v>154</v>
      </c>
    </row>
    <row r="7" spans="2:20" ht="15.75" x14ac:dyDescent="0.25">
      <c r="B7" s="5" t="s">
        <v>9</v>
      </c>
      <c r="C7" s="1">
        <v>947</v>
      </c>
      <c r="D7" s="1">
        <v>125</v>
      </c>
      <c r="E7" s="219">
        <f t="shared" ref="E7:E22" si="0">H7*1000/C7</f>
        <v>112.98838437170011</v>
      </c>
      <c r="G7" s="1">
        <v>18</v>
      </c>
      <c r="H7" s="1">
        <f t="shared" ref="H7:H21" si="1">D7-G7</f>
        <v>107</v>
      </c>
    </row>
    <row r="8" spans="2:20" ht="15.75" x14ac:dyDescent="0.25">
      <c r="B8" s="5" t="s">
        <v>10</v>
      </c>
      <c r="C8" s="1">
        <v>2520</v>
      </c>
      <c r="D8" s="1">
        <v>792</v>
      </c>
      <c r="E8" s="219">
        <f t="shared" si="0"/>
        <v>296.42857142857144</v>
      </c>
      <c r="G8" s="1">
        <v>45</v>
      </c>
      <c r="H8" s="1">
        <f t="shared" si="1"/>
        <v>747</v>
      </c>
      <c r="J8" s="1">
        <v>9</v>
      </c>
      <c r="K8" s="1">
        <v>18</v>
      </c>
      <c r="L8" s="1">
        <v>45</v>
      </c>
      <c r="M8" s="1">
        <v>10</v>
      </c>
      <c r="N8" s="1">
        <v>1</v>
      </c>
      <c r="O8" s="1">
        <v>28</v>
      </c>
      <c r="P8" s="1">
        <v>75</v>
      </c>
      <c r="Q8" s="1">
        <v>7</v>
      </c>
      <c r="R8" s="1">
        <v>5</v>
      </c>
      <c r="S8" s="1">
        <v>33</v>
      </c>
    </row>
    <row r="9" spans="2:20" ht="15.75" x14ac:dyDescent="0.25">
      <c r="B9" s="5" t="s">
        <v>11</v>
      </c>
      <c r="C9" s="1">
        <v>572</v>
      </c>
      <c r="D9" s="1">
        <v>146</v>
      </c>
      <c r="E9" s="219"/>
      <c r="G9" s="1">
        <v>10</v>
      </c>
      <c r="H9" s="1">
        <f t="shared" si="1"/>
        <v>136</v>
      </c>
      <c r="J9" s="1">
        <v>8</v>
      </c>
      <c r="K9" s="1">
        <v>33</v>
      </c>
      <c r="L9" s="1">
        <v>2</v>
      </c>
      <c r="M9" s="1">
        <v>19</v>
      </c>
      <c r="N9" s="1">
        <v>9</v>
      </c>
      <c r="O9" s="1">
        <v>681</v>
      </c>
    </row>
    <row r="10" spans="2:20" ht="15.75" x14ac:dyDescent="0.25">
      <c r="B10" s="5" t="s">
        <v>12</v>
      </c>
      <c r="C10" s="1">
        <v>500</v>
      </c>
      <c r="D10" s="1">
        <v>45</v>
      </c>
      <c r="E10" s="219">
        <f t="shared" si="0"/>
        <v>88</v>
      </c>
      <c r="G10" s="1">
        <v>1</v>
      </c>
      <c r="H10" s="1">
        <f t="shared" si="1"/>
        <v>44</v>
      </c>
    </row>
    <row r="11" spans="2:20" ht="15.75" x14ac:dyDescent="0.25">
      <c r="B11" s="5" t="s">
        <v>13</v>
      </c>
      <c r="C11" s="1">
        <v>1540</v>
      </c>
      <c r="D11" s="1">
        <v>282</v>
      </c>
      <c r="E11" s="219">
        <f t="shared" si="0"/>
        <v>164.93506493506493</v>
      </c>
      <c r="G11" s="1">
        <v>28</v>
      </c>
      <c r="H11" s="1">
        <f t="shared" si="1"/>
        <v>254</v>
      </c>
    </row>
    <row r="12" spans="2:20" ht="15.75" x14ac:dyDescent="0.25">
      <c r="B12" s="5" t="s">
        <v>14</v>
      </c>
      <c r="C12" s="1">
        <v>4424</v>
      </c>
      <c r="D12" s="1">
        <v>732</v>
      </c>
      <c r="E12" s="219">
        <f t="shared" si="0"/>
        <v>148.50813743218808</v>
      </c>
      <c r="G12" s="1">
        <v>75</v>
      </c>
      <c r="H12" s="1">
        <f t="shared" si="1"/>
        <v>657</v>
      </c>
    </row>
    <row r="13" spans="2:20" ht="15.75" x14ac:dyDescent="0.25">
      <c r="B13" s="5" t="s">
        <v>15</v>
      </c>
      <c r="C13" s="1">
        <v>330</v>
      </c>
      <c r="D13" s="1">
        <v>51</v>
      </c>
      <c r="E13" s="219">
        <f t="shared" si="0"/>
        <v>133.33333333333334</v>
      </c>
      <c r="G13" s="1">
        <v>7</v>
      </c>
      <c r="H13" s="1">
        <f t="shared" si="1"/>
        <v>44</v>
      </c>
    </row>
    <row r="14" spans="2:20" ht="15.75" x14ac:dyDescent="0.25">
      <c r="B14" s="5" t="s">
        <v>16</v>
      </c>
      <c r="C14" s="1">
        <v>251</v>
      </c>
      <c r="D14" s="1">
        <v>53</v>
      </c>
      <c r="E14" s="219">
        <f t="shared" si="0"/>
        <v>191.23505976095618</v>
      </c>
      <c r="G14" s="1">
        <v>5</v>
      </c>
      <c r="H14" s="1">
        <f t="shared" si="1"/>
        <v>48</v>
      </c>
    </row>
    <row r="15" spans="2:20" ht="15.75" x14ac:dyDescent="0.25">
      <c r="B15" s="5" t="s">
        <v>17</v>
      </c>
      <c r="C15" s="1">
        <v>1926</v>
      </c>
      <c r="D15" s="1">
        <v>373</v>
      </c>
      <c r="E15" s="219">
        <f t="shared" si="0"/>
        <v>176.53167185877467</v>
      </c>
      <c r="G15" s="1">
        <v>33</v>
      </c>
      <c r="H15" s="1">
        <f t="shared" si="1"/>
        <v>340</v>
      </c>
      <c r="K15" s="1">
        <v>9</v>
      </c>
      <c r="L15" s="1">
        <v>18</v>
      </c>
      <c r="M15" s="1">
        <v>45</v>
      </c>
      <c r="N15" s="1">
        <v>10</v>
      </c>
      <c r="O15" s="1">
        <v>1</v>
      </c>
      <c r="P15" s="1">
        <v>28</v>
      </c>
      <c r="Q15" s="1">
        <v>75</v>
      </c>
      <c r="R15" s="1">
        <v>7</v>
      </c>
      <c r="S15" s="1">
        <v>5</v>
      </c>
      <c r="T15" s="1">
        <v>33</v>
      </c>
    </row>
    <row r="16" spans="2:20" ht="15.75" x14ac:dyDescent="0.25">
      <c r="B16" s="5" t="s">
        <v>18</v>
      </c>
      <c r="C16" s="1">
        <v>413</v>
      </c>
      <c r="D16" s="1">
        <v>86</v>
      </c>
      <c r="E16" s="219">
        <f t="shared" si="0"/>
        <v>188.86198547215497</v>
      </c>
      <c r="G16" s="1">
        <v>8</v>
      </c>
      <c r="H16" s="1">
        <f t="shared" si="1"/>
        <v>78</v>
      </c>
    </row>
    <row r="17" spans="2:12" ht="15.75" x14ac:dyDescent="0.25">
      <c r="B17" s="5" t="s">
        <v>19</v>
      </c>
      <c r="C17" s="1">
        <v>1813</v>
      </c>
      <c r="D17" s="1">
        <v>289</v>
      </c>
      <c r="E17" s="219">
        <f t="shared" si="0"/>
        <v>141.20242691671262</v>
      </c>
      <c r="G17" s="1">
        <v>33</v>
      </c>
      <c r="H17" s="1">
        <f t="shared" si="1"/>
        <v>256</v>
      </c>
    </row>
    <row r="18" spans="2:12" ht="15.75" x14ac:dyDescent="0.25">
      <c r="B18" s="5" t="s">
        <v>20</v>
      </c>
      <c r="C18" s="1">
        <v>100</v>
      </c>
      <c r="D18" s="1">
        <v>20</v>
      </c>
      <c r="E18" s="219"/>
      <c r="G18" s="1">
        <v>2</v>
      </c>
      <c r="H18" s="1">
        <f t="shared" si="1"/>
        <v>18</v>
      </c>
    </row>
    <row r="19" spans="2:12" ht="15.75" x14ac:dyDescent="0.25">
      <c r="B19" s="5" t="s">
        <v>21</v>
      </c>
      <c r="C19" s="1">
        <v>1029</v>
      </c>
      <c r="D19" s="1">
        <v>189</v>
      </c>
      <c r="E19" s="219">
        <f t="shared" si="0"/>
        <v>165.20894071914481</v>
      </c>
      <c r="G19" s="1">
        <v>19</v>
      </c>
      <c r="H19" s="1">
        <f t="shared" si="1"/>
        <v>170</v>
      </c>
    </row>
    <row r="20" spans="2:12" ht="15.75" x14ac:dyDescent="0.25">
      <c r="B20" s="5" t="s">
        <v>22</v>
      </c>
      <c r="C20" s="1">
        <v>433</v>
      </c>
      <c r="D20" s="1">
        <v>80</v>
      </c>
      <c r="E20" s="219"/>
      <c r="G20" s="1">
        <v>9</v>
      </c>
      <c r="H20" s="1">
        <f t="shared" si="1"/>
        <v>71</v>
      </c>
    </row>
    <row r="21" spans="2:12" ht="15.75" x14ac:dyDescent="0.25">
      <c r="B21" s="5" t="s">
        <v>23</v>
      </c>
      <c r="C21" s="1">
        <v>11393</v>
      </c>
      <c r="D21" s="1">
        <v>4055</v>
      </c>
      <c r="E21" s="219">
        <f t="shared" si="0"/>
        <v>296.14675678047922</v>
      </c>
      <c r="G21" s="1">
        <v>681</v>
      </c>
      <c r="H21" s="1">
        <f t="shared" si="1"/>
        <v>3374</v>
      </c>
    </row>
    <row r="22" spans="2:12" ht="15.75" x14ac:dyDescent="0.25">
      <c r="B22" s="23" t="s">
        <v>403</v>
      </c>
      <c r="C22" s="23">
        <f>SUM(C6:C21)</f>
        <v>28666</v>
      </c>
      <c r="D22" s="23">
        <f>SUM(D6:D21)</f>
        <v>7481</v>
      </c>
      <c r="E22" s="219">
        <f t="shared" si="0"/>
        <v>226.67969022535408</v>
      </c>
      <c r="G22" s="5">
        <f>SUM(G6:G21)</f>
        <v>983</v>
      </c>
      <c r="H22" s="5">
        <f>SUM(H6:H21)</f>
        <v>6498</v>
      </c>
      <c r="L22" s="219">
        <f>G22/C22*1000</f>
        <v>34.291495151050022</v>
      </c>
    </row>
    <row r="23" spans="2:12" x14ac:dyDescent="0.2">
      <c r="L23" s="219">
        <f>G22*1000/C21</f>
        <v>86.281049767401029</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226"/>
  <sheetViews>
    <sheetView topLeftCell="A10" zoomScale="85" zoomScaleNormal="85" workbookViewId="0">
      <selection activeCell="D56" sqref="D56"/>
    </sheetView>
  </sheetViews>
  <sheetFormatPr defaultColWidth="8.88671875" defaultRowHeight="15" x14ac:dyDescent="0.2"/>
  <cols>
    <col min="1" max="1" width="2.21875" style="1" customWidth="1"/>
    <col min="2" max="2" width="2" style="1" customWidth="1"/>
    <col min="3" max="3" width="18" style="1" customWidth="1"/>
    <col min="4" max="4" width="13.77734375" style="1" customWidth="1"/>
    <col min="5" max="5" width="10.6640625" style="1" customWidth="1"/>
    <col min="6" max="6" width="12" style="1" customWidth="1"/>
    <col min="7" max="7" width="9.77734375" style="1" customWidth="1"/>
    <col min="8" max="8" width="8.88671875" style="1"/>
    <col min="9" max="9" width="11.5546875" style="1" customWidth="1"/>
    <col min="10" max="10" width="9.88671875" style="1" customWidth="1"/>
    <col min="11" max="11" width="12.109375" style="1" customWidth="1"/>
    <col min="12" max="12" width="10.6640625" style="1" customWidth="1"/>
    <col min="13" max="13" width="8.33203125" style="1" customWidth="1"/>
    <col min="14" max="18" width="8.88671875" style="1"/>
    <col min="19" max="19" width="11.5546875" style="1" customWidth="1"/>
    <col min="20" max="20" width="10.109375" style="1" customWidth="1"/>
    <col min="21" max="21" width="11.44140625" style="1" customWidth="1"/>
    <col min="22" max="22" width="5.44140625" style="1" customWidth="1"/>
    <col min="23" max="16384" width="8.88671875" style="1"/>
  </cols>
  <sheetData>
    <row r="2" spans="2:23" ht="20.25" thickBot="1" x14ac:dyDescent="0.35">
      <c r="B2" s="34"/>
      <c r="C2" s="1385" t="s">
        <v>46</v>
      </c>
      <c r="D2" s="1385"/>
    </row>
    <row r="3" spans="2:23" ht="15.75" thickTop="1" x14ac:dyDescent="0.2">
      <c r="K3" s="219"/>
    </row>
    <row r="4" spans="2:23" ht="15.75" thickBot="1" x14ac:dyDescent="0.25"/>
    <row r="5" spans="2:23" ht="15.75" x14ac:dyDescent="0.25">
      <c r="F5" s="45"/>
      <c r="G5" s="46"/>
      <c r="H5" s="123"/>
      <c r="J5" s="43" t="s">
        <v>0</v>
      </c>
      <c r="K5" s="39"/>
      <c r="L5" s="47" t="s">
        <v>476</v>
      </c>
      <c r="M5" s="45"/>
    </row>
    <row r="6" spans="2:23" ht="15.75" x14ac:dyDescent="0.25">
      <c r="F6" s="46"/>
      <c r="G6" s="124"/>
      <c r="H6" s="46"/>
      <c r="J6" s="40" t="s">
        <v>49</v>
      </c>
      <c r="K6" s="38"/>
      <c r="L6" s="41"/>
      <c r="M6" s="46"/>
    </row>
    <row r="7" spans="2:23" ht="15.75" x14ac:dyDescent="0.25">
      <c r="F7" s="46"/>
      <c r="G7" s="124"/>
      <c r="H7" s="125"/>
      <c r="J7" s="40" t="s">
        <v>3</v>
      </c>
      <c r="K7" s="38"/>
      <c r="L7" s="48">
        <f>Kontrollpanel!Q32</f>
        <v>10902</v>
      </c>
      <c r="M7" s="46"/>
    </row>
    <row r="8" spans="2:23" ht="15.75" x14ac:dyDescent="0.25">
      <c r="F8" s="46"/>
      <c r="G8" s="124"/>
      <c r="H8" s="125"/>
      <c r="I8" s="219"/>
      <c r="J8" s="40" t="s">
        <v>4</v>
      </c>
      <c r="K8" s="38"/>
      <c r="L8" s="48">
        <v>0</v>
      </c>
      <c r="M8" s="46"/>
    </row>
    <row r="9" spans="2:23" ht="15.75" x14ac:dyDescent="0.25">
      <c r="F9" s="46"/>
      <c r="G9" s="124"/>
      <c r="H9" s="125"/>
      <c r="J9" s="40" t="s">
        <v>5</v>
      </c>
      <c r="K9" s="38"/>
      <c r="L9" s="48">
        <f>Kontrollpanel!Q33</f>
        <v>1413</v>
      </c>
      <c r="M9" s="46"/>
    </row>
    <row r="10" spans="2:23" ht="15.75" x14ac:dyDescent="0.25">
      <c r="F10" s="46"/>
      <c r="G10" s="124"/>
      <c r="H10" s="125"/>
      <c r="J10" s="40" t="s">
        <v>6</v>
      </c>
      <c r="K10" s="38"/>
      <c r="L10" s="48">
        <f>Kontrollpanel!Q34</f>
        <v>6704</v>
      </c>
      <c r="M10" s="46"/>
    </row>
    <row r="11" spans="2:23" ht="16.5" thickBot="1" x14ac:dyDescent="0.3">
      <c r="F11" s="46"/>
      <c r="G11" s="124"/>
      <c r="H11" s="125"/>
      <c r="J11" s="42" t="s">
        <v>7</v>
      </c>
      <c r="K11" s="44"/>
      <c r="L11" s="49">
        <f>Kontrollpanel!Q35</f>
        <v>21198</v>
      </c>
      <c r="M11" s="46"/>
    </row>
    <row r="12" spans="2:23" x14ac:dyDescent="0.2">
      <c r="M12" s="9"/>
    </row>
    <row r="13" spans="2:23" x14ac:dyDescent="0.2">
      <c r="M13" s="9"/>
    </row>
    <row r="14" spans="2:23" ht="15.75" thickBot="1" x14ac:dyDescent="0.25">
      <c r="V14" s="9"/>
      <c r="W14" s="9"/>
    </row>
    <row r="15" spans="2:23" ht="15.75" x14ac:dyDescent="0.25">
      <c r="C15" s="2"/>
      <c r="D15" s="3"/>
      <c r="E15" s="3"/>
      <c r="F15" s="3"/>
      <c r="G15" s="3"/>
      <c r="H15" s="3"/>
      <c r="I15" s="3"/>
      <c r="J15" s="3"/>
      <c r="K15" s="3"/>
      <c r="L15" s="3"/>
      <c r="M15" s="3"/>
      <c r="N15" s="3"/>
      <c r="O15" s="3"/>
      <c r="P15" s="3"/>
      <c r="Q15" s="3"/>
      <c r="R15" s="3"/>
      <c r="S15" s="3"/>
      <c r="T15" s="3"/>
      <c r="U15" s="4"/>
      <c r="V15" s="6"/>
      <c r="W15" s="9"/>
    </row>
    <row r="16" spans="2:23" ht="16.5" thickBot="1" x14ac:dyDescent="0.3">
      <c r="B16" s="5"/>
      <c r="C16" s="52" t="s">
        <v>475</v>
      </c>
      <c r="D16" s="75"/>
      <c r="E16" s="9"/>
      <c r="F16" s="9"/>
      <c r="G16" s="9"/>
      <c r="H16" s="9"/>
      <c r="I16" s="9"/>
      <c r="J16" s="9"/>
      <c r="K16" s="9"/>
      <c r="L16" s="9"/>
      <c r="M16" s="9"/>
      <c r="N16" s="9"/>
      <c r="O16" s="9"/>
      <c r="P16" s="9"/>
      <c r="Q16" s="9"/>
      <c r="R16" s="9"/>
      <c r="S16" s="9"/>
      <c r="T16" s="9"/>
      <c r="U16" s="108" t="s">
        <v>47</v>
      </c>
      <c r="V16" s="6"/>
      <c r="W16" s="9"/>
    </row>
    <row r="17" spans="1:23" ht="15.75" x14ac:dyDescent="0.25">
      <c r="C17" s="58" t="s">
        <v>2</v>
      </c>
      <c r="D17" s="57" t="s">
        <v>8</v>
      </c>
      <c r="E17" s="57" t="s">
        <v>9</v>
      </c>
      <c r="F17" s="57" t="s">
        <v>10</v>
      </c>
      <c r="G17" s="57" t="s">
        <v>11</v>
      </c>
      <c r="H17" s="57" t="s">
        <v>12</v>
      </c>
      <c r="I17" s="57" t="s">
        <v>13</v>
      </c>
      <c r="J17" s="57" t="s">
        <v>14</v>
      </c>
      <c r="K17" s="57" t="s">
        <v>15</v>
      </c>
      <c r="L17" s="57" t="s">
        <v>16</v>
      </c>
      <c r="M17" s="57" t="s">
        <v>17</v>
      </c>
      <c r="N17" s="57" t="s">
        <v>18</v>
      </c>
      <c r="O17" s="57" t="s">
        <v>19</v>
      </c>
      <c r="P17" s="57" t="s">
        <v>20</v>
      </c>
      <c r="Q17" s="57" t="s">
        <v>21</v>
      </c>
      <c r="R17" s="57" t="s">
        <v>22</v>
      </c>
      <c r="S17" s="57" t="s">
        <v>23</v>
      </c>
      <c r="T17" s="57" t="s">
        <v>24</v>
      </c>
      <c r="U17" s="109"/>
      <c r="V17" s="9"/>
      <c r="W17" s="9"/>
    </row>
    <row r="18" spans="1:23" ht="15.75" x14ac:dyDescent="0.25">
      <c r="B18" s="7"/>
      <c r="C18" s="59" t="s">
        <v>3</v>
      </c>
      <c r="D18" s="54">
        <v>15</v>
      </c>
      <c r="E18" s="54">
        <v>64</v>
      </c>
      <c r="F18" s="54">
        <v>214</v>
      </c>
      <c r="G18" s="54">
        <v>25</v>
      </c>
      <c r="H18" s="54">
        <v>33</v>
      </c>
      <c r="I18" s="54">
        <v>127</v>
      </c>
      <c r="J18" s="54">
        <v>471</v>
      </c>
      <c r="K18" s="54">
        <v>12</v>
      </c>
      <c r="L18" s="54">
        <v>8</v>
      </c>
      <c r="M18" s="54">
        <v>173</v>
      </c>
      <c r="N18" s="54">
        <v>36</v>
      </c>
      <c r="O18" s="54">
        <v>144</v>
      </c>
      <c r="P18" s="54">
        <v>0</v>
      </c>
      <c r="Q18" s="54">
        <v>71</v>
      </c>
      <c r="R18" s="54">
        <v>26</v>
      </c>
      <c r="S18" s="54">
        <v>717</v>
      </c>
      <c r="T18" s="54">
        <f>SUM(D18:S18)</f>
        <v>2136</v>
      </c>
      <c r="U18" s="110">
        <f>T18/$T$27</f>
        <v>7.4513360775831997E-2</v>
      </c>
      <c r="V18" s="37"/>
      <c r="W18" s="9"/>
    </row>
    <row r="19" spans="1:23" ht="15.75" x14ac:dyDescent="0.25">
      <c r="B19" s="7"/>
      <c r="C19" s="59" t="s">
        <v>4</v>
      </c>
      <c r="D19" s="54">
        <v>320</v>
      </c>
      <c r="E19" s="54">
        <v>673</v>
      </c>
      <c r="F19" s="54">
        <v>1835</v>
      </c>
      <c r="G19" s="54">
        <v>389</v>
      </c>
      <c r="H19" s="54">
        <v>355</v>
      </c>
      <c r="I19" s="54">
        <v>1102</v>
      </c>
      <c r="J19" s="54">
        <v>3345</v>
      </c>
      <c r="K19" s="54">
        <v>221</v>
      </c>
      <c r="L19" s="54">
        <v>158</v>
      </c>
      <c r="M19" s="54">
        <v>1448</v>
      </c>
      <c r="N19" s="54">
        <v>275</v>
      </c>
      <c r="O19" s="54">
        <v>1286</v>
      </c>
      <c r="P19" s="54">
        <v>65</v>
      </c>
      <c r="Q19" s="54">
        <v>730</v>
      </c>
      <c r="R19" s="54">
        <v>282</v>
      </c>
      <c r="S19" s="54">
        <v>8341</v>
      </c>
      <c r="T19" s="54">
        <f>SUM(D19:S19)</f>
        <v>20825</v>
      </c>
      <c r="U19" s="110">
        <f>T19/$T$27</f>
        <v>0.72647038303216349</v>
      </c>
      <c r="V19" s="37"/>
      <c r="W19" s="9"/>
    </row>
    <row r="20" spans="1:23" ht="15.75" x14ac:dyDescent="0.25">
      <c r="B20" s="7"/>
      <c r="C20" s="59" t="s">
        <v>5</v>
      </c>
      <c r="D20" s="54">
        <v>81</v>
      </c>
      <c r="E20" s="54">
        <v>115</v>
      </c>
      <c r="F20" s="54">
        <v>276</v>
      </c>
      <c r="G20" s="54">
        <v>82</v>
      </c>
      <c r="H20" s="54">
        <v>56</v>
      </c>
      <c r="I20" s="54">
        <v>181</v>
      </c>
      <c r="J20" s="54">
        <v>386</v>
      </c>
      <c r="K20" s="54">
        <v>35</v>
      </c>
      <c r="L20" s="54">
        <v>49</v>
      </c>
      <c r="M20" s="54">
        <v>198</v>
      </c>
      <c r="N20" s="54">
        <v>63</v>
      </c>
      <c r="O20" s="54">
        <v>210</v>
      </c>
      <c r="P20" s="54">
        <v>16</v>
      </c>
      <c r="Q20" s="54">
        <v>134</v>
      </c>
      <c r="R20" s="54">
        <v>64</v>
      </c>
      <c r="S20" s="54">
        <v>1324</v>
      </c>
      <c r="T20" s="54">
        <f>SUM(D20:S20)</f>
        <v>3270</v>
      </c>
      <c r="U20" s="110">
        <f>T20/$T$27</f>
        <v>0.11407242028884393</v>
      </c>
      <c r="V20" s="37"/>
      <c r="W20" s="9"/>
    </row>
    <row r="21" spans="1:23" ht="15.75" x14ac:dyDescent="0.25">
      <c r="B21" s="7"/>
      <c r="C21" s="59" t="s">
        <v>6</v>
      </c>
      <c r="D21" s="54">
        <v>34</v>
      </c>
      <c r="E21" s="54">
        <v>61</v>
      </c>
      <c r="F21" s="54">
        <v>138</v>
      </c>
      <c r="G21" s="54">
        <v>42</v>
      </c>
      <c r="H21" s="54">
        <v>39</v>
      </c>
      <c r="I21" s="54">
        <v>85</v>
      </c>
      <c r="J21" s="54">
        <v>157</v>
      </c>
      <c r="K21" s="54">
        <v>42</v>
      </c>
      <c r="L21" s="54">
        <v>26</v>
      </c>
      <c r="M21" s="54">
        <v>82</v>
      </c>
      <c r="N21" s="54">
        <v>30</v>
      </c>
      <c r="O21" s="54">
        <v>121</v>
      </c>
      <c r="P21" s="54">
        <v>8</v>
      </c>
      <c r="Q21" s="54">
        <v>66</v>
      </c>
      <c r="R21" s="54">
        <v>47</v>
      </c>
      <c r="S21" s="54">
        <v>688</v>
      </c>
      <c r="T21" s="54">
        <f>SUM(D21:S21)</f>
        <v>1666</v>
      </c>
      <c r="U21" s="110">
        <f>T21/$T$27</f>
        <v>5.8117630642573082E-2</v>
      </c>
      <c r="V21" s="37"/>
      <c r="W21" s="9"/>
    </row>
    <row r="22" spans="1:23" ht="15.75" x14ac:dyDescent="0.25">
      <c r="B22" s="7"/>
      <c r="C22" s="59" t="s">
        <v>7</v>
      </c>
      <c r="D22" s="54">
        <v>25</v>
      </c>
      <c r="E22" s="54">
        <v>34</v>
      </c>
      <c r="F22" s="54">
        <v>57</v>
      </c>
      <c r="G22" s="54">
        <v>34</v>
      </c>
      <c r="H22" s="54">
        <v>17</v>
      </c>
      <c r="I22" s="54">
        <v>45</v>
      </c>
      <c r="J22" s="54">
        <v>65</v>
      </c>
      <c r="K22" s="54">
        <v>20</v>
      </c>
      <c r="L22" s="54">
        <v>10</v>
      </c>
      <c r="M22" s="54">
        <v>25</v>
      </c>
      <c r="N22" s="54">
        <v>9</v>
      </c>
      <c r="O22" s="54">
        <v>52</v>
      </c>
      <c r="P22" s="54">
        <v>11</v>
      </c>
      <c r="Q22" s="54">
        <v>28</v>
      </c>
      <c r="R22" s="54">
        <v>14</v>
      </c>
      <c r="S22" s="54">
        <v>323</v>
      </c>
      <c r="T22" s="54">
        <f>SUM(D22:S22)</f>
        <v>769</v>
      </c>
      <c r="U22" s="110">
        <f>T22/$T$27</f>
        <v>2.6826205260587457E-2</v>
      </c>
      <c r="V22" s="37"/>
      <c r="W22" s="9"/>
    </row>
    <row r="23" spans="1:23" ht="15.75" x14ac:dyDescent="0.25">
      <c r="B23" s="7"/>
      <c r="C23" s="59"/>
      <c r="D23" s="38"/>
      <c r="E23" s="38"/>
      <c r="F23" s="38"/>
      <c r="G23" s="38"/>
      <c r="H23" s="38"/>
      <c r="I23" s="38"/>
      <c r="J23" s="38"/>
      <c r="K23" s="38"/>
      <c r="L23" s="38"/>
      <c r="M23" s="38"/>
      <c r="N23" s="38"/>
      <c r="O23" s="38"/>
      <c r="P23" s="38"/>
      <c r="Q23" s="38"/>
      <c r="R23" s="38"/>
      <c r="S23" s="38"/>
      <c r="T23" s="55"/>
      <c r="U23" s="110"/>
      <c r="V23" s="37"/>
      <c r="W23" s="9"/>
    </row>
    <row r="24" spans="1:23" ht="15.75" x14ac:dyDescent="0.25">
      <c r="B24" s="7"/>
      <c r="C24" s="59" t="s">
        <v>25</v>
      </c>
      <c r="D24" s="38"/>
      <c r="E24" s="38"/>
      <c r="F24" s="38"/>
      <c r="G24" s="38"/>
      <c r="H24" s="38"/>
      <c r="I24" s="38"/>
      <c r="J24" s="38"/>
      <c r="K24" s="38"/>
      <c r="L24" s="38"/>
      <c r="M24" s="38"/>
      <c r="N24" s="38"/>
      <c r="O24" s="38"/>
      <c r="P24" s="38"/>
      <c r="Q24" s="38"/>
      <c r="R24" s="38"/>
      <c r="S24" s="38"/>
      <c r="T24" s="55"/>
      <c r="U24" s="110"/>
      <c r="V24" s="37"/>
      <c r="W24" s="9"/>
    </row>
    <row r="25" spans="1:23" ht="15.75" x14ac:dyDescent="0.25">
      <c r="B25" s="7"/>
      <c r="C25" s="59" t="s">
        <v>26</v>
      </c>
      <c r="D25" s="38"/>
      <c r="E25" s="38"/>
      <c r="F25" s="38"/>
      <c r="G25" s="38"/>
      <c r="H25" s="38"/>
      <c r="I25" s="38"/>
      <c r="J25" s="38"/>
      <c r="K25" s="38"/>
      <c r="L25" s="38"/>
      <c r="M25" s="38"/>
      <c r="N25" s="38"/>
      <c r="O25" s="38"/>
      <c r="P25" s="38"/>
      <c r="Q25" s="38"/>
      <c r="R25" s="38"/>
      <c r="S25" s="38"/>
      <c r="T25" s="55"/>
      <c r="U25" s="110"/>
      <c r="V25" s="37"/>
      <c r="W25" s="9"/>
    </row>
    <row r="26" spans="1:23" ht="15.75" x14ac:dyDescent="0.25">
      <c r="B26" s="7"/>
      <c r="C26" s="59"/>
      <c r="D26" s="38"/>
      <c r="E26" s="38"/>
      <c r="F26" s="38"/>
      <c r="G26" s="38"/>
      <c r="H26" s="38"/>
      <c r="I26" s="38"/>
      <c r="J26" s="38"/>
      <c r="K26" s="38"/>
      <c r="L26" s="38"/>
      <c r="M26" s="38"/>
      <c r="N26" s="38"/>
      <c r="O26" s="38"/>
      <c r="P26" s="38"/>
      <c r="Q26" s="38"/>
      <c r="R26" s="38"/>
      <c r="S26" s="38"/>
      <c r="T26" s="55"/>
      <c r="U26" s="110"/>
      <c r="V26" s="37"/>
      <c r="W26" s="9"/>
    </row>
    <row r="27" spans="1:23" ht="16.5" thickBot="1" x14ac:dyDescent="0.3">
      <c r="A27" s="94" t="s">
        <v>56</v>
      </c>
      <c r="B27" s="95"/>
      <c r="C27" s="60" t="s">
        <v>27</v>
      </c>
      <c r="D27" s="56">
        <f>SUM(D18:D22)</f>
        <v>475</v>
      </c>
      <c r="E27" s="56">
        <f t="shared" ref="E27:S27" si="0">SUM(E18:E22)</f>
        <v>947</v>
      </c>
      <c r="F27" s="56">
        <f t="shared" si="0"/>
        <v>2520</v>
      </c>
      <c r="G27" s="56">
        <f t="shared" si="0"/>
        <v>572</v>
      </c>
      <c r="H27" s="56">
        <f t="shared" si="0"/>
        <v>500</v>
      </c>
      <c r="I27" s="56">
        <f t="shared" si="0"/>
        <v>1540</v>
      </c>
      <c r="J27" s="56">
        <f t="shared" si="0"/>
        <v>4424</v>
      </c>
      <c r="K27" s="56">
        <f t="shared" si="0"/>
        <v>330</v>
      </c>
      <c r="L27" s="56">
        <f t="shared" si="0"/>
        <v>251</v>
      </c>
      <c r="M27" s="56">
        <f t="shared" si="0"/>
        <v>1926</v>
      </c>
      <c r="N27" s="56">
        <f t="shared" si="0"/>
        <v>413</v>
      </c>
      <c r="O27" s="56">
        <f t="shared" si="0"/>
        <v>1813</v>
      </c>
      <c r="P27" s="56">
        <f t="shared" si="0"/>
        <v>100</v>
      </c>
      <c r="Q27" s="56">
        <f t="shared" si="0"/>
        <v>1029</v>
      </c>
      <c r="R27" s="56">
        <f t="shared" si="0"/>
        <v>433</v>
      </c>
      <c r="S27" s="56">
        <f t="shared" si="0"/>
        <v>11393</v>
      </c>
      <c r="T27" s="56">
        <f>SUM(D18:S22)</f>
        <v>28666</v>
      </c>
      <c r="U27" s="111"/>
      <c r="V27" s="37"/>
      <c r="W27" s="9"/>
    </row>
    <row r="28" spans="1:23" ht="15.75" hidden="1" x14ac:dyDescent="0.25">
      <c r="A28" s="94"/>
      <c r="B28" s="95"/>
      <c r="C28" s="61"/>
      <c r="D28" s="9"/>
      <c r="E28" s="9"/>
      <c r="F28" s="9"/>
      <c r="G28" s="9"/>
      <c r="H28" s="9"/>
      <c r="I28" s="9"/>
      <c r="J28" s="9"/>
      <c r="K28" s="9"/>
      <c r="L28" s="9"/>
      <c r="M28" s="9"/>
      <c r="N28" s="9"/>
      <c r="O28" s="9"/>
      <c r="P28" s="9"/>
      <c r="Q28" s="9"/>
      <c r="R28" s="9"/>
      <c r="S28" s="9"/>
      <c r="T28" s="10"/>
      <c r="U28" s="50"/>
      <c r="V28" s="9"/>
      <c r="W28" s="9"/>
    </row>
    <row r="29" spans="1:23" ht="15.75" hidden="1" x14ac:dyDescent="0.25">
      <c r="A29" s="94"/>
      <c r="B29" s="95"/>
      <c r="C29" s="62" t="s">
        <v>28</v>
      </c>
      <c r="D29" s="12"/>
      <c r="E29" s="12"/>
      <c r="F29" s="12"/>
      <c r="G29" s="12"/>
      <c r="H29" s="12"/>
      <c r="I29" s="12"/>
      <c r="J29" s="12"/>
      <c r="K29" s="12"/>
      <c r="L29" s="12"/>
      <c r="M29" s="12"/>
      <c r="N29" s="12"/>
      <c r="O29" s="12"/>
      <c r="P29" s="12"/>
      <c r="Q29" s="12"/>
      <c r="R29" s="12"/>
      <c r="S29" s="12"/>
      <c r="T29" s="13"/>
      <c r="U29" s="51"/>
      <c r="V29" s="9"/>
      <c r="W29" s="9"/>
    </row>
    <row r="30" spans="1:23" ht="15.75" hidden="1" x14ac:dyDescent="0.25">
      <c r="A30" s="94"/>
      <c r="B30" s="95"/>
      <c r="C30" s="63" t="s">
        <v>3</v>
      </c>
      <c r="D30" s="15">
        <f>D18/D$27</f>
        <v>3.1578947368421054E-2</v>
      </c>
      <c r="E30" s="15">
        <f t="shared" ref="E30:S30" si="1">E18/E$27</f>
        <v>6.7581837381203796E-2</v>
      </c>
      <c r="F30" s="15">
        <f t="shared" si="1"/>
        <v>8.4920634920634924E-2</v>
      </c>
      <c r="G30" s="15">
        <f t="shared" si="1"/>
        <v>4.3706293706293704E-2</v>
      </c>
      <c r="H30" s="15">
        <f t="shared" si="1"/>
        <v>6.6000000000000003E-2</v>
      </c>
      <c r="I30" s="15">
        <f t="shared" si="1"/>
        <v>8.2467532467532467E-2</v>
      </c>
      <c r="J30" s="15">
        <f t="shared" si="1"/>
        <v>0.10646473779385172</v>
      </c>
      <c r="K30" s="15">
        <f t="shared" si="1"/>
        <v>3.6363636363636362E-2</v>
      </c>
      <c r="L30" s="15">
        <f t="shared" si="1"/>
        <v>3.1872509960159362E-2</v>
      </c>
      <c r="M30" s="15">
        <f t="shared" si="1"/>
        <v>8.9823468328141226E-2</v>
      </c>
      <c r="N30" s="15">
        <f t="shared" si="1"/>
        <v>8.7167070217917669E-2</v>
      </c>
      <c r="O30" s="15">
        <f t="shared" si="1"/>
        <v>7.9426365140650851E-2</v>
      </c>
      <c r="P30" s="15">
        <f t="shared" si="1"/>
        <v>0</v>
      </c>
      <c r="Q30" s="15">
        <f t="shared" si="1"/>
        <v>6.8999028182701649E-2</v>
      </c>
      <c r="R30" s="15">
        <f t="shared" si="1"/>
        <v>6.0046189376443418E-2</v>
      </c>
      <c r="S30" s="15">
        <f t="shared" si="1"/>
        <v>6.2933380145703502E-2</v>
      </c>
      <c r="T30" s="13"/>
      <c r="U30" s="51"/>
      <c r="V30" s="9"/>
      <c r="W30" s="9"/>
    </row>
    <row r="31" spans="1:23" ht="15.75" hidden="1" x14ac:dyDescent="0.25">
      <c r="A31" s="94"/>
      <c r="B31" s="95"/>
      <c r="C31" s="63" t="s">
        <v>4</v>
      </c>
      <c r="D31" s="15">
        <f t="shared" ref="D31:S34" si="2">D19/D$27</f>
        <v>0.67368421052631577</v>
      </c>
      <c r="E31" s="15">
        <f t="shared" si="2"/>
        <v>0.71066525871172126</v>
      </c>
      <c r="F31" s="15">
        <f t="shared" si="2"/>
        <v>0.72817460317460314</v>
      </c>
      <c r="G31" s="15">
        <f t="shared" si="2"/>
        <v>0.68006993006993011</v>
      </c>
      <c r="H31" s="15">
        <f t="shared" si="2"/>
        <v>0.71</v>
      </c>
      <c r="I31" s="15">
        <f t="shared" si="2"/>
        <v>0.71558441558441555</v>
      </c>
      <c r="J31" s="15">
        <f t="shared" si="2"/>
        <v>0.75610307414104883</v>
      </c>
      <c r="K31" s="15">
        <f t="shared" si="2"/>
        <v>0.66969696969696968</v>
      </c>
      <c r="L31" s="15">
        <f t="shared" si="2"/>
        <v>0.62948207171314741</v>
      </c>
      <c r="M31" s="15">
        <f t="shared" si="2"/>
        <v>0.75181723779854626</v>
      </c>
      <c r="N31" s="15">
        <f t="shared" si="2"/>
        <v>0.66585956416464886</v>
      </c>
      <c r="O31" s="15">
        <f t="shared" si="2"/>
        <v>0.70932156646442357</v>
      </c>
      <c r="P31" s="15">
        <f t="shared" si="2"/>
        <v>0.65</v>
      </c>
      <c r="Q31" s="15">
        <f t="shared" si="2"/>
        <v>0.7094266277939747</v>
      </c>
      <c r="R31" s="15">
        <f t="shared" si="2"/>
        <v>0.65127020785219403</v>
      </c>
      <c r="S31" s="15">
        <f t="shared" si="2"/>
        <v>0.73211621170894414</v>
      </c>
      <c r="T31" s="13"/>
      <c r="U31" s="51"/>
      <c r="V31" s="9"/>
      <c r="W31" s="9"/>
    </row>
    <row r="32" spans="1:23" ht="15.75" hidden="1" x14ac:dyDescent="0.25">
      <c r="A32" s="94"/>
      <c r="B32" s="95"/>
      <c r="C32" s="63" t="s">
        <v>5</v>
      </c>
      <c r="D32" s="15">
        <f t="shared" si="2"/>
        <v>0.17052631578947369</v>
      </c>
      <c r="E32" s="15">
        <f t="shared" si="2"/>
        <v>0.12143611404435058</v>
      </c>
      <c r="F32" s="15">
        <f t="shared" si="2"/>
        <v>0.10952380952380952</v>
      </c>
      <c r="G32" s="15">
        <f t="shared" si="2"/>
        <v>0.14335664335664336</v>
      </c>
      <c r="H32" s="15">
        <f t="shared" si="2"/>
        <v>0.112</v>
      </c>
      <c r="I32" s="15">
        <f t="shared" si="2"/>
        <v>0.11753246753246753</v>
      </c>
      <c r="J32" s="15">
        <f t="shared" si="2"/>
        <v>8.7251356238698008E-2</v>
      </c>
      <c r="K32" s="15">
        <f t="shared" si="2"/>
        <v>0.10606060606060606</v>
      </c>
      <c r="L32" s="15">
        <f t="shared" si="2"/>
        <v>0.19521912350597609</v>
      </c>
      <c r="M32" s="15">
        <f t="shared" si="2"/>
        <v>0.10280373831775701</v>
      </c>
      <c r="N32" s="15">
        <f t="shared" si="2"/>
        <v>0.15254237288135594</v>
      </c>
      <c r="O32" s="15">
        <f t="shared" si="2"/>
        <v>0.11583011583011583</v>
      </c>
      <c r="P32" s="15">
        <f t="shared" si="2"/>
        <v>0.16</v>
      </c>
      <c r="Q32" s="15">
        <f t="shared" si="2"/>
        <v>0.13022351797862003</v>
      </c>
      <c r="R32" s="15">
        <f t="shared" si="2"/>
        <v>0.14780600461893764</v>
      </c>
      <c r="S32" s="15">
        <f t="shared" si="2"/>
        <v>0.11621170894408847</v>
      </c>
      <c r="T32" s="13"/>
      <c r="U32" s="51"/>
      <c r="V32" s="9"/>
      <c r="W32" s="9"/>
    </row>
    <row r="33" spans="1:23" ht="15.75" hidden="1" x14ac:dyDescent="0.25">
      <c r="A33" s="94"/>
      <c r="B33" s="95"/>
      <c r="C33" s="63" t="s">
        <v>6</v>
      </c>
      <c r="D33" s="15">
        <f t="shared" si="2"/>
        <v>7.1578947368421048E-2</v>
      </c>
      <c r="E33" s="15">
        <f t="shared" si="2"/>
        <v>6.4413938753959871E-2</v>
      </c>
      <c r="F33" s="15">
        <f t="shared" si="2"/>
        <v>5.4761904761904762E-2</v>
      </c>
      <c r="G33" s="15">
        <f t="shared" si="2"/>
        <v>7.3426573426573424E-2</v>
      </c>
      <c r="H33" s="15">
        <f t="shared" si="2"/>
        <v>7.8E-2</v>
      </c>
      <c r="I33" s="15">
        <f t="shared" si="2"/>
        <v>5.5194805194805192E-2</v>
      </c>
      <c r="J33" s="15">
        <f t="shared" si="2"/>
        <v>3.5488245931283906E-2</v>
      </c>
      <c r="K33" s="15">
        <f t="shared" si="2"/>
        <v>0.12727272727272726</v>
      </c>
      <c r="L33" s="15">
        <f t="shared" si="2"/>
        <v>0.10358565737051793</v>
      </c>
      <c r="M33" s="15">
        <f t="shared" si="2"/>
        <v>4.2575285565939772E-2</v>
      </c>
      <c r="N33" s="15">
        <f t="shared" si="2"/>
        <v>7.2639225181598058E-2</v>
      </c>
      <c r="O33" s="15">
        <f t="shared" si="2"/>
        <v>6.6740209597352454E-2</v>
      </c>
      <c r="P33" s="15">
        <f t="shared" si="2"/>
        <v>0.08</v>
      </c>
      <c r="Q33" s="15">
        <f t="shared" si="2"/>
        <v>6.4139941690962099E-2</v>
      </c>
      <c r="R33" s="15">
        <f t="shared" si="2"/>
        <v>0.10854503464203233</v>
      </c>
      <c r="S33" s="15">
        <f t="shared" si="2"/>
        <v>6.0387957517774073E-2</v>
      </c>
      <c r="T33" s="13"/>
      <c r="U33" s="51"/>
      <c r="V33" s="9"/>
      <c r="W33" s="9"/>
    </row>
    <row r="34" spans="1:23" ht="15.75" hidden="1" x14ac:dyDescent="0.25">
      <c r="A34" s="94"/>
      <c r="B34" s="95"/>
      <c r="C34" s="63" t="s">
        <v>7</v>
      </c>
      <c r="D34" s="15">
        <f t="shared" si="2"/>
        <v>5.2631578947368418E-2</v>
      </c>
      <c r="E34" s="15">
        <f t="shared" si="2"/>
        <v>3.5902851108764518E-2</v>
      </c>
      <c r="F34" s="15">
        <f t="shared" si="2"/>
        <v>2.2619047619047618E-2</v>
      </c>
      <c r="G34" s="15">
        <f t="shared" si="2"/>
        <v>5.944055944055944E-2</v>
      </c>
      <c r="H34" s="15">
        <f t="shared" si="2"/>
        <v>3.4000000000000002E-2</v>
      </c>
      <c r="I34" s="15">
        <f t="shared" si="2"/>
        <v>2.922077922077922E-2</v>
      </c>
      <c r="J34" s="15">
        <f t="shared" si="2"/>
        <v>1.469258589511754E-2</v>
      </c>
      <c r="K34" s="15">
        <f t="shared" si="2"/>
        <v>6.0606060606060608E-2</v>
      </c>
      <c r="L34" s="15">
        <f t="shared" si="2"/>
        <v>3.9840637450199202E-2</v>
      </c>
      <c r="M34" s="15">
        <f t="shared" si="2"/>
        <v>1.2980269989615784E-2</v>
      </c>
      <c r="N34" s="15">
        <f t="shared" si="2"/>
        <v>2.1791767554479417E-2</v>
      </c>
      <c r="O34" s="15">
        <f t="shared" si="2"/>
        <v>2.8681742967457253E-2</v>
      </c>
      <c r="P34" s="15">
        <f t="shared" si="2"/>
        <v>0.11</v>
      </c>
      <c r="Q34" s="15">
        <f t="shared" si="2"/>
        <v>2.7210884353741496E-2</v>
      </c>
      <c r="R34" s="15">
        <f t="shared" si="2"/>
        <v>3.2332563510392612E-2</v>
      </c>
      <c r="S34" s="15">
        <f t="shared" si="2"/>
        <v>2.8350741683489861E-2</v>
      </c>
      <c r="T34" s="13"/>
      <c r="U34" s="51"/>
      <c r="V34" s="9"/>
      <c r="W34" s="9"/>
    </row>
    <row r="35" spans="1:23" ht="15.75" hidden="1" x14ac:dyDescent="0.25">
      <c r="A35" s="94"/>
      <c r="B35" s="95"/>
      <c r="C35" s="63"/>
      <c r="D35" s="12"/>
      <c r="E35" s="12"/>
      <c r="F35" s="12"/>
      <c r="G35" s="12"/>
      <c r="H35" s="12"/>
      <c r="I35" s="12"/>
      <c r="J35" s="12"/>
      <c r="K35" s="12"/>
      <c r="L35" s="12"/>
      <c r="M35" s="12"/>
      <c r="N35" s="12"/>
      <c r="O35" s="12"/>
      <c r="P35" s="12"/>
      <c r="Q35" s="12"/>
      <c r="R35" s="12"/>
      <c r="S35" s="12"/>
      <c r="T35" s="13"/>
      <c r="U35" s="51"/>
      <c r="V35" s="9"/>
      <c r="W35" s="9"/>
    </row>
    <row r="36" spans="1:23" ht="15.75" hidden="1" x14ac:dyDescent="0.25">
      <c r="A36" s="94"/>
      <c r="B36" s="95"/>
      <c r="C36" s="63" t="s">
        <v>25</v>
      </c>
      <c r="D36" s="12"/>
      <c r="E36" s="12"/>
      <c r="F36" s="12"/>
      <c r="G36" s="12"/>
      <c r="H36" s="12"/>
      <c r="I36" s="12"/>
      <c r="J36" s="12"/>
      <c r="K36" s="12"/>
      <c r="L36" s="12"/>
      <c r="M36" s="12"/>
      <c r="N36" s="12"/>
      <c r="O36" s="12"/>
      <c r="P36" s="12"/>
      <c r="Q36" s="12"/>
      <c r="R36" s="12"/>
      <c r="S36" s="12"/>
      <c r="T36" s="13"/>
      <c r="U36" s="51"/>
      <c r="V36" s="9"/>
      <c r="W36" s="9"/>
    </row>
    <row r="37" spans="1:23" ht="15.75" hidden="1" x14ac:dyDescent="0.25">
      <c r="A37" s="94"/>
      <c r="B37" s="95"/>
      <c r="C37" s="63" t="s">
        <v>26</v>
      </c>
      <c r="D37" s="12"/>
      <c r="E37" s="12"/>
      <c r="F37" s="12"/>
      <c r="G37" s="12"/>
      <c r="H37" s="12"/>
      <c r="I37" s="12"/>
      <c r="J37" s="12"/>
      <c r="K37" s="12"/>
      <c r="L37" s="12"/>
      <c r="M37" s="12"/>
      <c r="N37" s="12"/>
      <c r="O37" s="12"/>
      <c r="P37" s="12"/>
      <c r="Q37" s="12"/>
      <c r="R37" s="12"/>
      <c r="S37" s="12"/>
      <c r="T37" s="13"/>
      <c r="U37" s="51"/>
      <c r="V37" s="9"/>
      <c r="W37" s="9"/>
    </row>
    <row r="38" spans="1:23" ht="15.75" hidden="1" x14ac:dyDescent="0.25">
      <c r="A38" s="94"/>
      <c r="B38" s="95"/>
      <c r="C38" s="63"/>
      <c r="D38" s="12"/>
      <c r="E38" s="12"/>
      <c r="F38" s="12"/>
      <c r="G38" s="12"/>
      <c r="H38" s="12"/>
      <c r="I38" s="12"/>
      <c r="J38" s="12"/>
      <c r="K38" s="12"/>
      <c r="L38" s="12"/>
      <c r="M38" s="12"/>
      <c r="N38" s="12"/>
      <c r="O38" s="12"/>
      <c r="P38" s="12"/>
      <c r="Q38" s="12"/>
      <c r="R38" s="12"/>
      <c r="S38" s="12"/>
      <c r="T38" s="13"/>
      <c r="U38" s="51"/>
      <c r="V38" s="9"/>
      <c r="W38" s="9"/>
    </row>
    <row r="39" spans="1:23" ht="15.75" hidden="1" x14ac:dyDescent="0.25">
      <c r="A39" s="94"/>
      <c r="B39" s="95"/>
      <c r="C39" s="63" t="s">
        <v>27</v>
      </c>
      <c r="D39" s="12"/>
      <c r="E39" s="12"/>
      <c r="F39" s="12"/>
      <c r="G39" s="12"/>
      <c r="H39" s="12"/>
      <c r="I39" s="12"/>
      <c r="J39" s="12"/>
      <c r="K39" s="12"/>
      <c r="L39" s="12"/>
      <c r="M39" s="12"/>
      <c r="N39" s="12"/>
      <c r="O39" s="12"/>
      <c r="P39" s="12"/>
      <c r="Q39" s="12"/>
      <c r="R39" s="12"/>
      <c r="S39" s="12"/>
      <c r="T39" s="13"/>
      <c r="U39" s="51"/>
      <c r="V39" s="9"/>
      <c r="W39" s="9"/>
    </row>
    <row r="40" spans="1:23" ht="15.75" hidden="1" x14ac:dyDescent="0.25">
      <c r="A40" s="94"/>
      <c r="B40" s="95"/>
      <c r="C40" s="63"/>
      <c r="D40" s="12"/>
      <c r="E40" s="12"/>
      <c r="F40" s="12"/>
      <c r="G40" s="12"/>
      <c r="H40" s="12"/>
      <c r="I40" s="12"/>
      <c r="J40" s="12"/>
      <c r="K40" s="12"/>
      <c r="L40" s="12"/>
      <c r="M40" s="12"/>
      <c r="N40" s="12"/>
      <c r="O40" s="12"/>
      <c r="P40" s="12"/>
      <c r="Q40" s="12"/>
      <c r="R40" s="12"/>
      <c r="S40" s="12"/>
      <c r="T40" s="13"/>
      <c r="U40" s="51"/>
      <c r="V40" s="9"/>
      <c r="W40" s="9"/>
    </row>
    <row r="41" spans="1:23" ht="15.75" hidden="1" x14ac:dyDescent="0.25">
      <c r="A41" s="94"/>
      <c r="B41" s="95"/>
      <c r="C41" s="62" t="s">
        <v>29</v>
      </c>
      <c r="D41" s="12"/>
      <c r="E41" s="12"/>
      <c r="F41" s="12"/>
      <c r="G41" s="12"/>
      <c r="H41" s="12"/>
      <c r="I41" s="12"/>
      <c r="J41" s="12"/>
      <c r="K41" s="12"/>
      <c r="L41" s="12"/>
      <c r="M41" s="12"/>
      <c r="N41" s="12"/>
      <c r="O41" s="12"/>
      <c r="P41" s="12"/>
      <c r="Q41" s="12"/>
      <c r="R41" s="12"/>
      <c r="S41" s="12"/>
      <c r="T41" s="13"/>
      <c r="U41" s="51"/>
      <c r="V41" s="9"/>
      <c r="W41" s="9"/>
    </row>
    <row r="42" spans="1:23" ht="15.75" hidden="1" x14ac:dyDescent="0.25">
      <c r="A42" s="94"/>
      <c r="B42" s="95"/>
      <c r="C42" s="63" t="s">
        <v>3</v>
      </c>
      <c r="D42" s="16">
        <f>$U18-D30</f>
        <v>4.2934413407410943E-2</v>
      </c>
      <c r="E42" s="16">
        <f t="shared" ref="E42:S42" si="3">$U18-E30</f>
        <v>6.9315233946282001E-3</v>
      </c>
      <c r="F42" s="16">
        <f t="shared" si="3"/>
        <v>-1.0407274144802928E-2</v>
      </c>
      <c r="G42" s="16">
        <f t="shared" si="3"/>
        <v>3.0807067069538292E-2</v>
      </c>
      <c r="H42" s="16">
        <f t="shared" si="3"/>
        <v>8.5133607758319935E-3</v>
      </c>
      <c r="I42" s="16">
        <f t="shared" si="3"/>
        <v>-7.9541716917004707E-3</v>
      </c>
      <c r="J42" s="16">
        <f t="shared" si="3"/>
        <v>-3.1951377018019728E-2</v>
      </c>
      <c r="K42" s="16">
        <f t="shared" si="3"/>
        <v>3.8149724412195635E-2</v>
      </c>
      <c r="L42" s="16">
        <f t="shared" si="3"/>
        <v>4.2640850815672635E-2</v>
      </c>
      <c r="M42" s="16">
        <f t="shared" si="3"/>
        <v>-1.5310107552309229E-2</v>
      </c>
      <c r="N42" s="16">
        <f t="shared" si="3"/>
        <v>-1.2653709442085673E-2</v>
      </c>
      <c r="O42" s="16">
        <f t="shared" si="3"/>
        <v>-4.9130043648188543E-3</v>
      </c>
      <c r="P42" s="16">
        <f t="shared" si="3"/>
        <v>7.4513360775831997E-2</v>
      </c>
      <c r="Q42" s="16">
        <f t="shared" si="3"/>
        <v>5.5143325931303472E-3</v>
      </c>
      <c r="R42" s="16">
        <f t="shared" si="3"/>
        <v>1.4467171399388579E-2</v>
      </c>
      <c r="S42" s="16">
        <f t="shared" si="3"/>
        <v>1.1579980630128495E-2</v>
      </c>
      <c r="T42" s="13"/>
      <c r="U42" s="51"/>
      <c r="V42" s="9"/>
      <c r="W42" s="9"/>
    </row>
    <row r="43" spans="1:23" ht="15.75" hidden="1" x14ac:dyDescent="0.25">
      <c r="A43" s="94"/>
      <c r="B43" s="95"/>
      <c r="C43" s="63" t="s">
        <v>4</v>
      </c>
      <c r="D43" s="16">
        <f t="shared" ref="D43:S46" si="4">$U19-D31</f>
        <v>5.2786172505847717E-2</v>
      </c>
      <c r="E43" s="16">
        <f t="shared" si="4"/>
        <v>1.5805124320442232E-2</v>
      </c>
      <c r="F43" s="16">
        <f t="shared" si="4"/>
        <v>-1.7042201424396497E-3</v>
      </c>
      <c r="G43" s="16">
        <f t="shared" si="4"/>
        <v>4.6400452962233385E-2</v>
      </c>
      <c r="H43" s="16">
        <f t="shared" si="4"/>
        <v>1.6470383032163527E-2</v>
      </c>
      <c r="I43" s="16">
        <f t="shared" si="4"/>
        <v>1.0885967447747946E-2</v>
      </c>
      <c r="J43" s="16">
        <f t="shared" si="4"/>
        <v>-2.9632691108885334E-2</v>
      </c>
      <c r="K43" s="16">
        <f t="shared" si="4"/>
        <v>5.6773413335193812E-2</v>
      </c>
      <c r="L43" s="16">
        <f t="shared" si="4"/>
        <v>9.6988311319016085E-2</v>
      </c>
      <c r="M43" s="16">
        <f t="shared" si="4"/>
        <v>-2.5346854766382765E-2</v>
      </c>
      <c r="N43" s="16">
        <f t="shared" si="4"/>
        <v>6.0610818867514626E-2</v>
      </c>
      <c r="O43" s="16">
        <f t="shared" si="4"/>
        <v>1.7148816567739922E-2</v>
      </c>
      <c r="P43" s="16">
        <f t="shared" si="4"/>
        <v>7.6470383032163469E-2</v>
      </c>
      <c r="Q43" s="16">
        <f t="shared" si="4"/>
        <v>1.7043755238188796E-2</v>
      </c>
      <c r="R43" s="16">
        <f t="shared" si="4"/>
        <v>7.5200175179969464E-2</v>
      </c>
      <c r="S43" s="16">
        <f t="shared" si="4"/>
        <v>-5.6458286767806509E-3</v>
      </c>
      <c r="T43" s="13"/>
      <c r="U43" s="51"/>
      <c r="V43" s="9"/>
      <c r="W43" s="9"/>
    </row>
    <row r="44" spans="1:23" ht="15.75" hidden="1" x14ac:dyDescent="0.25">
      <c r="A44" s="94"/>
      <c r="B44" s="95"/>
      <c r="C44" s="63" t="s">
        <v>5</v>
      </c>
      <c r="D44" s="16">
        <f t="shared" si="4"/>
        <v>-5.6453895500629764E-2</v>
      </c>
      <c r="E44" s="16">
        <f t="shared" si="4"/>
        <v>-7.3636937555066478E-3</v>
      </c>
      <c r="F44" s="16">
        <f t="shared" si="4"/>
        <v>4.5486107650344054E-3</v>
      </c>
      <c r="G44" s="16">
        <f t="shared" si="4"/>
        <v>-2.9284223067799431E-2</v>
      </c>
      <c r="H44" s="16">
        <f t="shared" si="4"/>
        <v>2.0724202888439264E-3</v>
      </c>
      <c r="I44" s="16">
        <f t="shared" si="4"/>
        <v>-3.4600472436236013E-3</v>
      </c>
      <c r="J44" s="16">
        <f t="shared" si="4"/>
        <v>2.6821064050145921E-2</v>
      </c>
      <c r="K44" s="16">
        <f t="shared" si="4"/>
        <v>8.0118142282378652E-3</v>
      </c>
      <c r="L44" s="16">
        <f t="shared" si="4"/>
        <v>-8.114670321713216E-2</v>
      </c>
      <c r="M44" s="16">
        <f t="shared" si="4"/>
        <v>1.1268681971086922E-2</v>
      </c>
      <c r="N44" s="16">
        <f t="shared" si="4"/>
        <v>-3.8469952592512013E-2</v>
      </c>
      <c r="O44" s="16">
        <f t="shared" si="4"/>
        <v>-1.7576955412719059E-3</v>
      </c>
      <c r="P44" s="16">
        <f t="shared" si="4"/>
        <v>-4.5927579711156075E-2</v>
      </c>
      <c r="Q44" s="16">
        <f t="shared" si="4"/>
        <v>-1.61510976897761E-2</v>
      </c>
      <c r="R44" s="16">
        <f t="shared" si="4"/>
        <v>-3.3733584330093713E-2</v>
      </c>
      <c r="S44" s="16">
        <f t="shared" si="4"/>
        <v>-2.1392886552445423E-3</v>
      </c>
      <c r="T44" s="13"/>
      <c r="U44" s="51"/>
      <c r="V44" s="9"/>
      <c r="W44" s="9"/>
    </row>
    <row r="45" spans="1:23" ht="15.75" hidden="1" x14ac:dyDescent="0.25">
      <c r="A45" s="94"/>
      <c r="B45" s="95"/>
      <c r="C45" s="63" t="s">
        <v>6</v>
      </c>
      <c r="D45" s="16">
        <f t="shared" si="4"/>
        <v>-1.3461316725847966E-2</v>
      </c>
      <c r="E45" s="16">
        <f t="shared" si="4"/>
        <v>-6.2963081113867891E-3</v>
      </c>
      <c r="F45" s="16">
        <f t="shared" si="4"/>
        <v>3.3557258806683199E-3</v>
      </c>
      <c r="G45" s="16">
        <f t="shared" si="4"/>
        <v>-1.5308942784000343E-2</v>
      </c>
      <c r="H45" s="16">
        <f t="shared" si="4"/>
        <v>-1.9882369357426918E-2</v>
      </c>
      <c r="I45" s="16">
        <f t="shared" si="4"/>
        <v>2.9228254477678892E-3</v>
      </c>
      <c r="J45" s="16">
        <f t="shared" si="4"/>
        <v>2.2629384711289176E-2</v>
      </c>
      <c r="K45" s="16">
        <f t="shared" si="4"/>
        <v>-6.9155096630154178E-2</v>
      </c>
      <c r="L45" s="16">
        <f t="shared" si="4"/>
        <v>-4.5468026727944852E-2</v>
      </c>
      <c r="M45" s="16">
        <f t="shared" si="4"/>
        <v>1.554234507663331E-2</v>
      </c>
      <c r="N45" s="16">
        <f t="shared" si="4"/>
        <v>-1.4521594539024976E-2</v>
      </c>
      <c r="O45" s="16">
        <f t="shared" si="4"/>
        <v>-8.6225789547793724E-3</v>
      </c>
      <c r="P45" s="16">
        <f t="shared" si="4"/>
        <v>-2.188236935742692E-2</v>
      </c>
      <c r="Q45" s="16">
        <f t="shared" si="4"/>
        <v>-6.0223110483890174E-3</v>
      </c>
      <c r="R45" s="16">
        <f t="shared" si="4"/>
        <v>-5.0427403999459247E-2</v>
      </c>
      <c r="S45" s="16">
        <f t="shared" si="4"/>
        <v>-2.2703268752009911E-3</v>
      </c>
      <c r="T45" s="13"/>
      <c r="U45" s="51"/>
      <c r="V45" s="9"/>
      <c r="W45" s="9"/>
    </row>
    <row r="46" spans="1:23" ht="15.75" hidden="1" x14ac:dyDescent="0.25">
      <c r="A46" s="94"/>
      <c r="B46" s="95"/>
      <c r="C46" s="63" t="s">
        <v>7</v>
      </c>
      <c r="D46" s="16">
        <f t="shared" si="4"/>
        <v>-2.5805373686780961E-2</v>
      </c>
      <c r="E46" s="16">
        <f t="shared" si="4"/>
        <v>-9.0766458481770611E-3</v>
      </c>
      <c r="F46" s="16">
        <f t="shared" si="4"/>
        <v>4.2071576415398382E-3</v>
      </c>
      <c r="G46" s="16">
        <f t="shared" si="4"/>
        <v>-3.261435417997198E-2</v>
      </c>
      <c r="H46" s="16">
        <f t="shared" si="4"/>
        <v>-7.1737947394125458E-3</v>
      </c>
      <c r="I46" s="16">
        <f t="shared" si="4"/>
        <v>-2.3945739601917634E-3</v>
      </c>
      <c r="J46" s="16">
        <f t="shared" si="4"/>
        <v>1.2133619365469916E-2</v>
      </c>
      <c r="K46" s="16">
        <f t="shared" si="4"/>
        <v>-3.3779855345473148E-2</v>
      </c>
      <c r="L46" s="16">
        <f t="shared" si="4"/>
        <v>-1.3014432189611746E-2</v>
      </c>
      <c r="M46" s="16">
        <f t="shared" si="4"/>
        <v>1.3845935270971672E-2</v>
      </c>
      <c r="N46" s="16">
        <f t="shared" si="4"/>
        <v>5.0344377061080393E-3</v>
      </c>
      <c r="O46" s="16">
        <f t="shared" si="4"/>
        <v>-1.8555377068697962E-3</v>
      </c>
      <c r="P46" s="16">
        <f t="shared" si="4"/>
        <v>-8.317379473941254E-2</v>
      </c>
      <c r="Q46" s="16">
        <f t="shared" si="4"/>
        <v>-3.8467909315403892E-4</v>
      </c>
      <c r="R46" s="16">
        <f t="shared" si="4"/>
        <v>-5.5063582498051551E-3</v>
      </c>
      <c r="S46" s="16">
        <f t="shared" si="4"/>
        <v>-1.524536422902404E-3</v>
      </c>
      <c r="T46" s="13"/>
      <c r="U46" s="51"/>
      <c r="V46" s="9"/>
      <c r="W46" s="9"/>
    </row>
    <row r="47" spans="1:23" ht="15.75" hidden="1" x14ac:dyDescent="0.25">
      <c r="A47" s="94"/>
      <c r="B47" s="95"/>
      <c r="C47" s="63"/>
      <c r="D47" s="17"/>
      <c r="E47" s="17"/>
      <c r="F47" s="17"/>
      <c r="G47" s="17"/>
      <c r="H47" s="17"/>
      <c r="I47" s="17"/>
      <c r="J47" s="17"/>
      <c r="K47" s="17"/>
      <c r="L47" s="17"/>
      <c r="M47" s="17"/>
      <c r="N47" s="17"/>
      <c r="O47" s="17"/>
      <c r="P47" s="17"/>
      <c r="Q47" s="17"/>
      <c r="R47" s="17"/>
      <c r="S47" s="17"/>
      <c r="T47" s="13"/>
      <c r="U47" s="51"/>
      <c r="V47" s="9"/>
      <c r="W47" s="9"/>
    </row>
    <row r="48" spans="1:23" ht="15.75" hidden="1" x14ac:dyDescent="0.25">
      <c r="A48" s="94"/>
      <c r="B48" s="95"/>
      <c r="C48" s="63" t="s">
        <v>30</v>
      </c>
      <c r="D48" s="17"/>
      <c r="E48" s="17"/>
      <c r="F48" s="17"/>
      <c r="G48" s="17"/>
      <c r="H48" s="17"/>
      <c r="I48" s="17"/>
      <c r="J48" s="17"/>
      <c r="K48" s="17"/>
      <c r="L48" s="17"/>
      <c r="M48" s="17"/>
      <c r="N48" s="17"/>
      <c r="O48" s="17"/>
      <c r="P48" s="17"/>
      <c r="Q48" s="17"/>
      <c r="R48" s="17"/>
      <c r="S48" s="17"/>
      <c r="T48" s="13"/>
      <c r="U48" s="51"/>
      <c r="V48" s="9"/>
      <c r="W48" s="9"/>
    </row>
    <row r="49" spans="1:23" ht="15.75" hidden="1" x14ac:dyDescent="0.25">
      <c r="A49" s="94"/>
      <c r="B49" s="95"/>
      <c r="C49" s="63" t="s">
        <v>3</v>
      </c>
      <c r="D49" s="16">
        <f>IF(D42&gt;0,-1*((D$27*$U18)-D18),(D18-(D$27*$U18)))</f>
        <v>-20.393846368520201</v>
      </c>
      <c r="E49" s="16">
        <f t="shared" ref="E49:S49" si="5">IF(E42&gt;0,-1*((E$27*$U18)-E18),(E18-(E$27*$U18)))</f>
        <v>-6.564152654712899</v>
      </c>
      <c r="F49" s="16">
        <f t="shared" si="5"/>
        <v>26.226330844903373</v>
      </c>
      <c r="G49" s="16">
        <f t="shared" si="5"/>
        <v>-17.621642363775905</v>
      </c>
      <c r="H49" s="16">
        <f t="shared" si="5"/>
        <v>-4.2566803879159991</v>
      </c>
      <c r="I49" s="16">
        <f t="shared" si="5"/>
        <v>12.249424405218718</v>
      </c>
      <c r="J49" s="16">
        <f t="shared" si="5"/>
        <v>141.35289192771927</v>
      </c>
      <c r="K49" s="16">
        <f t="shared" si="5"/>
        <v>-12.589409056024557</v>
      </c>
      <c r="L49" s="16">
        <f t="shared" si="5"/>
        <v>-10.702853554733831</v>
      </c>
      <c r="M49" s="16">
        <f t="shared" si="5"/>
        <v>29.48726714574758</v>
      </c>
      <c r="N49" s="16">
        <f t="shared" si="5"/>
        <v>5.2259819995813857</v>
      </c>
      <c r="O49" s="16">
        <f t="shared" si="5"/>
        <v>8.907276913416581</v>
      </c>
      <c r="P49" s="16">
        <f t="shared" si="5"/>
        <v>-7.4513360775831998</v>
      </c>
      <c r="Q49" s="16">
        <f t="shared" si="5"/>
        <v>-5.6742482383311312</v>
      </c>
      <c r="R49" s="16">
        <f t="shared" si="5"/>
        <v>-6.2642852159352529</v>
      </c>
      <c r="S49" s="16">
        <f t="shared" si="5"/>
        <v>-131.93071931905399</v>
      </c>
      <c r="T49" s="13"/>
      <c r="U49" s="51"/>
      <c r="V49" s="9"/>
      <c r="W49" s="9"/>
    </row>
    <row r="50" spans="1:23" ht="15.75" hidden="1" x14ac:dyDescent="0.25">
      <c r="A50" s="94"/>
      <c r="B50" s="95"/>
      <c r="C50" s="63" t="s">
        <v>4</v>
      </c>
      <c r="D50" s="16">
        <f t="shared" ref="D50:S53" si="6">IF(D43&gt;0,-1*((D$27*$U19)-D19),(D19-(D$27*$U19)))</f>
        <v>-25.073431940277658</v>
      </c>
      <c r="E50" s="16">
        <f t="shared" si="6"/>
        <v>-14.96745273145882</v>
      </c>
      <c r="F50" s="16">
        <f t="shared" si="6"/>
        <v>4.2946347589479501</v>
      </c>
      <c r="G50" s="16">
        <f t="shared" si="6"/>
        <v>-26.541059094397497</v>
      </c>
      <c r="H50" s="16">
        <f t="shared" si="6"/>
        <v>-8.2351915160817271</v>
      </c>
      <c r="I50" s="16">
        <f t="shared" si="6"/>
        <v>-16.764389869531669</v>
      </c>
      <c r="J50" s="16">
        <f t="shared" si="6"/>
        <v>131.09502546570866</v>
      </c>
      <c r="K50" s="16">
        <f t="shared" si="6"/>
        <v>-18.735226400613954</v>
      </c>
      <c r="L50" s="16">
        <f t="shared" si="6"/>
        <v>-24.344066141073029</v>
      </c>
      <c r="M50" s="16">
        <f t="shared" si="6"/>
        <v>48.818042280053078</v>
      </c>
      <c r="N50" s="16">
        <f t="shared" si="6"/>
        <v>-25.032268192283539</v>
      </c>
      <c r="O50" s="16">
        <f t="shared" si="6"/>
        <v>-31.090804437312499</v>
      </c>
      <c r="P50" s="16">
        <f t="shared" si="6"/>
        <v>-7.6470383032163483</v>
      </c>
      <c r="Q50" s="16">
        <f t="shared" si="6"/>
        <v>-17.53802414009624</v>
      </c>
      <c r="R50" s="16">
        <f t="shared" si="6"/>
        <v>-32.561675852926783</v>
      </c>
      <c r="S50" s="16">
        <f t="shared" si="6"/>
        <v>64.322926114560687</v>
      </c>
      <c r="T50" s="13"/>
      <c r="U50" s="51"/>
      <c r="V50" s="9"/>
      <c r="W50" s="9"/>
    </row>
    <row r="51" spans="1:23" ht="15.75" hidden="1" x14ac:dyDescent="0.25">
      <c r="A51" s="94"/>
      <c r="B51" s="95"/>
      <c r="C51" s="63" t="s">
        <v>5</v>
      </c>
      <c r="D51" s="16">
        <f t="shared" si="6"/>
        <v>26.815600362799131</v>
      </c>
      <c r="E51" s="16">
        <f t="shared" si="6"/>
        <v>6.9734179864647956</v>
      </c>
      <c r="F51" s="16">
        <f t="shared" si="6"/>
        <v>-11.462499127886701</v>
      </c>
      <c r="G51" s="16">
        <f t="shared" si="6"/>
        <v>16.750575594781267</v>
      </c>
      <c r="H51" s="16">
        <f t="shared" si="6"/>
        <v>-1.0362101444219647</v>
      </c>
      <c r="I51" s="16">
        <f t="shared" si="6"/>
        <v>5.3284727551803428</v>
      </c>
      <c r="J51" s="16">
        <f t="shared" si="6"/>
        <v>-118.65638735784552</v>
      </c>
      <c r="K51" s="16">
        <f t="shared" si="6"/>
        <v>-2.643898695318498</v>
      </c>
      <c r="L51" s="16">
        <f t="shared" si="6"/>
        <v>20.367822507500176</v>
      </c>
      <c r="M51" s="16">
        <f t="shared" si="6"/>
        <v>-21.703481476313414</v>
      </c>
      <c r="N51" s="16">
        <f t="shared" si="6"/>
        <v>15.888090420707456</v>
      </c>
      <c r="O51" s="16">
        <f t="shared" si="6"/>
        <v>3.1867020163259667</v>
      </c>
      <c r="P51" s="16">
        <f t="shared" si="6"/>
        <v>4.5927579711156064</v>
      </c>
      <c r="Q51" s="16">
        <f t="shared" si="6"/>
        <v>16.619479522779599</v>
      </c>
      <c r="R51" s="16">
        <f t="shared" si="6"/>
        <v>14.606642014930578</v>
      </c>
      <c r="S51" s="16">
        <f t="shared" si="6"/>
        <v>24.372915649201104</v>
      </c>
      <c r="T51" s="13"/>
      <c r="U51" s="51"/>
      <c r="V51" s="9"/>
      <c r="W51" s="9"/>
    </row>
    <row r="52" spans="1:23" ht="15.75" hidden="1" x14ac:dyDescent="0.25">
      <c r="A52" s="94"/>
      <c r="B52" s="95"/>
      <c r="C52" s="63" t="s">
        <v>6</v>
      </c>
      <c r="D52" s="16">
        <f t="shared" si="6"/>
        <v>6.3941254447777851</v>
      </c>
      <c r="E52" s="16">
        <f t="shared" si="6"/>
        <v>5.9626037814832884</v>
      </c>
      <c r="F52" s="16">
        <f t="shared" si="6"/>
        <v>-8.4564292192841606</v>
      </c>
      <c r="G52" s="16">
        <f t="shared" si="6"/>
        <v>8.7567152724481971</v>
      </c>
      <c r="H52" s="16">
        <f t="shared" si="6"/>
        <v>9.9411846787134586</v>
      </c>
      <c r="I52" s="16">
        <f t="shared" si="6"/>
        <v>-4.5011511895625489</v>
      </c>
      <c r="J52" s="16">
        <f t="shared" si="6"/>
        <v>-100.11239796274333</v>
      </c>
      <c r="K52" s="16">
        <f t="shared" si="6"/>
        <v>22.821181887950882</v>
      </c>
      <c r="L52" s="16">
        <f t="shared" si="6"/>
        <v>11.412474708714157</v>
      </c>
      <c r="M52" s="16">
        <f t="shared" si="6"/>
        <v>-29.93455661759576</v>
      </c>
      <c r="N52" s="16">
        <f t="shared" si="6"/>
        <v>5.997418544617318</v>
      </c>
      <c r="O52" s="16">
        <f t="shared" si="6"/>
        <v>15.632735645015003</v>
      </c>
      <c r="P52" s="16">
        <f t="shared" si="6"/>
        <v>2.1882369357426921</v>
      </c>
      <c r="Q52" s="16">
        <f t="shared" si="6"/>
        <v>6.1969580687922985</v>
      </c>
      <c r="R52" s="16">
        <f t="shared" si="6"/>
        <v>21.835065931765854</v>
      </c>
      <c r="S52" s="16">
        <f t="shared" si="6"/>
        <v>25.865834089164878</v>
      </c>
      <c r="T52" s="13"/>
      <c r="U52" s="51"/>
      <c r="V52" s="9"/>
      <c r="W52" s="9"/>
    </row>
    <row r="53" spans="1:23" ht="15.75" hidden="1" x14ac:dyDescent="0.25">
      <c r="A53" s="94"/>
      <c r="B53" s="95"/>
      <c r="C53" s="63" t="s">
        <v>7</v>
      </c>
      <c r="D53" s="16">
        <f t="shared" si="6"/>
        <v>12.257552501220959</v>
      </c>
      <c r="E53" s="16">
        <f t="shared" si="6"/>
        <v>8.595583618223678</v>
      </c>
      <c r="F53" s="16">
        <f t="shared" si="6"/>
        <v>-10.60203725668039</v>
      </c>
      <c r="G53" s="16">
        <f t="shared" si="6"/>
        <v>18.655410590943973</v>
      </c>
      <c r="H53" s="16">
        <f t="shared" si="6"/>
        <v>3.5868973697062714</v>
      </c>
      <c r="I53" s="16">
        <f t="shared" si="6"/>
        <v>3.6876438986953133</v>
      </c>
      <c r="J53" s="16">
        <f t="shared" si="6"/>
        <v>-53.679132072838911</v>
      </c>
      <c r="K53" s="16">
        <f t="shared" si="6"/>
        <v>11.147352264006139</v>
      </c>
      <c r="L53" s="16">
        <f t="shared" si="6"/>
        <v>3.2666224795925487</v>
      </c>
      <c r="M53" s="16">
        <f t="shared" si="6"/>
        <v>-26.667271331891442</v>
      </c>
      <c r="N53" s="16">
        <f t="shared" si="6"/>
        <v>-2.0792227726226198</v>
      </c>
      <c r="O53" s="16">
        <f t="shared" si="6"/>
        <v>3.3640898625549411</v>
      </c>
      <c r="P53" s="16">
        <f t="shared" si="6"/>
        <v>8.317379473941255</v>
      </c>
      <c r="Q53" s="16">
        <f t="shared" si="6"/>
        <v>0.39583478685550588</v>
      </c>
      <c r="R53" s="16">
        <f t="shared" si="6"/>
        <v>2.3842531221656316</v>
      </c>
      <c r="S53" s="16">
        <f t="shared" si="6"/>
        <v>17.369043466127096</v>
      </c>
      <c r="T53" s="13"/>
      <c r="U53" s="51"/>
      <c r="V53" s="9"/>
      <c r="W53" s="9"/>
    </row>
    <row r="54" spans="1:23" ht="21.75" hidden="1" customHeight="1" x14ac:dyDescent="0.2">
      <c r="A54" s="94"/>
      <c r="B54" s="95"/>
      <c r="C54" s="67"/>
      <c r="D54" s="67"/>
      <c r="E54" s="68"/>
      <c r="F54" s="68"/>
      <c r="G54" s="68"/>
      <c r="H54" s="68"/>
      <c r="I54" s="68"/>
      <c r="J54" s="68"/>
      <c r="K54" s="68"/>
      <c r="L54" s="68"/>
      <c r="M54" s="68"/>
      <c r="N54" s="68"/>
      <c r="O54" s="68"/>
      <c r="P54" s="68"/>
      <c r="Q54" s="68"/>
      <c r="R54" s="68"/>
      <c r="S54" s="68"/>
      <c r="T54" s="76"/>
      <c r="U54" s="69"/>
      <c r="V54" s="9"/>
      <c r="W54" s="9"/>
    </row>
    <row r="55" spans="1:23" ht="21.75" customHeight="1" x14ac:dyDescent="0.25">
      <c r="B55" s="7"/>
      <c r="C55" s="70" t="s">
        <v>31</v>
      </c>
      <c r="D55" s="830" t="s">
        <v>477</v>
      </c>
      <c r="E55" s="68"/>
      <c r="F55" s="68"/>
      <c r="G55" s="68"/>
      <c r="H55" s="100" t="s">
        <v>94</v>
      </c>
      <c r="I55" s="68"/>
      <c r="J55" s="68"/>
      <c r="K55" s="68"/>
      <c r="L55" s="68"/>
      <c r="M55" s="68"/>
      <c r="N55" s="100" t="s">
        <v>94</v>
      </c>
      <c r="O55" s="68"/>
      <c r="P55" s="68"/>
      <c r="Q55" s="68"/>
      <c r="R55" s="68"/>
      <c r="S55" s="68"/>
      <c r="T55" s="76"/>
      <c r="U55" s="71"/>
      <c r="V55" s="9"/>
      <c r="W55" s="9"/>
    </row>
    <row r="56" spans="1:23" ht="21.75" customHeight="1" x14ac:dyDescent="0.25">
      <c r="B56" s="7"/>
      <c r="C56" s="70" t="s">
        <v>3</v>
      </c>
      <c r="D56" s="79">
        <f>Kontrollpanel!$G$31*$L7*D18</f>
        <v>22894.200000000004</v>
      </c>
      <c r="E56" s="79">
        <f>Kontrollpanel!$G$31*$L7*E18</f>
        <v>97681.920000000013</v>
      </c>
      <c r="F56" s="79">
        <f>Kontrollpanel!$G$31*$L7*F18</f>
        <v>326623.92000000004</v>
      </c>
      <c r="G56" s="79">
        <f>Kontrollpanel!$G$31*$L7*G18</f>
        <v>38157.000000000007</v>
      </c>
      <c r="H56" s="79">
        <f>Kontrollpanel!$G$31*$L7*H18</f>
        <v>50367.240000000005</v>
      </c>
      <c r="I56" s="79">
        <f>Kontrollpanel!$G$31*$L7*I18</f>
        <v>193837.56000000003</v>
      </c>
      <c r="J56" s="79">
        <f>Kontrollpanel!$G$31*$L7*J18</f>
        <v>718877.88000000012</v>
      </c>
      <c r="K56" s="79">
        <f>Kontrollpanel!$G$31*$L7*K18</f>
        <v>18315.36</v>
      </c>
      <c r="L56" s="79">
        <f>Kontrollpanel!$G$31*$L7*L18</f>
        <v>12210.240000000002</v>
      </c>
      <c r="M56" s="79">
        <f>Kontrollpanel!$G$31*$L7*M18</f>
        <v>264046.44000000006</v>
      </c>
      <c r="N56" s="79">
        <f>Kontrollpanel!$G$31*$L7*N18</f>
        <v>54946.080000000009</v>
      </c>
      <c r="O56" s="79">
        <f>Kontrollpanel!$G$31*$L7*O18</f>
        <v>219784.32000000004</v>
      </c>
      <c r="P56" s="79">
        <f>Kontrollpanel!$G$31*$L7*P18</f>
        <v>0</v>
      </c>
      <c r="Q56" s="79">
        <f>Kontrollpanel!$G$31*$L7*Q18</f>
        <v>108365.88000000002</v>
      </c>
      <c r="R56" s="79">
        <f>Kontrollpanel!$G$31*$L7*R18</f>
        <v>39683.280000000006</v>
      </c>
      <c r="S56" s="79">
        <f>Kontrollpanel!$G$31*$L7*S18</f>
        <v>1094342.7600000002</v>
      </c>
      <c r="T56" s="78"/>
      <c r="U56" s="71"/>
      <c r="V56" s="9"/>
      <c r="W56" s="9"/>
    </row>
    <row r="57" spans="1:23" ht="21.75" customHeight="1" x14ac:dyDescent="0.25">
      <c r="B57" s="7"/>
      <c r="C57" s="70" t="s">
        <v>4</v>
      </c>
      <c r="D57" s="79">
        <f>Kontrollpanel!$G$31*$L8*D19</f>
        <v>0</v>
      </c>
      <c r="E57" s="79">
        <f>Kontrollpanel!$G$31*$L8*E19</f>
        <v>0</v>
      </c>
      <c r="F57" s="79">
        <f>Kontrollpanel!$G$31*$L8*F19</f>
        <v>0</v>
      </c>
      <c r="G57" s="79">
        <f>Kontrollpanel!$G$31*$L8*G19</f>
        <v>0</v>
      </c>
      <c r="H57" s="79">
        <f>Kontrollpanel!$G$31*$L8*H19</f>
        <v>0</v>
      </c>
      <c r="I57" s="79">
        <f>Kontrollpanel!$G$31*$L8*I19</f>
        <v>0</v>
      </c>
      <c r="J57" s="79">
        <f>Kontrollpanel!$G$31*$L8*J19</f>
        <v>0</v>
      </c>
      <c r="K57" s="79">
        <f>Kontrollpanel!$G$31*$L8*K19</f>
        <v>0</v>
      </c>
      <c r="L57" s="79">
        <f>Kontrollpanel!$G$31*$L8*L19</f>
        <v>0</v>
      </c>
      <c r="M57" s="79">
        <f>Kontrollpanel!$G$31*$L8*M19</f>
        <v>0</v>
      </c>
      <c r="N57" s="79">
        <f>Kontrollpanel!$G$31*$L8*N19</f>
        <v>0</v>
      </c>
      <c r="O57" s="79">
        <f>Kontrollpanel!$G$31*$L8*O19</f>
        <v>0</v>
      </c>
      <c r="P57" s="79">
        <f>Kontrollpanel!$G$31*$L8*P19</f>
        <v>0</v>
      </c>
      <c r="Q57" s="79">
        <f>Kontrollpanel!$G$31*$L8*Q19</f>
        <v>0</v>
      </c>
      <c r="R57" s="79">
        <f>Kontrollpanel!$G$31*$L8*R19</f>
        <v>0</v>
      </c>
      <c r="S57" s="79">
        <f>Kontrollpanel!$G$31*$L8*S19</f>
        <v>0</v>
      </c>
      <c r="T57" s="71"/>
      <c r="U57" s="71"/>
      <c r="V57" s="9"/>
      <c r="W57" s="9"/>
    </row>
    <row r="58" spans="1:23" ht="21.75" customHeight="1" x14ac:dyDescent="0.25">
      <c r="B58" s="7"/>
      <c r="C58" s="70" t="s">
        <v>5</v>
      </c>
      <c r="D58" s="79">
        <f>Kontrollpanel!$G$31*$L9*D20</f>
        <v>16023.420000000002</v>
      </c>
      <c r="E58" s="79">
        <f>Kontrollpanel!$G$31*$L9*E20</f>
        <v>22749.300000000003</v>
      </c>
      <c r="F58" s="79">
        <f>Kontrollpanel!$G$31*$L9*F20</f>
        <v>54598.320000000007</v>
      </c>
      <c r="G58" s="79">
        <f>Kontrollpanel!$G$31*$L9*G20</f>
        <v>16221.240000000002</v>
      </c>
      <c r="H58" s="79">
        <f>Kontrollpanel!$G$31*$L9*H20</f>
        <v>11077.920000000002</v>
      </c>
      <c r="I58" s="79">
        <f>Kontrollpanel!$G$31*$L9*I20</f>
        <v>35805.420000000006</v>
      </c>
      <c r="J58" s="79">
        <f>Kontrollpanel!$G$31*$L9*J20</f>
        <v>76358.52</v>
      </c>
      <c r="K58" s="79">
        <f>Kontrollpanel!$G$31*$L9*K20</f>
        <v>6923.7000000000007</v>
      </c>
      <c r="L58" s="79">
        <f>Kontrollpanel!$G$31*$L9*L20</f>
        <v>9693.18</v>
      </c>
      <c r="M58" s="79">
        <f>Kontrollpanel!$G$31*$L9*M20</f>
        <v>39168.360000000008</v>
      </c>
      <c r="N58" s="79">
        <f>Kontrollpanel!$G$31*$L9*N20</f>
        <v>12462.660000000002</v>
      </c>
      <c r="O58" s="79">
        <f>Kontrollpanel!$G$31*$L9*O20</f>
        <v>41542.200000000004</v>
      </c>
      <c r="P58" s="79">
        <f>Kontrollpanel!$G$31*$L9*P20</f>
        <v>3165.1200000000003</v>
      </c>
      <c r="Q58" s="79">
        <f>Kontrollpanel!$G$31*$L9*Q20</f>
        <v>26507.880000000005</v>
      </c>
      <c r="R58" s="79">
        <f>Kontrollpanel!$G$31*$L9*R20</f>
        <v>12660.480000000001</v>
      </c>
      <c r="S58" s="79">
        <f>Kontrollpanel!$G$31*$L9*S20</f>
        <v>261913.68000000002</v>
      </c>
      <c r="T58" s="78"/>
      <c r="U58" s="71"/>
      <c r="V58" s="9"/>
      <c r="W58" s="9"/>
    </row>
    <row r="59" spans="1:23" ht="15.75" x14ac:dyDescent="0.25">
      <c r="B59" s="7"/>
      <c r="C59" s="70" t="s">
        <v>6</v>
      </c>
      <c r="D59" s="79">
        <f>Kontrollpanel!$G$31*$L10*D21</f>
        <v>31911.040000000001</v>
      </c>
      <c r="E59" s="79">
        <f>Kontrollpanel!$G$31*$L10*E21</f>
        <v>57252.160000000003</v>
      </c>
      <c r="F59" s="79">
        <f>Kontrollpanel!$G$31*$L10*F21</f>
        <v>129521.28000000001</v>
      </c>
      <c r="G59" s="79">
        <f>Kontrollpanel!$G$31*$L10*G21</f>
        <v>39419.520000000004</v>
      </c>
      <c r="H59" s="79">
        <f>Kontrollpanel!$G$31*$L10*H21</f>
        <v>36603.840000000004</v>
      </c>
      <c r="I59" s="79">
        <f>Kontrollpanel!$G$31*$L10*I21</f>
        <v>79777.600000000006</v>
      </c>
      <c r="J59" s="79">
        <f>Kontrollpanel!$G$31*$L10*J21</f>
        <v>147353.92000000001</v>
      </c>
      <c r="K59" s="79">
        <f>Kontrollpanel!$G$31*$L10*K21</f>
        <v>39419.520000000004</v>
      </c>
      <c r="L59" s="79">
        <f>Kontrollpanel!$G$31*$L10*L21</f>
        <v>24402.560000000001</v>
      </c>
      <c r="M59" s="79">
        <f>Kontrollpanel!$G$31*$L10*M21</f>
        <v>76961.919999999998</v>
      </c>
      <c r="N59" s="79">
        <f>Kontrollpanel!$G$31*$L10*N21</f>
        <v>28156.800000000003</v>
      </c>
      <c r="O59" s="79">
        <f>Kontrollpanel!$G$31*$L10*O21</f>
        <v>113565.76000000001</v>
      </c>
      <c r="P59" s="79">
        <f>Kontrollpanel!$G$31*$L10*P21</f>
        <v>7508.4800000000005</v>
      </c>
      <c r="Q59" s="79">
        <f>Kontrollpanel!$G$31*$L10*Q21</f>
        <v>61944.960000000006</v>
      </c>
      <c r="R59" s="79">
        <f>Kontrollpanel!$G$31*$L10*R21</f>
        <v>44112.32</v>
      </c>
      <c r="S59" s="79">
        <f>Kontrollpanel!$G$31*$L10*S21</f>
        <v>645729.28000000003</v>
      </c>
      <c r="T59" s="78"/>
      <c r="U59" s="71"/>
      <c r="V59" s="9"/>
      <c r="W59" s="9"/>
    </row>
    <row r="60" spans="1:23" ht="16.5" thickBot="1" x14ac:dyDescent="0.3">
      <c r="B60" s="7"/>
      <c r="C60" s="72" t="s">
        <v>7</v>
      </c>
      <c r="D60" s="79">
        <f>Kontrollpanel!$G$31*$L11*D22</f>
        <v>74193</v>
      </c>
      <c r="E60" s="79">
        <f>Kontrollpanel!$G$31*$L11*E22</f>
        <v>100902.48000000001</v>
      </c>
      <c r="F60" s="79">
        <f>Kontrollpanel!$G$31*$L11*F22</f>
        <v>169160.04</v>
      </c>
      <c r="G60" s="79">
        <f>Kontrollpanel!$G$31*$L11*G22</f>
        <v>100902.48000000001</v>
      </c>
      <c r="H60" s="79">
        <f>Kontrollpanel!$G$31*$L11*H22</f>
        <v>50451.240000000005</v>
      </c>
      <c r="I60" s="79">
        <f>Kontrollpanel!$G$31*$L11*I22</f>
        <v>133547.40000000002</v>
      </c>
      <c r="J60" s="79">
        <f>Kontrollpanel!$G$31*$L11*J22</f>
        <v>192901.80000000002</v>
      </c>
      <c r="K60" s="79">
        <f>Kontrollpanel!$G$31*$L11*K22</f>
        <v>59354.400000000009</v>
      </c>
      <c r="L60" s="79">
        <f>Kontrollpanel!$G$31*$L11*L22</f>
        <v>29677.200000000004</v>
      </c>
      <c r="M60" s="79">
        <f>Kontrollpanel!$G$31*$L11*M22</f>
        <v>74193</v>
      </c>
      <c r="N60" s="79">
        <f>Kontrollpanel!$G$31*$L11*N22</f>
        <v>26709.480000000003</v>
      </c>
      <c r="O60" s="79">
        <f>Kontrollpanel!$G$31*$L11*O22</f>
        <v>154321.44</v>
      </c>
      <c r="P60" s="79">
        <f>Kontrollpanel!$G$31*$L11*P22</f>
        <v>32644.920000000002</v>
      </c>
      <c r="Q60" s="79">
        <f>Kontrollpanel!$G$31*$L11*Q22</f>
        <v>83096.160000000003</v>
      </c>
      <c r="R60" s="79">
        <f>Kontrollpanel!$G$31*$L11*R22</f>
        <v>41548.080000000002</v>
      </c>
      <c r="S60" s="79">
        <f>Kontrollpanel!$G$31*$L11*S22</f>
        <v>958573.56</v>
      </c>
      <c r="T60" s="80"/>
      <c r="U60" s="73"/>
      <c r="V60" s="9"/>
      <c r="W60" s="9"/>
    </row>
    <row r="61" spans="1:23" ht="17.25" customHeight="1" x14ac:dyDescent="0.25">
      <c r="B61" s="64"/>
      <c r="C61" s="9"/>
      <c r="D61" s="53"/>
      <c r="E61" s="53"/>
      <c r="F61" s="53"/>
      <c r="G61" s="53"/>
      <c r="H61" s="53"/>
      <c r="I61" s="53"/>
      <c r="J61" s="53"/>
      <c r="K61" s="53"/>
      <c r="L61" s="53"/>
      <c r="M61" s="53"/>
      <c r="N61" s="53"/>
      <c r="O61" s="53"/>
      <c r="P61" s="53"/>
      <c r="Q61" s="53"/>
      <c r="R61" s="53"/>
      <c r="S61" s="53"/>
      <c r="T61" s="53"/>
      <c r="U61" s="9"/>
      <c r="V61" s="9"/>
      <c r="W61" s="9"/>
    </row>
    <row r="62" spans="1:23" ht="16.5" thickBot="1" x14ac:dyDescent="0.3">
      <c r="B62" s="64"/>
      <c r="C62" s="9"/>
      <c r="D62" s="53" t="s">
        <v>8</v>
      </c>
      <c r="E62" s="53" t="s">
        <v>9</v>
      </c>
      <c r="F62" s="53" t="s">
        <v>10</v>
      </c>
      <c r="G62" s="53" t="s">
        <v>11</v>
      </c>
      <c r="H62" s="53" t="s">
        <v>12</v>
      </c>
      <c r="I62" s="53" t="s">
        <v>13</v>
      </c>
      <c r="J62" s="53" t="s">
        <v>14</v>
      </c>
      <c r="K62" s="53" t="s">
        <v>15</v>
      </c>
      <c r="L62" s="53" t="s">
        <v>16</v>
      </c>
      <c r="M62" s="53" t="s">
        <v>17</v>
      </c>
      <c r="N62" s="53" t="s">
        <v>18</v>
      </c>
      <c r="O62" s="53" t="s">
        <v>19</v>
      </c>
      <c r="P62" s="53" t="s">
        <v>20</v>
      </c>
      <c r="Q62" s="53" t="s">
        <v>21</v>
      </c>
      <c r="R62" s="53" t="s">
        <v>22</v>
      </c>
      <c r="S62" s="53" t="s">
        <v>23</v>
      </c>
      <c r="T62" s="53"/>
      <c r="U62" s="53" t="s">
        <v>24</v>
      </c>
      <c r="V62" s="9"/>
      <c r="W62" s="9"/>
    </row>
    <row r="63" spans="1:23" ht="15.75" x14ac:dyDescent="0.25">
      <c r="B63" s="7"/>
      <c r="C63" s="89" t="s">
        <v>33</v>
      </c>
      <c r="D63" s="85">
        <f t="shared" ref="D63:S63" si="7">SUM(D56:D60)</f>
        <v>145021.66</v>
      </c>
      <c r="E63" s="85">
        <f t="shared" si="7"/>
        <v>278585.86</v>
      </c>
      <c r="F63" s="85">
        <f t="shared" si="7"/>
        <v>679903.56</v>
      </c>
      <c r="G63" s="85">
        <f t="shared" si="7"/>
        <v>194700.24000000002</v>
      </c>
      <c r="H63" s="85">
        <f t="shared" si="7"/>
        <v>148500.24</v>
      </c>
      <c r="I63" s="85">
        <f t="shared" si="7"/>
        <v>442967.9800000001</v>
      </c>
      <c r="J63" s="85">
        <f t="shared" si="7"/>
        <v>1135492.1200000001</v>
      </c>
      <c r="K63" s="85">
        <f t="shared" si="7"/>
        <v>124012.98000000001</v>
      </c>
      <c r="L63" s="85">
        <f t="shared" si="7"/>
        <v>75983.180000000008</v>
      </c>
      <c r="M63" s="85">
        <f t="shared" si="7"/>
        <v>454369.72000000003</v>
      </c>
      <c r="N63" s="85">
        <f t="shared" si="7"/>
        <v>122275.02000000002</v>
      </c>
      <c r="O63" s="85">
        <f t="shared" si="7"/>
        <v>529213.72</v>
      </c>
      <c r="P63" s="85">
        <f t="shared" si="7"/>
        <v>43318.520000000004</v>
      </c>
      <c r="Q63" s="85">
        <f t="shared" si="7"/>
        <v>279914.88</v>
      </c>
      <c r="R63" s="85">
        <f t="shared" si="7"/>
        <v>138004.16000000003</v>
      </c>
      <c r="S63" s="85">
        <f t="shared" si="7"/>
        <v>2960559.2800000003</v>
      </c>
      <c r="T63" s="86"/>
      <c r="U63" s="89"/>
      <c r="V63" s="9"/>
      <c r="W63" s="9"/>
    </row>
    <row r="64" spans="1:23" x14ac:dyDescent="0.2">
      <c r="B64" s="7"/>
      <c r="C64" s="90"/>
      <c r="D64" s="82"/>
      <c r="E64" s="82"/>
      <c r="F64" s="82"/>
      <c r="G64" s="82"/>
      <c r="H64" s="82"/>
      <c r="I64" s="82"/>
      <c r="J64" s="82"/>
      <c r="K64" s="82"/>
      <c r="L64" s="82"/>
      <c r="M64" s="82"/>
      <c r="N64" s="82"/>
      <c r="O64" s="82"/>
      <c r="P64" s="82"/>
      <c r="Q64" s="82"/>
      <c r="R64" s="82"/>
      <c r="S64" s="82"/>
      <c r="T64" s="82"/>
      <c r="U64" s="90"/>
      <c r="V64" s="9"/>
      <c r="W64" s="9"/>
    </row>
    <row r="65" spans="2:23" x14ac:dyDescent="0.2">
      <c r="B65" s="7"/>
      <c r="C65" s="90"/>
      <c r="D65" s="82"/>
      <c r="E65" s="82"/>
      <c r="F65" s="82"/>
      <c r="G65" s="82"/>
      <c r="H65" s="82"/>
      <c r="I65" s="82"/>
      <c r="J65" s="82"/>
      <c r="K65" s="82"/>
      <c r="L65" s="82"/>
      <c r="M65" s="82"/>
      <c r="N65" s="82"/>
      <c r="O65" s="82"/>
      <c r="P65" s="82"/>
      <c r="Q65" s="82"/>
      <c r="R65" s="82"/>
      <c r="S65" s="82"/>
      <c r="T65" s="82"/>
      <c r="U65" s="90"/>
      <c r="V65" s="9"/>
      <c r="W65" s="9"/>
    </row>
    <row r="66" spans="2:23" x14ac:dyDescent="0.2">
      <c r="B66" s="7"/>
      <c r="C66" s="90"/>
      <c r="D66" s="82"/>
      <c r="E66" s="82"/>
      <c r="F66" s="82"/>
      <c r="G66" s="82"/>
      <c r="H66" s="82"/>
      <c r="I66" s="82"/>
      <c r="J66" s="82"/>
      <c r="K66" s="82"/>
      <c r="L66" s="82"/>
      <c r="M66" s="82"/>
      <c r="N66" s="82"/>
      <c r="O66" s="82"/>
      <c r="P66" s="82"/>
      <c r="Q66" s="82"/>
      <c r="R66" s="82"/>
      <c r="S66" s="82"/>
      <c r="T66" s="82"/>
      <c r="U66" s="90"/>
      <c r="V66" s="9"/>
      <c r="W66" s="9"/>
    </row>
    <row r="67" spans="2:23" ht="15.75" x14ac:dyDescent="0.25">
      <c r="B67" s="7"/>
      <c r="C67" s="74" t="s">
        <v>34</v>
      </c>
      <c r="D67" s="81">
        <f t="shared" ref="D67:S67" si="8">SUM(D63:D66)</f>
        <v>145021.66</v>
      </c>
      <c r="E67" s="81">
        <f t="shared" si="8"/>
        <v>278585.86</v>
      </c>
      <c r="F67" s="81">
        <f t="shared" si="8"/>
        <v>679903.56</v>
      </c>
      <c r="G67" s="81">
        <f t="shared" si="8"/>
        <v>194700.24000000002</v>
      </c>
      <c r="H67" s="81">
        <f t="shared" si="8"/>
        <v>148500.24</v>
      </c>
      <c r="I67" s="81">
        <f t="shared" si="8"/>
        <v>442967.9800000001</v>
      </c>
      <c r="J67" s="81">
        <f t="shared" si="8"/>
        <v>1135492.1200000001</v>
      </c>
      <c r="K67" s="81">
        <f t="shared" si="8"/>
        <v>124012.98000000001</v>
      </c>
      <c r="L67" s="81">
        <f t="shared" si="8"/>
        <v>75983.180000000008</v>
      </c>
      <c r="M67" s="81">
        <f t="shared" si="8"/>
        <v>454369.72000000003</v>
      </c>
      <c r="N67" s="81">
        <f t="shared" si="8"/>
        <v>122275.02000000002</v>
      </c>
      <c r="O67" s="81">
        <f t="shared" si="8"/>
        <v>529213.72</v>
      </c>
      <c r="P67" s="81">
        <f t="shared" si="8"/>
        <v>43318.520000000004</v>
      </c>
      <c r="Q67" s="81">
        <f t="shared" si="8"/>
        <v>279914.88</v>
      </c>
      <c r="R67" s="81">
        <f t="shared" si="8"/>
        <v>138004.16000000003</v>
      </c>
      <c r="S67" s="81">
        <f t="shared" si="8"/>
        <v>2960559.2800000003</v>
      </c>
      <c r="T67" s="81"/>
      <c r="U67" s="92">
        <f>SUM(D67:S67)</f>
        <v>7752823.1200000001</v>
      </c>
      <c r="V67" s="9"/>
      <c r="W67" s="9"/>
    </row>
    <row r="68" spans="2:23" ht="15.75" x14ac:dyDescent="0.25">
      <c r="B68" s="7"/>
      <c r="C68" s="74" t="s">
        <v>35</v>
      </c>
      <c r="D68" s="81">
        <f t="shared" ref="D68:S68" si="9">D67/D27</f>
        <v>305.30875789473686</v>
      </c>
      <c r="E68" s="81">
        <f t="shared" si="9"/>
        <v>294.17725448785637</v>
      </c>
      <c r="F68" s="81">
        <f t="shared" si="9"/>
        <v>269.803</v>
      </c>
      <c r="G68" s="81">
        <f t="shared" si="9"/>
        <v>340.385034965035</v>
      </c>
      <c r="H68" s="81">
        <f t="shared" si="9"/>
        <v>297.00047999999998</v>
      </c>
      <c r="I68" s="81">
        <f t="shared" si="9"/>
        <v>287.64154545454551</v>
      </c>
      <c r="J68" s="81">
        <f t="shared" si="9"/>
        <v>256.66639240506333</v>
      </c>
      <c r="K68" s="81">
        <f t="shared" si="9"/>
        <v>375.79690909090914</v>
      </c>
      <c r="L68" s="81">
        <f t="shared" si="9"/>
        <v>302.72183266932274</v>
      </c>
      <c r="M68" s="81">
        <f t="shared" si="9"/>
        <v>235.91366562824507</v>
      </c>
      <c r="N68" s="81">
        <f t="shared" si="9"/>
        <v>296.06542372881358</v>
      </c>
      <c r="O68" s="81">
        <f t="shared" si="9"/>
        <v>291.89945945945942</v>
      </c>
      <c r="P68" s="81">
        <f t="shared" si="9"/>
        <v>433.18520000000007</v>
      </c>
      <c r="Q68" s="81">
        <f t="shared" si="9"/>
        <v>272.02612244897961</v>
      </c>
      <c r="R68" s="81">
        <f t="shared" si="9"/>
        <v>318.71630484988458</v>
      </c>
      <c r="S68" s="81">
        <f t="shared" si="9"/>
        <v>259.85774422891251</v>
      </c>
      <c r="T68" s="81"/>
      <c r="U68" s="92">
        <f>U67/T27</f>
        <v>270.45360775831995</v>
      </c>
      <c r="V68" s="9"/>
      <c r="W68" s="9"/>
    </row>
    <row r="69" spans="2:23" x14ac:dyDescent="0.2">
      <c r="B69" s="7"/>
      <c r="C69" s="90"/>
      <c r="D69" s="83"/>
      <c r="E69" s="83"/>
      <c r="F69" s="83"/>
      <c r="G69" s="83"/>
      <c r="H69" s="83"/>
      <c r="I69" s="83"/>
      <c r="J69" s="83"/>
      <c r="K69" s="83"/>
      <c r="L69" s="83"/>
      <c r="M69" s="83"/>
      <c r="N69" s="83"/>
      <c r="O69" s="83"/>
      <c r="P69" s="83"/>
      <c r="Q69" s="83"/>
      <c r="R69" s="83"/>
      <c r="S69" s="83"/>
      <c r="T69" s="83"/>
      <c r="U69" s="93"/>
      <c r="V69" s="9"/>
      <c r="W69" s="9"/>
    </row>
    <row r="70" spans="2:23" x14ac:dyDescent="0.2">
      <c r="B70" s="7"/>
      <c r="C70" s="90"/>
      <c r="D70" s="83"/>
      <c r="E70" s="83"/>
      <c r="F70" s="83"/>
      <c r="G70" s="83"/>
      <c r="H70" s="83"/>
      <c r="I70" s="83"/>
      <c r="J70" s="83"/>
      <c r="K70" s="83"/>
      <c r="L70" s="83"/>
      <c r="M70" s="83"/>
      <c r="N70" s="83"/>
      <c r="O70" s="83"/>
      <c r="P70" s="83"/>
      <c r="Q70" s="83"/>
      <c r="R70" s="83"/>
      <c r="S70" s="83"/>
      <c r="T70" s="83"/>
      <c r="U70" s="93"/>
      <c r="V70" s="9"/>
      <c r="W70" s="9"/>
    </row>
    <row r="71" spans="2:23" x14ac:dyDescent="0.2">
      <c r="B71" s="7"/>
      <c r="C71" s="90"/>
      <c r="D71" s="83"/>
      <c r="E71" s="82"/>
      <c r="F71" s="82"/>
      <c r="G71" s="82"/>
      <c r="H71" s="82"/>
      <c r="I71" s="82"/>
      <c r="J71" s="82"/>
      <c r="K71" s="82"/>
      <c r="L71" s="82"/>
      <c r="M71" s="82"/>
      <c r="N71" s="82"/>
      <c r="O71" s="82"/>
      <c r="P71" s="82"/>
      <c r="Q71" s="82"/>
      <c r="R71" s="82"/>
      <c r="S71" s="82"/>
      <c r="T71" s="82"/>
      <c r="U71" s="90"/>
      <c r="V71" s="9"/>
      <c r="W71" s="9"/>
    </row>
    <row r="72" spans="2:23" hidden="1" x14ac:dyDescent="0.2">
      <c r="B72" s="7">
        <v>2012</v>
      </c>
      <c r="C72" s="90" t="s">
        <v>2</v>
      </c>
      <c r="D72" s="82"/>
      <c r="E72" s="82"/>
      <c r="F72" s="82"/>
      <c r="G72" s="82"/>
      <c r="H72" s="82"/>
      <c r="I72" s="82"/>
      <c r="J72" s="82"/>
      <c r="K72" s="82"/>
      <c r="L72" s="82"/>
      <c r="M72" s="82"/>
      <c r="N72" s="82"/>
      <c r="O72" s="82"/>
      <c r="P72" s="82"/>
      <c r="Q72" s="82"/>
      <c r="R72" s="82"/>
      <c r="S72" s="82"/>
      <c r="T72" s="82" t="s">
        <v>24</v>
      </c>
      <c r="U72" s="90"/>
      <c r="V72" s="18"/>
    </row>
    <row r="73" spans="2:23" hidden="1" x14ac:dyDescent="0.2">
      <c r="B73" s="7"/>
      <c r="C73" s="90" t="s">
        <v>3</v>
      </c>
      <c r="D73" s="82"/>
      <c r="E73" s="82"/>
      <c r="F73" s="82"/>
      <c r="G73" s="82"/>
      <c r="H73" s="82"/>
      <c r="I73" s="82"/>
      <c r="J73" s="82"/>
      <c r="K73" s="82"/>
      <c r="L73" s="82"/>
      <c r="M73" s="82"/>
      <c r="N73" s="82"/>
      <c r="O73" s="82"/>
      <c r="P73" s="82"/>
      <c r="Q73" s="82"/>
      <c r="R73" s="82"/>
      <c r="S73" s="82"/>
      <c r="T73" s="82">
        <v>2166</v>
      </c>
      <c r="U73" s="90"/>
      <c r="V73" s="18"/>
    </row>
    <row r="74" spans="2:23" hidden="1" x14ac:dyDescent="0.2">
      <c r="B74" s="7"/>
      <c r="C74" s="90" t="s">
        <v>4</v>
      </c>
      <c r="D74" s="82"/>
      <c r="E74" s="82"/>
      <c r="F74" s="82"/>
      <c r="G74" s="82"/>
      <c r="H74" s="82"/>
      <c r="I74" s="82"/>
      <c r="J74" s="82"/>
      <c r="K74" s="82"/>
      <c r="L74" s="82"/>
      <c r="M74" s="82"/>
      <c r="N74" s="82"/>
      <c r="O74" s="82"/>
      <c r="P74" s="82"/>
      <c r="Q74" s="82"/>
      <c r="R74" s="82"/>
      <c r="S74" s="82"/>
      <c r="T74" s="82">
        <v>20809</v>
      </c>
      <c r="U74" s="90"/>
      <c r="V74" s="18"/>
    </row>
    <row r="75" spans="2:23" hidden="1" x14ac:dyDescent="0.2">
      <c r="B75" s="7"/>
      <c r="C75" s="90" t="s">
        <v>5</v>
      </c>
      <c r="D75" s="82"/>
      <c r="E75" s="82"/>
      <c r="F75" s="82"/>
      <c r="G75" s="82"/>
      <c r="H75" s="82"/>
      <c r="I75" s="82"/>
      <c r="J75" s="82"/>
      <c r="K75" s="82"/>
      <c r="L75" s="82"/>
      <c r="M75" s="82"/>
      <c r="N75" s="82"/>
      <c r="O75" s="82"/>
      <c r="P75" s="82"/>
      <c r="Q75" s="82"/>
      <c r="R75" s="82"/>
      <c r="S75" s="82"/>
      <c r="T75" s="82">
        <v>3125</v>
      </c>
      <c r="U75" s="90"/>
      <c r="V75" s="18"/>
    </row>
    <row r="76" spans="2:23" hidden="1" x14ac:dyDescent="0.2">
      <c r="B76" s="7"/>
      <c r="C76" s="90" t="s">
        <v>6</v>
      </c>
      <c r="D76" s="82"/>
      <c r="E76" s="82"/>
      <c r="F76" s="82"/>
      <c r="G76" s="82"/>
      <c r="H76" s="82"/>
      <c r="I76" s="82"/>
      <c r="J76" s="82"/>
      <c r="K76" s="82"/>
      <c r="L76" s="82"/>
      <c r="M76" s="82"/>
      <c r="N76" s="82"/>
      <c r="O76" s="82"/>
      <c r="P76" s="82"/>
      <c r="Q76" s="82"/>
      <c r="R76" s="82"/>
      <c r="S76" s="82"/>
      <c r="T76" s="82">
        <v>1633</v>
      </c>
      <c r="U76" s="90"/>
      <c r="V76" s="18"/>
    </row>
    <row r="77" spans="2:23" hidden="1" x14ac:dyDescent="0.2">
      <c r="B77" s="7"/>
      <c r="C77" s="90" t="s">
        <v>7</v>
      </c>
      <c r="D77" s="82"/>
      <c r="E77" s="82"/>
      <c r="F77" s="82"/>
      <c r="G77" s="82"/>
      <c r="H77" s="82"/>
      <c r="I77" s="82"/>
      <c r="J77" s="82"/>
      <c r="K77" s="82"/>
      <c r="L77" s="82"/>
      <c r="M77" s="82"/>
      <c r="N77" s="82"/>
      <c r="O77" s="82"/>
      <c r="P77" s="82"/>
      <c r="Q77" s="82"/>
      <c r="R77" s="82"/>
      <c r="S77" s="82"/>
      <c r="T77" s="82">
        <v>769</v>
      </c>
      <c r="U77" s="90"/>
      <c r="V77" s="18"/>
    </row>
    <row r="78" spans="2:23" hidden="1" x14ac:dyDescent="0.2">
      <c r="B78" s="7"/>
      <c r="C78" s="90"/>
      <c r="D78" s="82"/>
      <c r="E78" s="82"/>
      <c r="F78" s="82"/>
      <c r="G78" s="82"/>
      <c r="H78" s="82"/>
      <c r="I78" s="82"/>
      <c r="J78" s="82"/>
      <c r="K78" s="82"/>
      <c r="L78" s="82"/>
      <c r="M78" s="82"/>
      <c r="N78" s="82"/>
      <c r="O78" s="82"/>
      <c r="P78" s="82"/>
      <c r="Q78" s="82"/>
      <c r="R78" s="82"/>
      <c r="S78" s="82"/>
      <c r="T78" s="82"/>
      <c r="U78" s="90"/>
      <c r="V78" s="18"/>
    </row>
    <row r="79" spans="2:23" hidden="1" x14ac:dyDescent="0.2">
      <c r="B79" s="7"/>
      <c r="C79" s="90" t="s">
        <v>25</v>
      </c>
      <c r="D79" s="82"/>
      <c r="E79" s="82"/>
      <c r="F79" s="82"/>
      <c r="G79" s="82"/>
      <c r="H79" s="82"/>
      <c r="I79" s="82"/>
      <c r="J79" s="82"/>
      <c r="K79" s="82"/>
      <c r="L79" s="82"/>
      <c r="M79" s="82"/>
      <c r="N79" s="82"/>
      <c r="O79" s="82"/>
      <c r="P79" s="82"/>
      <c r="Q79" s="82"/>
      <c r="R79" s="82"/>
      <c r="S79" s="82"/>
      <c r="T79" s="82">
        <v>17279</v>
      </c>
      <c r="U79" s="90"/>
      <c r="V79" s="18"/>
    </row>
    <row r="80" spans="2:23" hidden="1" x14ac:dyDescent="0.2">
      <c r="B80" s="7"/>
      <c r="C80" s="90" t="s">
        <v>26</v>
      </c>
      <c r="D80" s="82"/>
      <c r="E80" s="82"/>
      <c r="F80" s="82"/>
      <c r="G80" s="82"/>
      <c r="H80" s="82"/>
      <c r="I80" s="82"/>
      <c r="J80" s="82"/>
      <c r="K80" s="82"/>
      <c r="L80" s="82"/>
      <c r="M80" s="82"/>
      <c r="N80" s="82"/>
      <c r="O80" s="82"/>
      <c r="P80" s="82"/>
      <c r="Q80" s="82"/>
      <c r="R80" s="82"/>
      <c r="S80" s="82"/>
      <c r="T80" s="82">
        <v>16634</v>
      </c>
      <c r="U80" s="90"/>
      <c r="V80" s="18"/>
    </row>
    <row r="81" spans="2:22" hidden="1" x14ac:dyDescent="0.2">
      <c r="B81" s="7"/>
      <c r="C81" s="90"/>
      <c r="D81" s="82"/>
      <c r="E81" s="82"/>
      <c r="F81" s="82"/>
      <c r="G81" s="82"/>
      <c r="H81" s="82"/>
      <c r="I81" s="82"/>
      <c r="J81" s="82"/>
      <c r="K81" s="82"/>
      <c r="L81" s="82"/>
      <c r="M81" s="82"/>
      <c r="N81" s="82"/>
      <c r="O81" s="82"/>
      <c r="P81" s="82"/>
      <c r="Q81" s="82"/>
      <c r="R81" s="82"/>
      <c r="S81" s="82"/>
      <c r="T81" s="82"/>
      <c r="U81" s="90"/>
      <c r="V81" s="18"/>
    </row>
    <row r="82" spans="2:22" hidden="1" x14ac:dyDescent="0.2">
      <c r="B82" s="7"/>
      <c r="C82" s="90" t="s">
        <v>27</v>
      </c>
      <c r="D82" s="82"/>
      <c r="E82" s="82"/>
      <c r="F82" s="82"/>
      <c r="G82" s="82"/>
      <c r="H82" s="82"/>
      <c r="I82" s="82"/>
      <c r="J82" s="82"/>
      <c r="K82" s="82"/>
      <c r="L82" s="82"/>
      <c r="M82" s="82"/>
      <c r="N82" s="82"/>
      <c r="O82" s="82"/>
      <c r="P82" s="82"/>
      <c r="Q82" s="82"/>
      <c r="R82" s="82"/>
      <c r="S82" s="82"/>
      <c r="T82" s="82">
        <f>SUM(D73:S77)</f>
        <v>0</v>
      </c>
      <c r="U82" s="90"/>
      <c r="V82" s="19"/>
    </row>
    <row r="83" spans="2:22" hidden="1" x14ac:dyDescent="0.2">
      <c r="B83" s="7"/>
      <c r="C83" s="90"/>
      <c r="D83" s="82"/>
      <c r="E83" s="82"/>
      <c r="F83" s="82"/>
      <c r="G83" s="82"/>
      <c r="H83" s="82"/>
      <c r="I83" s="82"/>
      <c r="J83" s="82"/>
      <c r="K83" s="82"/>
      <c r="L83" s="82"/>
      <c r="M83" s="82"/>
      <c r="N83" s="82"/>
      <c r="O83" s="82"/>
      <c r="P83" s="82"/>
      <c r="Q83" s="82"/>
      <c r="R83" s="82"/>
      <c r="S83" s="82"/>
      <c r="T83" s="82"/>
      <c r="U83" s="90"/>
      <c r="V83" s="11"/>
    </row>
    <row r="84" spans="2:22" hidden="1" x14ac:dyDescent="0.2">
      <c r="B84" s="7"/>
      <c r="C84" s="90" t="s">
        <v>28</v>
      </c>
      <c r="D84" s="82"/>
      <c r="E84" s="82"/>
      <c r="F84" s="82"/>
      <c r="G84" s="82"/>
      <c r="H84" s="82"/>
      <c r="I84" s="82"/>
      <c r="J84" s="82"/>
      <c r="K84" s="82"/>
      <c r="L84" s="82"/>
      <c r="M84" s="82"/>
      <c r="N84" s="82"/>
      <c r="O84" s="82"/>
      <c r="P84" s="82"/>
      <c r="Q84" s="82"/>
      <c r="R84" s="82"/>
      <c r="S84" s="82"/>
      <c r="T84" s="82"/>
      <c r="U84" s="90"/>
      <c r="V84" s="14"/>
    </row>
    <row r="85" spans="2:22" hidden="1" x14ac:dyDescent="0.2">
      <c r="B85" s="7"/>
      <c r="C85" s="90" t="s">
        <v>3</v>
      </c>
      <c r="D85" s="82"/>
      <c r="E85" s="82"/>
      <c r="F85" s="82"/>
      <c r="G85" s="82"/>
      <c r="H85" s="82"/>
      <c r="I85" s="82"/>
      <c r="J85" s="82"/>
      <c r="K85" s="82"/>
      <c r="L85" s="82"/>
      <c r="M85" s="82"/>
      <c r="N85" s="82"/>
      <c r="O85" s="82"/>
      <c r="P85" s="82"/>
      <c r="Q85" s="82"/>
      <c r="R85" s="82"/>
      <c r="S85" s="82"/>
      <c r="T85" s="82"/>
      <c r="U85" s="90"/>
      <c r="V85" s="14"/>
    </row>
    <row r="86" spans="2:22" hidden="1" x14ac:dyDescent="0.2">
      <c r="B86" s="7"/>
      <c r="C86" s="90" t="s">
        <v>4</v>
      </c>
      <c r="D86" s="82"/>
      <c r="E86" s="82"/>
      <c r="F86" s="82"/>
      <c r="G86" s="82"/>
      <c r="H86" s="82"/>
      <c r="I86" s="82"/>
      <c r="J86" s="82"/>
      <c r="K86" s="82"/>
      <c r="L86" s="82"/>
      <c r="M86" s="82"/>
      <c r="N86" s="82"/>
      <c r="O86" s="82"/>
      <c r="P86" s="82"/>
      <c r="Q86" s="82"/>
      <c r="R86" s="82"/>
      <c r="S86" s="82"/>
      <c r="T86" s="82"/>
      <c r="U86" s="90"/>
      <c r="V86" s="14"/>
    </row>
    <row r="87" spans="2:22" hidden="1" x14ac:dyDescent="0.2">
      <c r="B87" s="7"/>
      <c r="C87" s="90" t="s">
        <v>5</v>
      </c>
      <c r="D87" s="82"/>
      <c r="E87" s="82"/>
      <c r="F87" s="82"/>
      <c r="G87" s="82"/>
      <c r="H87" s="82"/>
      <c r="I87" s="82"/>
      <c r="J87" s="82"/>
      <c r="K87" s="82"/>
      <c r="L87" s="82"/>
      <c r="M87" s="82"/>
      <c r="N87" s="82"/>
      <c r="O87" s="82"/>
      <c r="P87" s="82"/>
      <c r="Q87" s="82"/>
      <c r="R87" s="82"/>
      <c r="S87" s="82"/>
      <c r="T87" s="82"/>
      <c r="U87" s="90"/>
      <c r="V87" s="14"/>
    </row>
    <row r="88" spans="2:22" hidden="1" x14ac:dyDescent="0.2">
      <c r="B88" s="7"/>
      <c r="C88" s="90" t="s">
        <v>6</v>
      </c>
      <c r="D88" s="82"/>
      <c r="E88" s="82"/>
      <c r="F88" s="82"/>
      <c r="G88" s="82"/>
      <c r="H88" s="82"/>
      <c r="I88" s="82"/>
      <c r="J88" s="82"/>
      <c r="K88" s="82"/>
      <c r="L88" s="82"/>
      <c r="M88" s="82"/>
      <c r="N88" s="82"/>
      <c r="O88" s="82"/>
      <c r="P88" s="82"/>
      <c r="Q88" s="82"/>
      <c r="R88" s="82"/>
      <c r="S88" s="82"/>
      <c r="T88" s="82"/>
      <c r="U88" s="90"/>
      <c r="V88" s="14"/>
    </row>
    <row r="89" spans="2:22" hidden="1" x14ac:dyDescent="0.2">
      <c r="B89" s="7"/>
      <c r="C89" s="90" t="s">
        <v>7</v>
      </c>
      <c r="D89" s="82"/>
      <c r="E89" s="82"/>
      <c r="F89" s="82"/>
      <c r="G89" s="82"/>
      <c r="H89" s="82"/>
      <c r="I89" s="82"/>
      <c r="J89" s="82"/>
      <c r="K89" s="82"/>
      <c r="L89" s="82"/>
      <c r="M89" s="82"/>
      <c r="N89" s="82"/>
      <c r="O89" s="82"/>
      <c r="P89" s="82"/>
      <c r="Q89" s="82"/>
      <c r="R89" s="82"/>
      <c r="S89" s="82"/>
      <c r="T89" s="82"/>
      <c r="U89" s="90"/>
      <c r="V89" s="14"/>
    </row>
    <row r="90" spans="2:22" hidden="1" x14ac:dyDescent="0.2">
      <c r="B90" s="7"/>
      <c r="C90" s="90"/>
      <c r="D90" s="82"/>
      <c r="E90" s="82"/>
      <c r="F90" s="82"/>
      <c r="G90" s="82"/>
      <c r="H90" s="82"/>
      <c r="I90" s="82"/>
      <c r="J90" s="82"/>
      <c r="K90" s="82"/>
      <c r="L90" s="82"/>
      <c r="M90" s="82"/>
      <c r="N90" s="82"/>
      <c r="O90" s="82"/>
      <c r="P90" s="82"/>
      <c r="Q90" s="82"/>
      <c r="R90" s="82"/>
      <c r="S90" s="82"/>
      <c r="T90" s="82"/>
      <c r="U90" s="90"/>
      <c r="V90" s="14"/>
    </row>
    <row r="91" spans="2:22" hidden="1" x14ac:dyDescent="0.2">
      <c r="B91" s="7"/>
      <c r="C91" s="90" t="s">
        <v>25</v>
      </c>
      <c r="D91" s="82"/>
      <c r="E91" s="82"/>
      <c r="F91" s="82"/>
      <c r="G91" s="82"/>
      <c r="H91" s="82"/>
      <c r="I91" s="82"/>
      <c r="J91" s="82"/>
      <c r="K91" s="82"/>
      <c r="L91" s="82"/>
      <c r="M91" s="82"/>
      <c r="N91" s="82"/>
      <c r="O91" s="82"/>
      <c r="P91" s="82"/>
      <c r="Q91" s="82"/>
      <c r="R91" s="82"/>
      <c r="S91" s="82"/>
      <c r="T91" s="82"/>
      <c r="U91" s="90"/>
      <c r="V91" s="14"/>
    </row>
    <row r="92" spans="2:22" hidden="1" x14ac:dyDescent="0.2">
      <c r="B92" s="7"/>
      <c r="C92" s="90" t="s">
        <v>26</v>
      </c>
      <c r="D92" s="82"/>
      <c r="E92" s="82"/>
      <c r="F92" s="82"/>
      <c r="G92" s="82"/>
      <c r="H92" s="82"/>
      <c r="I92" s="82"/>
      <c r="J92" s="82"/>
      <c r="K92" s="82"/>
      <c r="L92" s="82"/>
      <c r="M92" s="82"/>
      <c r="N92" s="82"/>
      <c r="O92" s="82"/>
      <c r="P92" s="82"/>
      <c r="Q92" s="82"/>
      <c r="R92" s="82"/>
      <c r="S92" s="82"/>
      <c r="T92" s="82"/>
      <c r="U92" s="90"/>
      <c r="V92" s="14"/>
    </row>
    <row r="93" spans="2:22" hidden="1" x14ac:dyDescent="0.2">
      <c r="B93" s="7"/>
      <c r="C93" s="90"/>
      <c r="D93" s="82"/>
      <c r="E93" s="82"/>
      <c r="F93" s="82"/>
      <c r="G93" s="82"/>
      <c r="H93" s="82"/>
      <c r="I93" s="82"/>
      <c r="J93" s="82"/>
      <c r="K93" s="82"/>
      <c r="L93" s="82"/>
      <c r="M93" s="82"/>
      <c r="N93" s="82"/>
      <c r="O93" s="82"/>
      <c r="P93" s="82"/>
      <c r="Q93" s="82"/>
      <c r="R93" s="82"/>
      <c r="S93" s="82"/>
      <c r="T93" s="82"/>
      <c r="U93" s="90"/>
      <c r="V93" s="14"/>
    </row>
    <row r="94" spans="2:22" hidden="1" x14ac:dyDescent="0.2">
      <c r="B94" s="7"/>
      <c r="C94" s="90" t="s">
        <v>27</v>
      </c>
      <c r="D94" s="82"/>
      <c r="E94" s="82"/>
      <c r="F94" s="82"/>
      <c r="G94" s="82"/>
      <c r="H94" s="82"/>
      <c r="I94" s="82"/>
      <c r="J94" s="82"/>
      <c r="K94" s="82"/>
      <c r="L94" s="82"/>
      <c r="M94" s="82"/>
      <c r="N94" s="82"/>
      <c r="O94" s="82"/>
      <c r="P94" s="82"/>
      <c r="Q94" s="82"/>
      <c r="R94" s="82"/>
      <c r="S94" s="82"/>
      <c r="T94" s="82"/>
      <c r="U94" s="90"/>
      <c r="V94" s="14"/>
    </row>
    <row r="95" spans="2:22" hidden="1" x14ac:dyDescent="0.2">
      <c r="B95" s="7"/>
      <c r="C95" s="90"/>
      <c r="D95" s="82"/>
      <c r="E95" s="82"/>
      <c r="F95" s="82"/>
      <c r="G95" s="82"/>
      <c r="H95" s="82"/>
      <c r="I95" s="82"/>
      <c r="J95" s="82"/>
      <c r="K95" s="82"/>
      <c r="L95" s="82"/>
      <c r="M95" s="82"/>
      <c r="N95" s="82"/>
      <c r="O95" s="82"/>
      <c r="P95" s="82"/>
      <c r="Q95" s="82"/>
      <c r="R95" s="82"/>
      <c r="S95" s="82"/>
      <c r="T95" s="82"/>
      <c r="U95" s="90"/>
      <c r="V95" s="14"/>
    </row>
    <row r="96" spans="2:22" hidden="1" x14ac:dyDescent="0.2">
      <c r="B96" s="7"/>
      <c r="C96" s="90"/>
      <c r="D96" s="82"/>
      <c r="E96" s="82"/>
      <c r="F96" s="82"/>
      <c r="G96" s="82"/>
      <c r="H96" s="82"/>
      <c r="I96" s="82"/>
      <c r="J96" s="82"/>
      <c r="K96" s="82"/>
      <c r="L96" s="82"/>
      <c r="M96" s="82"/>
      <c r="N96" s="82"/>
      <c r="O96" s="82"/>
      <c r="P96" s="82"/>
      <c r="Q96" s="82"/>
      <c r="R96" s="82"/>
      <c r="S96" s="82"/>
      <c r="T96" s="82"/>
      <c r="U96" s="90"/>
      <c r="V96" s="14"/>
    </row>
    <row r="97" spans="2:22" hidden="1" x14ac:dyDescent="0.2">
      <c r="B97" s="7"/>
      <c r="C97" s="90"/>
      <c r="D97" s="82"/>
      <c r="E97" s="82"/>
      <c r="F97" s="82"/>
      <c r="G97" s="82"/>
      <c r="H97" s="82"/>
      <c r="I97" s="82"/>
      <c r="J97" s="82"/>
      <c r="K97" s="82"/>
      <c r="L97" s="82"/>
      <c r="M97" s="82"/>
      <c r="N97" s="82"/>
      <c r="O97" s="82"/>
      <c r="P97" s="82"/>
      <c r="Q97" s="82"/>
      <c r="R97" s="82"/>
      <c r="S97" s="82"/>
      <c r="T97" s="82"/>
      <c r="U97" s="90"/>
      <c r="V97" s="11"/>
    </row>
    <row r="98" spans="2:22" hidden="1" x14ac:dyDescent="0.2">
      <c r="B98" s="7"/>
      <c r="C98" s="90"/>
      <c r="D98" s="82"/>
      <c r="E98" s="82"/>
      <c r="F98" s="82"/>
      <c r="G98" s="82"/>
      <c r="H98" s="82"/>
      <c r="I98" s="82"/>
      <c r="J98" s="82"/>
      <c r="K98" s="82"/>
      <c r="L98" s="82"/>
      <c r="M98" s="82"/>
      <c r="N98" s="82"/>
      <c r="O98" s="82"/>
      <c r="P98" s="82"/>
      <c r="Q98" s="82"/>
      <c r="R98" s="82"/>
      <c r="S98" s="82"/>
      <c r="T98" s="82"/>
      <c r="U98" s="90"/>
      <c r="V98" s="11"/>
    </row>
    <row r="99" spans="2:22" hidden="1" x14ac:dyDescent="0.2">
      <c r="B99" s="7"/>
      <c r="C99" s="90"/>
      <c r="D99" s="82"/>
      <c r="E99" s="82"/>
      <c r="F99" s="82"/>
      <c r="G99" s="82"/>
      <c r="H99" s="82"/>
      <c r="I99" s="82"/>
      <c r="J99" s="82"/>
      <c r="K99" s="82"/>
      <c r="L99" s="82"/>
      <c r="M99" s="82"/>
      <c r="N99" s="82"/>
      <c r="O99" s="82"/>
      <c r="P99" s="82"/>
      <c r="Q99" s="82"/>
      <c r="R99" s="82"/>
      <c r="S99" s="82"/>
      <c r="T99" s="82"/>
      <c r="U99" s="90"/>
      <c r="V99" s="11"/>
    </row>
    <row r="100" spans="2:22" hidden="1" x14ac:dyDescent="0.2">
      <c r="B100" s="7">
        <v>2011</v>
      </c>
      <c r="C100" s="90" t="s">
        <v>2</v>
      </c>
      <c r="D100" s="82"/>
      <c r="E100" s="82"/>
      <c r="F100" s="82"/>
      <c r="G100" s="82"/>
      <c r="H100" s="82"/>
      <c r="I100" s="82"/>
      <c r="J100" s="82"/>
      <c r="K100" s="82"/>
      <c r="L100" s="82"/>
      <c r="M100" s="82"/>
      <c r="N100" s="82"/>
      <c r="O100" s="82"/>
      <c r="P100" s="82"/>
      <c r="Q100" s="82"/>
      <c r="R100" s="82"/>
      <c r="S100" s="82"/>
      <c r="T100" s="82" t="s">
        <v>24</v>
      </c>
      <c r="U100" s="90"/>
      <c r="V100" s="8"/>
    </row>
    <row r="101" spans="2:22" hidden="1" x14ac:dyDescent="0.2">
      <c r="B101" s="7"/>
      <c r="C101" s="90" t="s">
        <v>3</v>
      </c>
      <c r="D101" s="82"/>
      <c r="E101" s="82"/>
      <c r="F101" s="82"/>
      <c r="G101" s="82"/>
      <c r="H101" s="82"/>
      <c r="I101" s="82"/>
      <c r="J101" s="82"/>
      <c r="K101" s="82"/>
      <c r="L101" s="82"/>
      <c r="M101" s="82"/>
      <c r="N101" s="82"/>
      <c r="O101" s="82"/>
      <c r="P101" s="82"/>
      <c r="Q101" s="82"/>
      <c r="R101" s="82"/>
      <c r="S101" s="82"/>
      <c r="T101" s="82">
        <v>2130</v>
      </c>
      <c r="U101" s="90"/>
      <c r="V101" s="18"/>
    </row>
    <row r="102" spans="2:22" hidden="1" x14ac:dyDescent="0.2">
      <c r="B102" s="7"/>
      <c r="C102" s="90" t="s">
        <v>4</v>
      </c>
      <c r="D102" s="82"/>
      <c r="E102" s="82"/>
      <c r="F102" s="82"/>
      <c r="G102" s="82"/>
      <c r="H102" s="82"/>
      <c r="I102" s="82"/>
      <c r="J102" s="82"/>
      <c r="K102" s="82"/>
      <c r="L102" s="82"/>
      <c r="M102" s="82"/>
      <c r="N102" s="82"/>
      <c r="O102" s="82"/>
      <c r="P102" s="82"/>
      <c r="Q102" s="82"/>
      <c r="R102" s="82"/>
      <c r="S102" s="82"/>
      <c r="T102" s="82">
        <v>20867</v>
      </c>
      <c r="U102" s="90"/>
      <c r="V102" s="18"/>
    </row>
    <row r="103" spans="2:22" hidden="1" x14ac:dyDescent="0.2">
      <c r="B103" s="7"/>
      <c r="C103" s="90" t="s">
        <v>5</v>
      </c>
      <c r="D103" s="82"/>
      <c r="E103" s="82"/>
      <c r="F103" s="82"/>
      <c r="G103" s="82"/>
      <c r="H103" s="82"/>
      <c r="I103" s="82"/>
      <c r="J103" s="82"/>
      <c r="K103" s="82"/>
      <c r="L103" s="82"/>
      <c r="M103" s="82"/>
      <c r="N103" s="82"/>
      <c r="O103" s="82"/>
      <c r="P103" s="82"/>
      <c r="Q103" s="82"/>
      <c r="R103" s="82"/>
      <c r="S103" s="82"/>
      <c r="T103" s="82">
        <v>2981</v>
      </c>
      <c r="U103" s="90"/>
      <c r="V103" s="18"/>
    </row>
    <row r="104" spans="2:22" hidden="1" x14ac:dyDescent="0.2">
      <c r="B104" s="7"/>
      <c r="C104" s="90" t="s">
        <v>6</v>
      </c>
      <c r="D104" s="82"/>
      <c r="E104" s="82"/>
      <c r="F104" s="82"/>
      <c r="G104" s="82"/>
      <c r="H104" s="82"/>
      <c r="I104" s="82"/>
      <c r="J104" s="82"/>
      <c r="K104" s="82"/>
      <c r="L104" s="82"/>
      <c r="M104" s="82"/>
      <c r="N104" s="82"/>
      <c r="O104" s="82"/>
      <c r="P104" s="82"/>
      <c r="Q104" s="82"/>
      <c r="R104" s="82"/>
      <c r="S104" s="82"/>
      <c r="T104" s="82">
        <v>1619</v>
      </c>
      <c r="U104" s="90"/>
      <c r="V104" s="18"/>
    </row>
    <row r="105" spans="2:22" hidden="1" x14ac:dyDescent="0.2">
      <c r="B105" s="7"/>
      <c r="C105" s="90" t="s">
        <v>7</v>
      </c>
      <c r="D105" s="82"/>
      <c r="E105" s="82"/>
      <c r="F105" s="82"/>
      <c r="G105" s="82"/>
      <c r="H105" s="82"/>
      <c r="I105" s="82"/>
      <c r="J105" s="82"/>
      <c r="K105" s="82"/>
      <c r="L105" s="82"/>
      <c r="M105" s="82"/>
      <c r="N105" s="82"/>
      <c r="O105" s="82"/>
      <c r="P105" s="82"/>
      <c r="Q105" s="82"/>
      <c r="R105" s="82"/>
      <c r="S105" s="82"/>
      <c r="T105" s="82">
        <v>758</v>
      </c>
      <c r="U105" s="90"/>
      <c r="V105" s="18"/>
    </row>
    <row r="106" spans="2:22" hidden="1" x14ac:dyDescent="0.2">
      <c r="B106" s="7"/>
      <c r="C106" s="90"/>
      <c r="D106" s="82"/>
      <c r="E106" s="82"/>
      <c r="F106" s="82"/>
      <c r="G106" s="82"/>
      <c r="H106" s="82"/>
      <c r="I106" s="82"/>
      <c r="J106" s="82"/>
      <c r="K106" s="82"/>
      <c r="L106" s="82"/>
      <c r="M106" s="82"/>
      <c r="N106" s="82"/>
      <c r="O106" s="82"/>
      <c r="P106" s="82"/>
      <c r="Q106" s="82"/>
      <c r="R106" s="82"/>
      <c r="S106" s="82"/>
      <c r="T106" s="82"/>
      <c r="U106" s="90"/>
      <c r="V106" s="18"/>
    </row>
    <row r="107" spans="2:22" hidden="1" x14ac:dyDescent="0.2">
      <c r="B107" s="7"/>
      <c r="C107" s="90" t="s">
        <v>25</v>
      </c>
      <c r="D107" s="82"/>
      <c r="E107" s="82"/>
      <c r="F107" s="82"/>
      <c r="G107" s="82"/>
      <c r="H107" s="82"/>
      <c r="I107" s="82"/>
      <c r="J107" s="82"/>
      <c r="K107" s="82"/>
      <c r="L107" s="82"/>
      <c r="M107" s="82"/>
      <c r="N107" s="82"/>
      <c r="O107" s="82"/>
      <c r="P107" s="82"/>
      <c r="Q107" s="82"/>
      <c r="R107" s="82"/>
      <c r="S107" s="82"/>
      <c r="T107" s="82">
        <v>17328</v>
      </c>
      <c r="U107" s="90"/>
      <c r="V107" s="18"/>
    </row>
    <row r="108" spans="2:22" hidden="1" x14ac:dyDescent="0.2">
      <c r="B108" s="7"/>
      <c r="C108" s="90" t="s">
        <v>26</v>
      </c>
      <c r="D108" s="82"/>
      <c r="E108" s="82"/>
      <c r="F108" s="82"/>
      <c r="G108" s="82"/>
      <c r="H108" s="82"/>
      <c r="I108" s="82"/>
      <c r="J108" s="82"/>
      <c r="K108" s="82"/>
      <c r="L108" s="82"/>
      <c r="M108" s="82"/>
      <c r="N108" s="82"/>
      <c r="O108" s="82"/>
      <c r="P108" s="82"/>
      <c r="Q108" s="82"/>
      <c r="R108" s="82"/>
      <c r="S108" s="82"/>
      <c r="T108" s="82">
        <v>16639</v>
      </c>
      <c r="U108" s="90"/>
      <c r="V108" s="18"/>
    </row>
    <row r="109" spans="2:22" hidden="1" x14ac:dyDescent="0.2">
      <c r="B109" s="7"/>
      <c r="C109" s="90"/>
      <c r="D109" s="82"/>
      <c r="E109" s="82"/>
      <c r="F109" s="82"/>
      <c r="G109" s="82"/>
      <c r="H109" s="82"/>
      <c r="I109" s="82"/>
      <c r="J109" s="82"/>
      <c r="K109" s="82"/>
      <c r="L109" s="82"/>
      <c r="M109" s="82"/>
      <c r="N109" s="82"/>
      <c r="O109" s="82"/>
      <c r="P109" s="82"/>
      <c r="Q109" s="82"/>
      <c r="R109" s="82"/>
      <c r="S109" s="82"/>
      <c r="T109" s="82"/>
      <c r="U109" s="90"/>
      <c r="V109" s="18"/>
    </row>
    <row r="110" spans="2:22" ht="25.5" hidden="1" customHeight="1" x14ac:dyDescent="0.2">
      <c r="B110" s="7"/>
      <c r="C110" s="90" t="s">
        <v>27</v>
      </c>
      <c r="D110" s="82"/>
      <c r="E110" s="82"/>
      <c r="F110" s="82"/>
      <c r="G110" s="82"/>
      <c r="H110" s="82"/>
      <c r="I110" s="82"/>
      <c r="J110" s="82"/>
      <c r="K110" s="82"/>
      <c r="L110" s="82"/>
      <c r="M110" s="82"/>
      <c r="N110" s="82"/>
      <c r="O110" s="82"/>
      <c r="P110" s="82"/>
      <c r="Q110" s="82"/>
      <c r="R110" s="82"/>
      <c r="S110" s="82"/>
      <c r="T110" s="82">
        <f>SUM(D101:S105)</f>
        <v>0</v>
      </c>
      <c r="U110" s="90"/>
      <c r="V110" s="19"/>
    </row>
    <row r="111" spans="2:22" ht="22.5" hidden="1" customHeight="1" x14ac:dyDescent="0.2">
      <c r="B111" s="7"/>
      <c r="C111" s="90"/>
      <c r="D111" s="82"/>
      <c r="E111" s="82"/>
      <c r="F111" s="82"/>
      <c r="G111" s="82"/>
      <c r="H111" s="82"/>
      <c r="I111" s="82"/>
      <c r="J111" s="82"/>
      <c r="K111" s="82"/>
      <c r="L111" s="82"/>
      <c r="M111" s="82"/>
      <c r="N111" s="82"/>
      <c r="O111" s="82"/>
      <c r="P111" s="82"/>
      <c r="Q111" s="82"/>
      <c r="R111" s="82"/>
      <c r="S111" s="82"/>
      <c r="T111" s="82"/>
      <c r="U111" s="90"/>
      <c r="V111" s="11"/>
    </row>
    <row r="112" spans="2:22" ht="21.75" hidden="1" customHeight="1" x14ac:dyDescent="0.2">
      <c r="B112" s="7"/>
      <c r="C112" s="90" t="s">
        <v>28</v>
      </c>
      <c r="D112" s="82"/>
      <c r="E112" s="82"/>
      <c r="F112" s="82"/>
      <c r="G112" s="82"/>
      <c r="H112" s="82"/>
      <c r="I112" s="82"/>
      <c r="J112" s="82"/>
      <c r="K112" s="82"/>
      <c r="L112" s="82"/>
      <c r="M112" s="82"/>
      <c r="N112" s="82"/>
      <c r="O112" s="82"/>
      <c r="P112" s="82"/>
      <c r="Q112" s="82"/>
      <c r="R112" s="82"/>
      <c r="S112" s="82"/>
      <c r="T112" s="82"/>
      <c r="U112" s="90"/>
      <c r="V112" s="14"/>
    </row>
    <row r="113" spans="2:22" ht="21.75" hidden="1" customHeight="1" x14ac:dyDescent="0.2">
      <c r="B113" s="7"/>
      <c r="C113" s="90" t="s">
        <v>3</v>
      </c>
      <c r="D113" s="82"/>
      <c r="E113" s="82"/>
      <c r="F113" s="82"/>
      <c r="G113" s="82"/>
      <c r="H113" s="82"/>
      <c r="I113" s="82"/>
      <c r="J113" s="82"/>
      <c r="K113" s="82"/>
      <c r="L113" s="82"/>
      <c r="M113" s="82"/>
      <c r="N113" s="82"/>
      <c r="O113" s="82"/>
      <c r="P113" s="82"/>
      <c r="Q113" s="82"/>
      <c r="R113" s="82"/>
      <c r="S113" s="82"/>
      <c r="T113" s="82"/>
      <c r="U113" s="90"/>
      <c r="V113" s="14"/>
    </row>
    <row r="114" spans="2:22" ht="21.75" hidden="1" customHeight="1" x14ac:dyDescent="0.2">
      <c r="B114" s="7"/>
      <c r="C114" s="90" t="s">
        <v>4</v>
      </c>
      <c r="D114" s="82"/>
      <c r="E114" s="82"/>
      <c r="F114" s="82"/>
      <c r="G114" s="82"/>
      <c r="H114" s="82"/>
      <c r="I114" s="82"/>
      <c r="J114" s="82"/>
      <c r="K114" s="82"/>
      <c r="L114" s="82"/>
      <c r="M114" s="82"/>
      <c r="N114" s="82"/>
      <c r="O114" s="82"/>
      <c r="P114" s="82"/>
      <c r="Q114" s="82"/>
      <c r="R114" s="82"/>
      <c r="S114" s="82"/>
      <c r="T114" s="82"/>
      <c r="U114" s="90"/>
      <c r="V114" s="14"/>
    </row>
    <row r="115" spans="2:22" ht="20.25" hidden="1" customHeight="1" x14ac:dyDescent="0.2">
      <c r="B115" s="7"/>
      <c r="C115" s="90" t="s">
        <v>5</v>
      </c>
      <c r="D115" s="82"/>
      <c r="E115" s="82"/>
      <c r="F115" s="82"/>
      <c r="G115" s="82"/>
      <c r="H115" s="82"/>
      <c r="I115" s="82"/>
      <c r="J115" s="82"/>
      <c r="K115" s="82"/>
      <c r="L115" s="82"/>
      <c r="M115" s="82"/>
      <c r="N115" s="82"/>
      <c r="O115" s="82"/>
      <c r="P115" s="82"/>
      <c r="Q115" s="82"/>
      <c r="R115" s="82"/>
      <c r="S115" s="82"/>
      <c r="T115" s="82"/>
      <c r="U115" s="90"/>
      <c r="V115" s="14"/>
    </row>
    <row r="116" spans="2:22" ht="18.75" hidden="1" customHeight="1" x14ac:dyDescent="0.2">
      <c r="B116" s="7"/>
      <c r="C116" s="90" t="s">
        <v>6</v>
      </c>
      <c r="D116" s="82"/>
      <c r="E116" s="82"/>
      <c r="F116" s="82"/>
      <c r="G116" s="82"/>
      <c r="H116" s="82"/>
      <c r="I116" s="82"/>
      <c r="J116" s="82"/>
      <c r="K116" s="82"/>
      <c r="L116" s="82"/>
      <c r="M116" s="82"/>
      <c r="N116" s="82"/>
      <c r="O116" s="82"/>
      <c r="P116" s="82"/>
      <c r="Q116" s="82"/>
      <c r="R116" s="82"/>
      <c r="S116" s="82"/>
      <c r="T116" s="82"/>
      <c r="U116" s="90"/>
      <c r="V116" s="14"/>
    </row>
    <row r="117" spans="2:22" ht="18.75" hidden="1" customHeight="1" x14ac:dyDescent="0.2">
      <c r="B117" s="7"/>
      <c r="C117" s="90" t="s">
        <v>7</v>
      </c>
      <c r="D117" s="82"/>
      <c r="E117" s="82"/>
      <c r="F117" s="82"/>
      <c r="G117" s="82"/>
      <c r="H117" s="82"/>
      <c r="I117" s="82"/>
      <c r="J117" s="82"/>
      <c r="K117" s="82"/>
      <c r="L117" s="82"/>
      <c r="M117" s="82"/>
      <c r="N117" s="82"/>
      <c r="O117" s="82"/>
      <c r="P117" s="82"/>
      <c r="Q117" s="82"/>
      <c r="R117" s="82"/>
      <c r="S117" s="82"/>
      <c r="T117" s="82"/>
      <c r="U117" s="90"/>
      <c r="V117" s="14"/>
    </row>
    <row r="118" spans="2:22" ht="19.5" hidden="1" customHeight="1" x14ac:dyDescent="0.2">
      <c r="B118" s="7"/>
      <c r="C118" s="90"/>
      <c r="D118" s="82"/>
      <c r="E118" s="82"/>
      <c r="F118" s="82"/>
      <c r="G118" s="82"/>
      <c r="H118" s="82"/>
      <c r="I118" s="82"/>
      <c r="J118" s="82"/>
      <c r="K118" s="82"/>
      <c r="L118" s="82"/>
      <c r="M118" s="82"/>
      <c r="N118" s="82"/>
      <c r="O118" s="82"/>
      <c r="P118" s="82"/>
      <c r="Q118" s="82"/>
      <c r="R118" s="82"/>
      <c r="S118" s="82"/>
      <c r="T118" s="82"/>
      <c r="U118" s="90"/>
      <c r="V118" s="14"/>
    </row>
    <row r="119" spans="2:22" ht="21" hidden="1" customHeight="1" x14ac:dyDescent="0.2">
      <c r="B119" s="7"/>
      <c r="C119" s="90" t="s">
        <v>25</v>
      </c>
      <c r="D119" s="82"/>
      <c r="E119" s="82"/>
      <c r="F119" s="82"/>
      <c r="G119" s="82"/>
      <c r="H119" s="82"/>
      <c r="I119" s="82"/>
      <c r="J119" s="82"/>
      <c r="K119" s="82"/>
      <c r="L119" s="82"/>
      <c r="M119" s="82"/>
      <c r="N119" s="82"/>
      <c r="O119" s="82"/>
      <c r="P119" s="82"/>
      <c r="Q119" s="82"/>
      <c r="R119" s="82"/>
      <c r="S119" s="82"/>
      <c r="T119" s="82"/>
      <c r="U119" s="90"/>
      <c r="V119" s="14"/>
    </row>
    <row r="120" spans="2:22" ht="19.5" hidden="1" customHeight="1" x14ac:dyDescent="0.2">
      <c r="B120" s="7"/>
      <c r="C120" s="90" t="s">
        <v>26</v>
      </c>
      <c r="D120" s="82"/>
      <c r="E120" s="82"/>
      <c r="F120" s="82"/>
      <c r="G120" s="82"/>
      <c r="H120" s="82"/>
      <c r="I120" s="82"/>
      <c r="J120" s="82"/>
      <c r="K120" s="82"/>
      <c r="L120" s="82"/>
      <c r="M120" s="82"/>
      <c r="N120" s="82"/>
      <c r="O120" s="82"/>
      <c r="P120" s="82"/>
      <c r="Q120" s="82"/>
      <c r="R120" s="82"/>
      <c r="S120" s="82"/>
      <c r="T120" s="82"/>
      <c r="U120" s="90"/>
      <c r="V120" s="14"/>
    </row>
    <row r="121" spans="2:22" ht="21" hidden="1" customHeight="1" x14ac:dyDescent="0.2">
      <c r="B121" s="7"/>
      <c r="C121" s="90"/>
      <c r="D121" s="82"/>
      <c r="E121" s="82"/>
      <c r="F121" s="82"/>
      <c r="G121" s="82"/>
      <c r="H121" s="82"/>
      <c r="I121" s="82"/>
      <c r="J121" s="82"/>
      <c r="K121" s="82"/>
      <c r="L121" s="82"/>
      <c r="M121" s="82"/>
      <c r="N121" s="82"/>
      <c r="O121" s="82"/>
      <c r="P121" s="82"/>
      <c r="Q121" s="82"/>
      <c r="R121" s="82"/>
      <c r="S121" s="82"/>
      <c r="T121" s="82"/>
      <c r="U121" s="90"/>
      <c r="V121" s="14"/>
    </row>
    <row r="122" spans="2:22" hidden="1" x14ac:dyDescent="0.2">
      <c r="B122" s="7"/>
      <c r="C122" s="90" t="s">
        <v>27</v>
      </c>
      <c r="D122" s="82"/>
      <c r="E122" s="82"/>
      <c r="F122" s="82"/>
      <c r="G122" s="82"/>
      <c r="H122" s="82"/>
      <c r="I122" s="82"/>
      <c r="J122" s="82"/>
      <c r="K122" s="82"/>
      <c r="L122" s="82"/>
      <c r="M122" s="82"/>
      <c r="N122" s="82"/>
      <c r="O122" s="82"/>
      <c r="P122" s="82"/>
      <c r="Q122" s="82"/>
      <c r="R122" s="82"/>
      <c r="S122" s="82"/>
      <c r="T122" s="82"/>
      <c r="U122" s="90"/>
      <c r="V122" s="14"/>
    </row>
    <row r="123" spans="2:22" hidden="1" x14ac:dyDescent="0.2">
      <c r="B123" s="7"/>
      <c r="C123" s="90"/>
      <c r="D123" s="82"/>
      <c r="E123" s="82"/>
      <c r="F123" s="82"/>
      <c r="G123" s="82"/>
      <c r="H123" s="82"/>
      <c r="I123" s="82"/>
      <c r="J123" s="82"/>
      <c r="K123" s="82"/>
      <c r="L123" s="82"/>
      <c r="M123" s="82"/>
      <c r="N123" s="82"/>
      <c r="O123" s="82"/>
      <c r="P123" s="82"/>
      <c r="Q123" s="82"/>
      <c r="R123" s="82"/>
      <c r="S123" s="82"/>
      <c r="T123" s="82"/>
      <c r="U123" s="90"/>
      <c r="V123" s="11"/>
    </row>
    <row r="124" spans="2:22" hidden="1" x14ac:dyDescent="0.2">
      <c r="B124" s="7"/>
      <c r="C124" s="90"/>
      <c r="D124" s="82"/>
      <c r="E124" s="82"/>
      <c r="F124" s="82"/>
      <c r="G124" s="82"/>
      <c r="H124" s="82"/>
      <c r="I124" s="82"/>
      <c r="J124" s="82"/>
      <c r="K124" s="82"/>
      <c r="L124" s="82"/>
      <c r="M124" s="82"/>
      <c r="N124" s="82"/>
      <c r="O124" s="82"/>
      <c r="P124" s="82"/>
      <c r="Q124" s="82"/>
      <c r="R124" s="82"/>
      <c r="S124" s="82"/>
      <c r="T124" s="82"/>
      <c r="U124" s="90"/>
      <c r="V124" s="11"/>
    </row>
    <row r="125" spans="2:22" hidden="1" x14ac:dyDescent="0.2">
      <c r="B125" s="7"/>
      <c r="C125" s="90"/>
      <c r="D125" s="82"/>
      <c r="E125" s="82"/>
      <c r="F125" s="82"/>
      <c r="G125" s="82"/>
      <c r="H125" s="82"/>
      <c r="I125" s="82"/>
      <c r="J125" s="82"/>
      <c r="K125" s="82"/>
      <c r="L125" s="82"/>
      <c r="M125" s="82"/>
      <c r="N125" s="82"/>
      <c r="O125" s="82"/>
      <c r="P125" s="82"/>
      <c r="Q125" s="82"/>
      <c r="R125" s="82"/>
      <c r="S125" s="82"/>
      <c r="T125" s="82"/>
      <c r="U125" s="90"/>
      <c r="V125" s="11"/>
    </row>
    <row r="126" spans="2:22" hidden="1" x14ac:dyDescent="0.2">
      <c r="B126" s="7"/>
      <c r="C126" s="90"/>
      <c r="D126" s="82"/>
      <c r="E126" s="82"/>
      <c r="F126" s="82"/>
      <c r="G126" s="82"/>
      <c r="H126" s="82"/>
      <c r="I126" s="82"/>
      <c r="J126" s="82"/>
      <c r="K126" s="82"/>
      <c r="L126" s="82"/>
      <c r="M126" s="82"/>
      <c r="N126" s="82"/>
      <c r="O126" s="82"/>
      <c r="P126" s="82"/>
      <c r="Q126" s="82"/>
      <c r="R126" s="82"/>
      <c r="S126" s="82"/>
      <c r="T126" s="82"/>
      <c r="U126" s="90"/>
      <c r="V126" s="11"/>
    </row>
    <row r="127" spans="2:22" hidden="1" x14ac:dyDescent="0.2">
      <c r="B127" s="7">
        <v>2010</v>
      </c>
      <c r="C127" s="90" t="s">
        <v>2</v>
      </c>
      <c r="D127" s="82"/>
      <c r="E127" s="82"/>
      <c r="F127" s="82"/>
      <c r="G127" s="82"/>
      <c r="H127" s="82"/>
      <c r="I127" s="82"/>
      <c r="J127" s="82"/>
      <c r="K127" s="82"/>
      <c r="L127" s="82"/>
      <c r="M127" s="82"/>
      <c r="N127" s="82"/>
      <c r="O127" s="82"/>
      <c r="P127" s="82"/>
      <c r="Q127" s="82"/>
      <c r="R127" s="82"/>
      <c r="S127" s="82"/>
      <c r="T127" s="82" t="s">
        <v>24</v>
      </c>
      <c r="U127" s="90"/>
      <c r="V127" s="8"/>
    </row>
    <row r="128" spans="2:22" hidden="1" x14ac:dyDescent="0.2">
      <c r="B128" s="7"/>
      <c r="C128" s="90" t="s">
        <v>3</v>
      </c>
      <c r="D128" s="82"/>
      <c r="E128" s="82"/>
      <c r="F128" s="82"/>
      <c r="G128" s="82"/>
      <c r="H128" s="82"/>
      <c r="I128" s="82"/>
      <c r="J128" s="82"/>
      <c r="K128" s="82"/>
      <c r="L128" s="82"/>
      <c r="M128" s="82"/>
      <c r="N128" s="82"/>
      <c r="O128" s="82"/>
      <c r="P128" s="82"/>
      <c r="Q128" s="82"/>
      <c r="R128" s="82"/>
      <c r="S128" s="82"/>
      <c r="T128" s="82">
        <v>2097</v>
      </c>
      <c r="U128" s="90"/>
      <c r="V128" s="18"/>
    </row>
    <row r="129" spans="2:22" hidden="1" x14ac:dyDescent="0.2">
      <c r="B129" s="7"/>
      <c r="C129" s="90" t="s">
        <v>4</v>
      </c>
      <c r="D129" s="82"/>
      <c r="E129" s="82"/>
      <c r="F129" s="82"/>
      <c r="G129" s="82"/>
      <c r="H129" s="82"/>
      <c r="I129" s="82"/>
      <c r="J129" s="82"/>
      <c r="K129" s="82"/>
      <c r="L129" s="82"/>
      <c r="M129" s="82"/>
      <c r="N129" s="82"/>
      <c r="O129" s="82"/>
      <c r="P129" s="82"/>
      <c r="Q129" s="82"/>
      <c r="R129" s="82"/>
      <c r="S129" s="82"/>
      <c r="T129" s="82">
        <v>20765</v>
      </c>
      <c r="U129" s="90"/>
      <c r="V129" s="18"/>
    </row>
    <row r="130" spans="2:22" hidden="1" x14ac:dyDescent="0.2">
      <c r="B130" s="7"/>
      <c r="C130" s="90" t="s">
        <v>5</v>
      </c>
      <c r="D130" s="82"/>
      <c r="E130" s="82"/>
      <c r="F130" s="82"/>
      <c r="G130" s="82"/>
      <c r="H130" s="82"/>
      <c r="I130" s="82"/>
      <c r="J130" s="82"/>
      <c r="K130" s="82"/>
      <c r="L130" s="82"/>
      <c r="M130" s="82"/>
      <c r="N130" s="82"/>
      <c r="O130" s="82"/>
      <c r="P130" s="82"/>
      <c r="Q130" s="82"/>
      <c r="R130" s="82"/>
      <c r="S130" s="82"/>
      <c r="T130" s="82">
        <v>2776</v>
      </c>
      <c r="U130" s="90"/>
      <c r="V130" s="18"/>
    </row>
    <row r="131" spans="2:22" hidden="1" x14ac:dyDescent="0.2">
      <c r="B131" s="7"/>
      <c r="C131" s="90" t="s">
        <v>6</v>
      </c>
      <c r="D131" s="82"/>
      <c r="E131" s="82"/>
      <c r="F131" s="82"/>
      <c r="G131" s="82"/>
      <c r="H131" s="82"/>
      <c r="I131" s="82"/>
      <c r="J131" s="82"/>
      <c r="K131" s="82"/>
      <c r="L131" s="82"/>
      <c r="M131" s="82"/>
      <c r="N131" s="82"/>
      <c r="O131" s="82"/>
      <c r="P131" s="82"/>
      <c r="Q131" s="82"/>
      <c r="R131" s="82"/>
      <c r="S131" s="82"/>
      <c r="T131" s="82">
        <v>1635</v>
      </c>
      <c r="U131" s="90"/>
      <c r="V131" s="18"/>
    </row>
    <row r="132" spans="2:22" hidden="1" x14ac:dyDescent="0.2">
      <c r="C132" s="90" t="s">
        <v>7</v>
      </c>
      <c r="D132" s="82"/>
      <c r="E132" s="82"/>
      <c r="F132" s="82"/>
      <c r="G132" s="82"/>
      <c r="H132" s="82"/>
      <c r="I132" s="82"/>
      <c r="J132" s="82"/>
      <c r="K132" s="82"/>
      <c r="L132" s="82"/>
      <c r="M132" s="82"/>
      <c r="N132" s="82"/>
      <c r="O132" s="82"/>
      <c r="P132" s="82"/>
      <c r="Q132" s="82"/>
      <c r="R132" s="82"/>
      <c r="S132" s="82"/>
      <c r="T132" s="82">
        <v>734</v>
      </c>
      <c r="U132" s="90"/>
      <c r="V132" s="18"/>
    </row>
    <row r="133" spans="2:22" hidden="1" x14ac:dyDescent="0.2">
      <c r="C133" s="90"/>
      <c r="D133" s="82"/>
      <c r="E133" s="82"/>
      <c r="F133" s="82"/>
      <c r="G133" s="82"/>
      <c r="H133" s="82"/>
      <c r="I133" s="82"/>
      <c r="J133" s="82"/>
      <c r="K133" s="82"/>
      <c r="L133" s="82"/>
      <c r="M133" s="82"/>
      <c r="N133" s="82"/>
      <c r="O133" s="82"/>
      <c r="P133" s="82"/>
      <c r="Q133" s="82"/>
      <c r="R133" s="82"/>
      <c r="S133" s="82"/>
      <c r="T133" s="82"/>
      <c r="U133" s="90"/>
      <c r="V133" s="18"/>
    </row>
    <row r="134" spans="2:22" hidden="1" x14ac:dyDescent="0.2">
      <c r="C134" s="90" t="s">
        <v>25</v>
      </c>
      <c r="D134" s="82"/>
      <c r="E134" s="82"/>
      <c r="F134" s="82"/>
      <c r="G134" s="82"/>
      <c r="H134" s="82"/>
      <c r="I134" s="82"/>
      <c r="J134" s="82"/>
      <c r="K134" s="82"/>
      <c r="L134" s="82"/>
      <c r="M134" s="82"/>
      <c r="N134" s="82"/>
      <c r="O134" s="82"/>
      <c r="P134" s="82"/>
      <c r="Q134" s="82"/>
      <c r="R134" s="82"/>
      <c r="S134" s="82"/>
      <c r="T134" s="82">
        <v>17224</v>
      </c>
      <c r="U134" s="90"/>
      <c r="V134" s="18"/>
    </row>
    <row r="135" spans="2:22" hidden="1" x14ac:dyDescent="0.2">
      <c r="C135" s="90" t="s">
        <v>26</v>
      </c>
      <c r="D135" s="82"/>
      <c r="E135" s="82"/>
      <c r="F135" s="82"/>
      <c r="G135" s="82"/>
      <c r="H135" s="82"/>
      <c r="I135" s="82"/>
      <c r="J135" s="82"/>
      <c r="K135" s="82"/>
      <c r="L135" s="82"/>
      <c r="M135" s="82"/>
      <c r="N135" s="82"/>
      <c r="O135" s="82"/>
      <c r="P135" s="82"/>
      <c r="Q135" s="82"/>
      <c r="R135" s="82"/>
      <c r="S135" s="82"/>
      <c r="T135" s="82">
        <v>16548</v>
      </c>
      <c r="U135" s="90"/>
      <c r="V135" s="18"/>
    </row>
    <row r="136" spans="2:22" hidden="1" x14ac:dyDescent="0.2">
      <c r="C136" s="90"/>
      <c r="D136" s="82"/>
      <c r="E136" s="82"/>
      <c r="F136" s="82"/>
      <c r="G136" s="82"/>
      <c r="H136" s="82"/>
      <c r="I136" s="82"/>
      <c r="J136" s="82"/>
      <c r="K136" s="82"/>
      <c r="L136" s="82"/>
      <c r="M136" s="82"/>
      <c r="N136" s="82"/>
      <c r="O136" s="82"/>
      <c r="P136" s="82"/>
      <c r="Q136" s="82"/>
      <c r="R136" s="82"/>
      <c r="S136" s="82"/>
      <c r="T136" s="82"/>
      <c r="U136" s="90"/>
      <c r="V136" s="18"/>
    </row>
    <row r="137" spans="2:22" hidden="1" x14ac:dyDescent="0.2">
      <c r="C137" s="90" t="s">
        <v>27</v>
      </c>
      <c r="D137" s="82"/>
      <c r="E137" s="82"/>
      <c r="F137" s="82"/>
      <c r="G137" s="82"/>
      <c r="H137" s="82"/>
      <c r="I137" s="82"/>
      <c r="J137" s="82"/>
      <c r="K137" s="82"/>
      <c r="L137" s="82"/>
      <c r="M137" s="82"/>
      <c r="N137" s="82"/>
      <c r="O137" s="82"/>
      <c r="P137" s="82"/>
      <c r="Q137" s="82"/>
      <c r="R137" s="82"/>
      <c r="S137" s="82"/>
      <c r="T137" s="82">
        <f>SUM(D128:S132)</f>
        <v>0</v>
      </c>
      <c r="U137" s="90"/>
      <c r="V137" s="19"/>
    </row>
    <row r="138" spans="2:22" hidden="1" x14ac:dyDescent="0.2">
      <c r="C138" s="90"/>
      <c r="D138" s="82"/>
      <c r="E138" s="82"/>
      <c r="F138" s="82"/>
      <c r="G138" s="82"/>
      <c r="H138" s="82"/>
      <c r="I138" s="82"/>
      <c r="J138" s="82"/>
      <c r="K138" s="82"/>
      <c r="L138" s="82"/>
      <c r="M138" s="82"/>
      <c r="N138" s="82"/>
      <c r="O138" s="82"/>
      <c r="P138" s="82"/>
      <c r="Q138" s="82"/>
      <c r="R138" s="82"/>
      <c r="S138" s="82"/>
      <c r="T138" s="82"/>
      <c r="U138" s="90"/>
      <c r="V138" s="11"/>
    </row>
    <row r="139" spans="2:22" hidden="1" x14ac:dyDescent="0.2">
      <c r="C139" s="90"/>
      <c r="D139" s="82"/>
      <c r="E139" s="82"/>
      <c r="F139" s="82"/>
      <c r="G139" s="82"/>
      <c r="H139" s="82"/>
      <c r="I139" s="82"/>
      <c r="J139" s="82"/>
      <c r="K139" s="82"/>
      <c r="L139" s="82"/>
      <c r="M139" s="82"/>
      <c r="N139" s="82"/>
      <c r="O139" s="82"/>
      <c r="P139" s="82"/>
      <c r="Q139" s="82"/>
      <c r="R139" s="82"/>
      <c r="S139" s="82"/>
      <c r="T139" s="82"/>
      <c r="U139" s="90"/>
      <c r="V139" s="11"/>
    </row>
    <row r="140" spans="2:22" hidden="1" x14ac:dyDescent="0.2">
      <c r="C140" s="90"/>
      <c r="D140" s="82"/>
      <c r="E140" s="82"/>
      <c r="F140" s="82"/>
      <c r="G140" s="82"/>
      <c r="H140" s="82"/>
      <c r="I140" s="82"/>
      <c r="J140" s="82"/>
      <c r="K140" s="82"/>
      <c r="L140" s="82"/>
      <c r="M140" s="82"/>
      <c r="N140" s="82"/>
      <c r="O140" s="82"/>
      <c r="P140" s="82"/>
      <c r="Q140" s="82"/>
      <c r="R140" s="82"/>
      <c r="S140" s="82"/>
      <c r="T140" s="82"/>
      <c r="U140" s="90"/>
      <c r="V140" s="11"/>
    </row>
    <row r="141" spans="2:22" hidden="1" x14ac:dyDescent="0.2">
      <c r="C141" s="90"/>
      <c r="D141" s="82"/>
      <c r="E141" s="82"/>
      <c r="F141" s="82"/>
      <c r="G141" s="82"/>
      <c r="H141" s="82"/>
      <c r="I141" s="82"/>
      <c r="J141" s="82"/>
      <c r="K141" s="82"/>
      <c r="L141" s="82"/>
      <c r="M141" s="82"/>
      <c r="N141" s="82"/>
      <c r="O141" s="82"/>
      <c r="P141" s="82"/>
      <c r="Q141" s="82"/>
      <c r="R141" s="82"/>
      <c r="S141" s="82"/>
      <c r="T141" s="82"/>
      <c r="U141" s="90"/>
      <c r="V141" s="11"/>
    </row>
    <row r="142" spans="2:22" hidden="1" x14ac:dyDescent="0.2">
      <c r="C142" s="90" t="s">
        <v>28</v>
      </c>
      <c r="D142" s="82"/>
      <c r="E142" s="82"/>
      <c r="F142" s="82"/>
      <c r="G142" s="82"/>
      <c r="H142" s="82"/>
      <c r="I142" s="82"/>
      <c r="J142" s="82"/>
      <c r="K142" s="82"/>
      <c r="L142" s="82"/>
      <c r="M142" s="82"/>
      <c r="N142" s="82"/>
      <c r="O142" s="82"/>
      <c r="P142" s="82"/>
      <c r="Q142" s="82"/>
      <c r="R142" s="82"/>
      <c r="S142" s="82"/>
      <c r="T142" s="82"/>
      <c r="U142" s="90"/>
      <c r="V142" s="14"/>
    </row>
    <row r="143" spans="2:22" hidden="1" x14ac:dyDescent="0.2">
      <c r="C143" s="90" t="s">
        <v>3</v>
      </c>
      <c r="D143" s="82"/>
      <c r="E143" s="82"/>
      <c r="F143" s="82"/>
      <c r="G143" s="82"/>
      <c r="H143" s="82"/>
      <c r="I143" s="82"/>
      <c r="J143" s="82"/>
      <c r="K143" s="82"/>
      <c r="L143" s="82"/>
      <c r="M143" s="82"/>
      <c r="N143" s="82"/>
      <c r="O143" s="82"/>
      <c r="P143" s="82"/>
      <c r="Q143" s="82"/>
      <c r="R143" s="82"/>
      <c r="S143" s="82"/>
      <c r="T143" s="82"/>
      <c r="U143" s="90"/>
      <c r="V143" s="14"/>
    </row>
    <row r="144" spans="2:22" hidden="1" x14ac:dyDescent="0.2">
      <c r="C144" s="90" t="s">
        <v>4</v>
      </c>
      <c r="D144" s="82"/>
      <c r="E144" s="82"/>
      <c r="F144" s="82"/>
      <c r="G144" s="82"/>
      <c r="H144" s="82"/>
      <c r="I144" s="82"/>
      <c r="J144" s="82"/>
      <c r="K144" s="82"/>
      <c r="L144" s="82"/>
      <c r="M144" s="82"/>
      <c r="N144" s="82"/>
      <c r="O144" s="82"/>
      <c r="P144" s="82"/>
      <c r="Q144" s="82"/>
      <c r="R144" s="82"/>
      <c r="S144" s="82"/>
      <c r="T144" s="82"/>
      <c r="U144" s="90"/>
      <c r="V144" s="14"/>
    </row>
    <row r="145" spans="3:22" hidden="1" x14ac:dyDescent="0.2">
      <c r="C145" s="90" t="s">
        <v>5</v>
      </c>
      <c r="D145" s="82"/>
      <c r="E145" s="82"/>
      <c r="F145" s="82"/>
      <c r="G145" s="82"/>
      <c r="H145" s="82"/>
      <c r="I145" s="82"/>
      <c r="J145" s="82"/>
      <c r="K145" s="82"/>
      <c r="L145" s="82"/>
      <c r="M145" s="82"/>
      <c r="N145" s="82"/>
      <c r="O145" s="82"/>
      <c r="P145" s="82"/>
      <c r="Q145" s="82"/>
      <c r="R145" s="82"/>
      <c r="S145" s="82"/>
      <c r="T145" s="82"/>
      <c r="U145" s="90"/>
      <c r="V145" s="14"/>
    </row>
    <row r="146" spans="3:22" hidden="1" x14ac:dyDescent="0.2">
      <c r="C146" s="90" t="s">
        <v>6</v>
      </c>
      <c r="D146" s="82"/>
      <c r="E146" s="82"/>
      <c r="F146" s="82"/>
      <c r="G146" s="82"/>
      <c r="H146" s="82"/>
      <c r="I146" s="82"/>
      <c r="J146" s="82"/>
      <c r="K146" s="82"/>
      <c r="L146" s="82"/>
      <c r="M146" s="82"/>
      <c r="N146" s="82"/>
      <c r="O146" s="82"/>
      <c r="P146" s="82"/>
      <c r="Q146" s="82"/>
      <c r="R146" s="82"/>
      <c r="S146" s="82"/>
      <c r="T146" s="82"/>
      <c r="U146" s="90"/>
      <c r="V146" s="14"/>
    </row>
    <row r="147" spans="3:22" hidden="1" x14ac:dyDescent="0.2">
      <c r="C147" s="90" t="s">
        <v>7</v>
      </c>
      <c r="D147" s="82"/>
      <c r="E147" s="82"/>
      <c r="F147" s="82"/>
      <c r="G147" s="82"/>
      <c r="H147" s="82"/>
      <c r="I147" s="82"/>
      <c r="J147" s="82"/>
      <c r="K147" s="82"/>
      <c r="L147" s="82"/>
      <c r="M147" s="82"/>
      <c r="N147" s="82"/>
      <c r="O147" s="82"/>
      <c r="P147" s="82"/>
      <c r="Q147" s="82"/>
      <c r="R147" s="82"/>
      <c r="S147" s="82"/>
      <c r="T147" s="82"/>
      <c r="U147" s="90"/>
      <c r="V147" s="14"/>
    </row>
    <row r="148" spans="3:22" hidden="1" x14ac:dyDescent="0.2">
      <c r="C148" s="90"/>
      <c r="D148" s="82"/>
      <c r="E148" s="82"/>
      <c r="F148" s="82"/>
      <c r="G148" s="82"/>
      <c r="H148" s="82"/>
      <c r="I148" s="82"/>
      <c r="J148" s="82"/>
      <c r="K148" s="82"/>
      <c r="L148" s="82"/>
      <c r="M148" s="82"/>
      <c r="N148" s="82"/>
      <c r="O148" s="82"/>
      <c r="P148" s="82"/>
      <c r="Q148" s="82"/>
      <c r="R148" s="82"/>
      <c r="S148" s="82"/>
      <c r="T148" s="82"/>
      <c r="U148" s="90"/>
      <c r="V148" s="14"/>
    </row>
    <row r="149" spans="3:22" hidden="1" x14ac:dyDescent="0.2">
      <c r="C149" s="90" t="s">
        <v>25</v>
      </c>
      <c r="D149" s="82"/>
      <c r="E149" s="82"/>
      <c r="F149" s="82"/>
      <c r="G149" s="82"/>
      <c r="H149" s="82"/>
      <c r="I149" s="82"/>
      <c r="J149" s="82"/>
      <c r="K149" s="82"/>
      <c r="L149" s="82"/>
      <c r="M149" s="82"/>
      <c r="N149" s="82"/>
      <c r="O149" s="82"/>
      <c r="P149" s="82"/>
      <c r="Q149" s="82"/>
      <c r="R149" s="82"/>
      <c r="S149" s="82"/>
      <c r="T149" s="82"/>
      <c r="U149" s="90"/>
      <c r="V149" s="14"/>
    </row>
    <row r="150" spans="3:22" hidden="1" x14ac:dyDescent="0.2">
      <c r="C150" s="90" t="s">
        <v>26</v>
      </c>
      <c r="D150" s="82"/>
      <c r="E150" s="82"/>
      <c r="F150" s="82"/>
      <c r="G150" s="82"/>
      <c r="H150" s="82"/>
      <c r="I150" s="82"/>
      <c r="J150" s="82"/>
      <c r="K150" s="82"/>
      <c r="L150" s="82"/>
      <c r="M150" s="82"/>
      <c r="N150" s="82"/>
      <c r="O150" s="82"/>
      <c r="P150" s="82"/>
      <c r="Q150" s="82"/>
      <c r="R150" s="82"/>
      <c r="S150" s="82"/>
      <c r="T150" s="82"/>
      <c r="U150" s="90"/>
      <c r="V150" s="14"/>
    </row>
    <row r="151" spans="3:22" hidden="1" x14ac:dyDescent="0.2">
      <c r="C151" s="90"/>
      <c r="D151" s="82"/>
      <c r="E151" s="82"/>
      <c r="F151" s="82"/>
      <c r="G151" s="82"/>
      <c r="H151" s="82"/>
      <c r="I151" s="82"/>
      <c r="J151" s="82"/>
      <c r="K151" s="82"/>
      <c r="L151" s="82"/>
      <c r="M151" s="82"/>
      <c r="N151" s="82"/>
      <c r="O151" s="82"/>
      <c r="P151" s="82"/>
      <c r="Q151" s="82"/>
      <c r="R151" s="82"/>
      <c r="S151" s="82"/>
      <c r="T151" s="82"/>
      <c r="U151" s="90"/>
      <c r="V151" s="14"/>
    </row>
    <row r="152" spans="3:22" hidden="1" x14ac:dyDescent="0.2">
      <c r="C152" s="90" t="s">
        <v>27</v>
      </c>
      <c r="D152" s="82"/>
      <c r="E152" s="82"/>
      <c r="F152" s="82"/>
      <c r="G152" s="82"/>
      <c r="H152" s="82"/>
      <c r="I152" s="82"/>
      <c r="J152" s="82"/>
      <c r="K152" s="82"/>
      <c r="L152" s="82"/>
      <c r="M152" s="82"/>
      <c r="N152" s="82"/>
      <c r="O152" s="82"/>
      <c r="P152" s="82"/>
      <c r="Q152" s="82"/>
      <c r="R152" s="82"/>
      <c r="S152" s="82"/>
      <c r="T152" s="82"/>
      <c r="U152" s="90"/>
      <c r="V152" s="14"/>
    </row>
    <row r="153" spans="3:22" hidden="1" x14ac:dyDescent="0.2">
      <c r="C153" s="90"/>
      <c r="D153" s="82"/>
      <c r="E153" s="82"/>
      <c r="F153" s="82"/>
      <c r="G153" s="82"/>
      <c r="H153" s="82"/>
      <c r="I153" s="82"/>
      <c r="J153" s="82"/>
      <c r="K153" s="82"/>
      <c r="L153" s="82"/>
      <c r="M153" s="82"/>
      <c r="N153" s="82"/>
      <c r="O153" s="82"/>
      <c r="P153" s="82"/>
      <c r="Q153" s="82"/>
      <c r="R153" s="82"/>
      <c r="S153" s="82"/>
      <c r="T153" s="82"/>
      <c r="U153" s="90"/>
      <c r="V153" s="20"/>
    </row>
    <row r="154" spans="3:22" ht="15.75" thickBot="1" x14ac:dyDescent="0.25">
      <c r="C154" s="91"/>
      <c r="D154" s="88"/>
      <c r="E154" s="88"/>
      <c r="F154" s="88"/>
      <c r="G154" s="88"/>
      <c r="H154" s="88"/>
      <c r="I154" s="88"/>
      <c r="J154" s="88"/>
      <c r="K154" s="88"/>
      <c r="L154" s="88"/>
      <c r="M154" s="88"/>
      <c r="N154" s="88"/>
      <c r="O154" s="88"/>
      <c r="P154" s="88"/>
      <c r="Q154" s="88"/>
      <c r="R154" s="88"/>
      <c r="S154" s="88"/>
      <c r="T154" s="88"/>
      <c r="U154" s="91"/>
      <c r="V154" s="9"/>
    </row>
    <row r="156" spans="3:22" x14ac:dyDescent="0.2">
      <c r="D156" s="1">
        <v>322144.75705659657</v>
      </c>
      <c r="E156" s="1">
        <v>405154.48347390624</v>
      </c>
      <c r="F156" s="1">
        <v>1030439.8545358699</v>
      </c>
      <c r="G156" s="1">
        <v>416230.52096611878</v>
      </c>
      <c r="H156" s="1">
        <v>348502.45150237216</v>
      </c>
      <c r="I156" s="1">
        <v>597491.5002204437</v>
      </c>
      <c r="J156" s="1">
        <v>1617031.942315618</v>
      </c>
      <c r="K156" s="1">
        <v>269698.6875808693</v>
      </c>
      <c r="L156" s="1">
        <v>177966.56949968851</v>
      </c>
      <c r="M156" s="1">
        <v>651745.82945080753</v>
      </c>
      <c r="N156" s="1">
        <v>240809.61120429385</v>
      </c>
      <c r="O156" s="1">
        <v>739631.50442564813</v>
      </c>
      <c r="P156" s="1">
        <v>102967.78474385393</v>
      </c>
      <c r="Q156" s="1">
        <v>415109.43764556479</v>
      </c>
      <c r="R156" s="1">
        <v>343643.79176450858</v>
      </c>
      <c r="S156" s="1">
        <v>4355960.6433411604</v>
      </c>
    </row>
    <row r="157" spans="3:22" ht="15.75" thickBot="1" x14ac:dyDescent="0.25"/>
    <row r="158" spans="3:22" ht="15.75" x14ac:dyDescent="0.25">
      <c r="D158" s="84"/>
      <c r="E158" s="107" t="s">
        <v>57</v>
      </c>
      <c r="F158" s="107"/>
      <c r="G158" s="107" t="s">
        <v>58</v>
      </c>
      <c r="H158" s="107"/>
      <c r="I158" s="87" t="s">
        <v>59</v>
      </c>
    </row>
    <row r="159" spans="3:22" ht="15.75" x14ac:dyDescent="0.25">
      <c r="D159" s="77" t="s">
        <v>8</v>
      </c>
      <c r="E159" s="98">
        <f>D67</f>
        <v>145021.66</v>
      </c>
      <c r="F159" s="81"/>
      <c r="G159" s="98">
        <v>501633.59155000007</v>
      </c>
      <c r="H159" s="81"/>
      <c r="I159" s="112">
        <f>E159/G159</f>
        <v>0.28909878134735129</v>
      </c>
      <c r="O159" s="96"/>
      <c r="P159" s="96"/>
      <c r="Q159" s="96"/>
      <c r="R159" s="96"/>
      <c r="S159" s="96"/>
      <c r="T159" s="96"/>
    </row>
    <row r="160" spans="3:22" ht="15.75" x14ac:dyDescent="0.25">
      <c r="D160" s="77" t="s">
        <v>9</v>
      </c>
      <c r="E160" s="98">
        <f>E67</f>
        <v>278585.86</v>
      </c>
      <c r="F160" s="97"/>
      <c r="G160" s="98">
        <v>974006.01124999986</v>
      </c>
      <c r="H160" s="97"/>
      <c r="I160" s="112">
        <f t="shared" ref="I160:I174" si="10">E160/G160</f>
        <v>0.28602067829383743</v>
      </c>
    </row>
    <row r="161" spans="2:18" ht="15.75" x14ac:dyDescent="0.25">
      <c r="B161" s="9"/>
      <c r="C161" s="9"/>
      <c r="D161" s="77" t="s">
        <v>10</v>
      </c>
      <c r="E161" s="98">
        <f>F67</f>
        <v>679903.56</v>
      </c>
      <c r="F161" s="97"/>
      <c r="G161" s="98">
        <v>1881224.0232499999</v>
      </c>
      <c r="H161" s="97"/>
      <c r="I161" s="112">
        <f t="shared" si="10"/>
        <v>0.36141552074452021</v>
      </c>
    </row>
    <row r="162" spans="2:18" ht="15.75" x14ac:dyDescent="0.25">
      <c r="B162" s="9"/>
      <c r="C162" s="6"/>
      <c r="D162" s="77" t="s">
        <v>11</v>
      </c>
      <c r="E162" s="98">
        <f>G67</f>
        <v>194700.24000000002</v>
      </c>
      <c r="F162" s="66"/>
      <c r="G162" s="98">
        <v>651159.79110000003</v>
      </c>
      <c r="H162" s="97"/>
      <c r="I162" s="112">
        <f t="shared" si="10"/>
        <v>0.29900531737546965</v>
      </c>
    </row>
    <row r="163" spans="2:18" ht="15.75" x14ac:dyDescent="0.25">
      <c r="B163" s="9"/>
      <c r="C163" s="9"/>
      <c r="D163" s="77" t="s">
        <v>12</v>
      </c>
      <c r="E163" s="98">
        <f>H67</f>
        <v>148500.24</v>
      </c>
      <c r="F163" s="97"/>
      <c r="G163" s="98">
        <v>540608.46385000006</v>
      </c>
      <c r="H163" s="97"/>
      <c r="I163" s="112">
        <f t="shared" si="10"/>
        <v>0.2746909268538637</v>
      </c>
    </row>
    <row r="164" spans="2:18" ht="15.75" x14ac:dyDescent="0.25">
      <c r="B164" s="9"/>
      <c r="C164" s="9"/>
      <c r="D164" s="77" t="s">
        <v>13</v>
      </c>
      <c r="E164" s="98">
        <f>I67</f>
        <v>442967.9800000001</v>
      </c>
      <c r="F164" s="97"/>
      <c r="G164" s="98">
        <v>1250051.29125</v>
      </c>
      <c r="H164" s="97"/>
      <c r="I164" s="112">
        <f t="shared" si="10"/>
        <v>0.35435984355253958</v>
      </c>
    </row>
    <row r="165" spans="2:18" ht="15.75" x14ac:dyDescent="0.25">
      <c r="B165" s="9"/>
      <c r="C165" s="9"/>
      <c r="D165" s="77" t="s">
        <v>14</v>
      </c>
      <c r="E165" s="98">
        <f>J67</f>
        <v>1135492.1200000001</v>
      </c>
      <c r="F165" s="97"/>
      <c r="G165" s="98">
        <v>2447867.6255000001</v>
      </c>
      <c r="H165" s="97"/>
      <c r="I165" s="112">
        <f t="shared" si="10"/>
        <v>0.4638699038180486</v>
      </c>
    </row>
    <row r="166" spans="2:18" ht="15.75" x14ac:dyDescent="0.25">
      <c r="B166" s="9"/>
      <c r="C166" s="9"/>
      <c r="D166" s="77" t="s">
        <v>15</v>
      </c>
      <c r="E166" s="98">
        <f>K67</f>
        <v>124012.98000000001</v>
      </c>
      <c r="F166" s="97"/>
      <c r="G166" s="98">
        <v>423065.08334999997</v>
      </c>
      <c r="H166" s="97"/>
      <c r="I166" s="112">
        <f t="shared" si="10"/>
        <v>0.29312979227218472</v>
      </c>
    </row>
    <row r="167" spans="2:18" ht="15.75" x14ac:dyDescent="0.25">
      <c r="B167" s="9"/>
      <c r="C167" s="9"/>
      <c r="D167" s="77" t="s">
        <v>16</v>
      </c>
      <c r="E167" s="98">
        <f>L67</f>
        <v>75983.180000000008</v>
      </c>
      <c r="F167" s="97"/>
      <c r="G167" s="98">
        <v>279920.13594999997</v>
      </c>
      <c r="H167" s="97"/>
      <c r="I167" s="112">
        <f t="shared" si="10"/>
        <v>0.27144592418164698</v>
      </c>
    </row>
    <row r="168" spans="2:18" ht="15.75" x14ac:dyDescent="0.25">
      <c r="B168" s="9"/>
      <c r="C168" s="9"/>
      <c r="D168" s="77" t="s">
        <v>17</v>
      </c>
      <c r="E168" s="98">
        <f>M67</f>
        <v>454369.72000000003</v>
      </c>
      <c r="F168" s="97"/>
      <c r="G168" s="98">
        <v>1332230.2650000001</v>
      </c>
      <c r="H168" s="97"/>
      <c r="I168" s="112">
        <f t="shared" si="10"/>
        <v>0.34105944890840623</v>
      </c>
    </row>
    <row r="169" spans="2:18" ht="15.75" x14ac:dyDescent="0.25">
      <c r="B169" s="9"/>
      <c r="C169" s="9"/>
      <c r="D169" s="77" t="s">
        <v>18</v>
      </c>
      <c r="E169" s="98">
        <f>N67</f>
        <v>122275.02000000002</v>
      </c>
      <c r="F169" s="97"/>
      <c r="G169" s="98">
        <v>344378.71549999993</v>
      </c>
      <c r="H169" s="97"/>
      <c r="I169" s="112">
        <f t="shared" si="10"/>
        <v>0.35505974816843766</v>
      </c>
      <c r="R169" s="5"/>
    </row>
    <row r="170" spans="2:18" ht="15.75" x14ac:dyDescent="0.25">
      <c r="B170" s="9"/>
      <c r="C170" s="9"/>
      <c r="D170" s="77" t="s">
        <v>19</v>
      </c>
      <c r="E170" s="98">
        <f>O67</f>
        <v>529213.72</v>
      </c>
      <c r="F170" s="97"/>
      <c r="G170" s="98">
        <v>1562005.93875</v>
      </c>
      <c r="H170" s="97"/>
      <c r="I170" s="112">
        <f t="shared" si="10"/>
        <v>0.33880391032540175</v>
      </c>
    </row>
    <row r="171" spans="2:18" ht="15.75" x14ac:dyDescent="0.25">
      <c r="B171" s="9"/>
      <c r="C171" s="9"/>
      <c r="D171" s="77" t="s">
        <v>20</v>
      </c>
      <c r="E171" s="98">
        <f>P67</f>
        <v>43318.520000000004</v>
      </c>
      <c r="F171" s="97"/>
      <c r="G171" s="98">
        <v>168358.78150000001</v>
      </c>
      <c r="H171" s="97"/>
      <c r="I171" s="112">
        <f t="shared" si="10"/>
        <v>0.25729884484819698</v>
      </c>
    </row>
    <row r="172" spans="2:18" ht="15.75" x14ac:dyDescent="0.25">
      <c r="B172" s="9"/>
      <c r="C172" s="9"/>
      <c r="D172" s="77" t="s">
        <v>21</v>
      </c>
      <c r="E172" s="98">
        <f>Q67</f>
        <v>279914.88</v>
      </c>
      <c r="F172" s="97"/>
      <c r="G172" s="98">
        <v>995075.96000000008</v>
      </c>
      <c r="H172" s="97"/>
      <c r="I172" s="112">
        <f t="shared" si="10"/>
        <v>0.28130001251361753</v>
      </c>
    </row>
    <row r="173" spans="2:18" ht="15.75" x14ac:dyDescent="0.25">
      <c r="B173" s="9"/>
      <c r="C173" s="9"/>
      <c r="D173" s="77" t="s">
        <v>22</v>
      </c>
      <c r="E173" s="98">
        <f>R67</f>
        <v>138004.16000000003</v>
      </c>
      <c r="F173" s="97"/>
      <c r="G173" s="98">
        <v>539862.85990000004</v>
      </c>
      <c r="H173" s="97"/>
      <c r="I173" s="112">
        <f t="shared" si="10"/>
        <v>0.25562817939645421</v>
      </c>
    </row>
    <row r="174" spans="2:18" ht="16.5" thickBot="1" x14ac:dyDescent="0.3">
      <c r="B174" s="9"/>
      <c r="C174" s="9"/>
      <c r="D174" s="103" t="s">
        <v>23</v>
      </c>
      <c r="E174" s="104">
        <f>S67</f>
        <v>2960559.2800000003</v>
      </c>
      <c r="F174" s="105"/>
      <c r="G174" s="104">
        <v>3527549.4961999995</v>
      </c>
      <c r="H174" s="105"/>
      <c r="I174" s="113">
        <f t="shared" si="10"/>
        <v>0.83926796298371409</v>
      </c>
    </row>
    <row r="175" spans="2:18" x14ac:dyDescent="0.2">
      <c r="B175" s="9"/>
      <c r="C175" s="9"/>
      <c r="D175" s="21"/>
      <c r="E175" s="9"/>
      <c r="F175" s="9"/>
      <c r="G175" s="9"/>
      <c r="H175" s="9"/>
      <c r="I175" s="9"/>
    </row>
    <row r="176" spans="2:18" x14ac:dyDescent="0.2">
      <c r="B176" s="9"/>
      <c r="C176" s="9"/>
      <c r="D176" s="21"/>
      <c r="E176" s="9"/>
      <c r="F176" s="9"/>
      <c r="G176" s="9"/>
      <c r="H176" s="9"/>
      <c r="I176" s="9"/>
    </row>
    <row r="177" spans="2:18" x14ac:dyDescent="0.2">
      <c r="B177" s="9"/>
      <c r="C177" s="9"/>
      <c r="D177" s="21" t="s">
        <v>60</v>
      </c>
      <c r="E177" s="9"/>
      <c r="F177" s="9"/>
      <c r="G177" s="9"/>
      <c r="H177" s="9"/>
      <c r="I177" s="9"/>
    </row>
    <row r="178" spans="2:18" x14ac:dyDescent="0.2">
      <c r="B178" s="9"/>
      <c r="C178" s="9"/>
      <c r="D178" s="21"/>
      <c r="E178" s="9"/>
      <c r="F178" s="9"/>
      <c r="G178" s="9"/>
      <c r="H178" s="9"/>
      <c r="I178" s="9"/>
    </row>
    <row r="179" spans="2:18" x14ac:dyDescent="0.2">
      <c r="B179" s="9"/>
      <c r="C179" s="9"/>
      <c r="D179" s="21"/>
      <c r="E179" s="9"/>
      <c r="F179" s="9"/>
      <c r="G179" s="9"/>
      <c r="H179" s="9"/>
      <c r="I179" s="9"/>
    </row>
    <row r="180" spans="2:18" x14ac:dyDescent="0.2">
      <c r="B180" s="9"/>
      <c r="C180" s="9"/>
      <c r="D180" s="21"/>
      <c r="E180" s="9"/>
      <c r="F180" s="9"/>
      <c r="G180" s="9"/>
      <c r="H180" s="9"/>
      <c r="I180" s="9"/>
    </row>
    <row r="181" spans="2:18" x14ac:dyDescent="0.2">
      <c r="B181" s="9"/>
      <c r="C181" s="9"/>
      <c r="D181" s="21"/>
      <c r="E181" s="9"/>
      <c r="F181" s="9"/>
      <c r="G181" s="9"/>
      <c r="H181" s="9"/>
      <c r="I181" s="9"/>
    </row>
    <row r="182" spans="2:18" x14ac:dyDescent="0.2">
      <c r="B182" s="9"/>
      <c r="C182" s="9"/>
      <c r="D182" s="9"/>
      <c r="E182" s="9"/>
      <c r="F182" s="9"/>
      <c r="G182" s="9"/>
      <c r="H182" s="9"/>
      <c r="I182" s="9"/>
      <c r="J182" s="9"/>
      <c r="K182" s="9"/>
      <c r="L182" s="9"/>
      <c r="M182" s="9"/>
      <c r="N182" s="9"/>
      <c r="O182" s="9"/>
      <c r="P182" s="9"/>
      <c r="Q182" s="9"/>
      <c r="R182" s="9"/>
    </row>
    <row r="183" spans="2:18" x14ac:dyDescent="0.2">
      <c r="B183" s="9"/>
      <c r="C183" s="9"/>
      <c r="D183" s="36"/>
      <c r="E183" s="9"/>
      <c r="F183" s="9"/>
      <c r="G183" s="9"/>
      <c r="H183" s="9"/>
      <c r="I183" s="9"/>
      <c r="J183" s="9"/>
      <c r="K183" s="9"/>
      <c r="L183" s="9"/>
      <c r="M183" s="9"/>
      <c r="N183" s="9"/>
      <c r="O183" s="9"/>
      <c r="P183" s="9"/>
      <c r="Q183" s="9"/>
      <c r="R183" s="9"/>
    </row>
    <row r="184" spans="2:18" x14ac:dyDescent="0.2">
      <c r="B184" s="9"/>
      <c r="C184" s="9"/>
      <c r="D184" s="9"/>
      <c r="E184" s="9"/>
      <c r="F184" s="9"/>
      <c r="G184" s="9"/>
      <c r="H184" s="9"/>
      <c r="I184" s="9"/>
      <c r="J184" s="9"/>
      <c r="K184" s="9"/>
      <c r="L184" s="9"/>
      <c r="M184" s="9"/>
      <c r="N184" s="9"/>
      <c r="O184" s="9"/>
      <c r="P184" s="9"/>
      <c r="Q184" s="9"/>
      <c r="R184" s="9"/>
    </row>
    <row r="185" spans="2:18" x14ac:dyDescent="0.2">
      <c r="B185" s="9"/>
      <c r="C185" s="9"/>
      <c r="D185" s="9"/>
      <c r="E185" s="9"/>
      <c r="F185" s="9"/>
      <c r="G185" s="194"/>
      <c r="H185" s="194"/>
      <c r="I185" s="194"/>
      <c r="J185" s="9"/>
      <c r="K185" s="194"/>
      <c r="L185" s="195"/>
      <c r="M185" s="194"/>
      <c r="N185" s="9"/>
      <c r="O185" s="9"/>
      <c r="P185" s="194"/>
      <c r="Q185" s="194"/>
      <c r="R185" s="9"/>
    </row>
    <row r="186" spans="2:18" ht="15.75" x14ac:dyDescent="0.25">
      <c r="B186" s="9"/>
      <c r="C186" s="9"/>
      <c r="D186" s="9"/>
      <c r="E186" s="9"/>
      <c r="F186" s="114"/>
      <c r="G186" s="193"/>
      <c r="H186" s="96"/>
      <c r="I186" s="114"/>
      <c r="J186" s="9"/>
      <c r="K186" s="193"/>
      <c r="L186" s="193"/>
      <c r="M186" s="194"/>
      <c r="N186" s="9"/>
      <c r="O186" s="9"/>
      <c r="P186" s="196"/>
      <c r="Q186" s="194"/>
      <c r="R186" s="9"/>
    </row>
    <row r="187" spans="2:18" ht="15.75" x14ac:dyDescent="0.25">
      <c r="E187" s="9"/>
      <c r="F187" s="37"/>
      <c r="G187" s="193"/>
      <c r="H187" s="194"/>
      <c r="I187" s="114"/>
      <c r="J187" s="9"/>
      <c r="K187" s="193"/>
      <c r="L187" s="193"/>
      <c r="M187" s="194"/>
      <c r="N187" s="9"/>
      <c r="O187" s="9"/>
      <c r="P187" s="196"/>
      <c r="Q187" s="194"/>
      <c r="R187" s="9"/>
    </row>
    <row r="188" spans="2:18" ht="15.75" x14ac:dyDescent="0.25">
      <c r="E188" s="9"/>
      <c r="F188" s="37"/>
      <c r="G188" s="193"/>
      <c r="H188" s="194"/>
      <c r="I188" s="114"/>
      <c r="J188" s="9"/>
      <c r="K188" s="193"/>
      <c r="L188" s="193"/>
      <c r="M188" s="194"/>
      <c r="N188" s="9"/>
      <c r="O188" s="9"/>
      <c r="P188" s="196"/>
      <c r="Q188" s="194"/>
      <c r="R188" s="9"/>
    </row>
    <row r="189" spans="2:18" ht="15.75" x14ac:dyDescent="0.25">
      <c r="E189" s="9"/>
      <c r="F189" s="197"/>
      <c r="G189" s="193"/>
      <c r="H189" s="194"/>
      <c r="I189" s="114"/>
      <c r="J189" s="9"/>
      <c r="K189" s="193"/>
      <c r="L189" s="193"/>
      <c r="M189" s="194"/>
      <c r="N189" s="9"/>
      <c r="O189" s="9"/>
      <c r="P189" s="196"/>
      <c r="Q189" s="194"/>
      <c r="R189" s="9"/>
    </row>
    <row r="190" spans="2:18" ht="15.75" x14ac:dyDescent="0.25">
      <c r="E190" s="9"/>
      <c r="F190" s="197"/>
      <c r="G190" s="193"/>
      <c r="H190" s="194"/>
      <c r="I190" s="114"/>
      <c r="J190" s="9"/>
      <c r="K190" s="193"/>
      <c r="L190" s="193"/>
      <c r="M190" s="194"/>
      <c r="N190" s="9"/>
      <c r="O190" s="9"/>
      <c r="P190" s="196"/>
      <c r="Q190" s="194"/>
      <c r="R190" s="9"/>
    </row>
    <row r="191" spans="2:18" ht="15.75" x14ac:dyDescent="0.25">
      <c r="E191" s="9"/>
      <c r="F191" s="37"/>
      <c r="G191" s="193"/>
      <c r="H191" s="194"/>
      <c r="I191" s="114"/>
      <c r="J191" s="9"/>
      <c r="K191" s="193"/>
      <c r="L191" s="193"/>
      <c r="M191" s="194"/>
      <c r="N191" s="9"/>
      <c r="O191" s="9"/>
      <c r="P191" s="196"/>
      <c r="Q191" s="194"/>
      <c r="R191" s="9"/>
    </row>
    <row r="192" spans="2:18" ht="15.75" x14ac:dyDescent="0.25">
      <c r="E192" s="9"/>
      <c r="F192" s="37"/>
      <c r="G192" s="193"/>
      <c r="H192" s="194"/>
      <c r="I192" s="114"/>
      <c r="J192" s="9"/>
      <c r="K192" s="193"/>
      <c r="L192" s="193"/>
      <c r="M192" s="194"/>
      <c r="N192" s="9"/>
      <c r="O192" s="9"/>
      <c r="P192" s="196"/>
      <c r="Q192" s="194"/>
      <c r="R192" s="9"/>
    </row>
    <row r="193" spans="4:18" ht="15.75" x14ac:dyDescent="0.25">
      <c r="E193" s="9"/>
      <c r="F193" s="197"/>
      <c r="G193" s="193"/>
      <c r="H193" s="194"/>
      <c r="I193" s="114"/>
      <c r="J193" s="9"/>
      <c r="K193" s="193"/>
      <c r="L193" s="193"/>
      <c r="M193" s="194"/>
      <c r="N193" s="9"/>
      <c r="O193" s="9"/>
      <c r="P193" s="196"/>
      <c r="Q193" s="194"/>
      <c r="R193" s="9"/>
    </row>
    <row r="194" spans="4:18" ht="15.75" x14ac:dyDescent="0.25">
      <c r="E194" s="9"/>
      <c r="F194" s="197"/>
      <c r="G194" s="193"/>
      <c r="H194" s="194"/>
      <c r="I194" s="114"/>
      <c r="J194" s="9"/>
      <c r="K194" s="193"/>
      <c r="L194" s="193"/>
      <c r="M194" s="194"/>
      <c r="N194" s="9"/>
      <c r="O194" s="9"/>
      <c r="P194" s="196"/>
      <c r="Q194" s="194"/>
      <c r="R194" s="9"/>
    </row>
    <row r="195" spans="4:18" ht="15.75" x14ac:dyDescent="0.25">
      <c r="E195" s="9"/>
      <c r="F195" s="37"/>
      <c r="G195" s="193"/>
      <c r="H195" s="194"/>
      <c r="I195" s="114"/>
      <c r="J195" s="9"/>
      <c r="K195" s="193"/>
      <c r="L195" s="193"/>
      <c r="M195" s="194"/>
      <c r="N195" s="9"/>
      <c r="O195" s="9"/>
      <c r="P195" s="196"/>
      <c r="Q195" s="194"/>
      <c r="R195" s="9"/>
    </row>
    <row r="196" spans="4:18" ht="15.75" x14ac:dyDescent="0.25">
      <c r="E196" s="9"/>
      <c r="F196" s="37"/>
      <c r="G196" s="193"/>
      <c r="H196" s="194"/>
      <c r="I196" s="114"/>
      <c r="J196" s="9"/>
      <c r="K196" s="193"/>
      <c r="L196" s="193"/>
      <c r="M196" s="194"/>
      <c r="N196" s="9"/>
      <c r="O196" s="9"/>
      <c r="P196" s="196"/>
      <c r="Q196" s="194"/>
      <c r="R196" s="9"/>
    </row>
    <row r="197" spans="4:18" ht="15.75" x14ac:dyDescent="0.25">
      <c r="E197" s="9"/>
      <c r="F197" s="37"/>
      <c r="G197" s="193"/>
      <c r="H197" s="194"/>
      <c r="I197" s="114"/>
      <c r="J197" s="9"/>
      <c r="K197" s="193"/>
      <c r="L197" s="193"/>
      <c r="M197" s="194"/>
      <c r="N197" s="9"/>
      <c r="O197" s="9"/>
      <c r="P197" s="196"/>
      <c r="Q197" s="194"/>
      <c r="R197" s="9"/>
    </row>
    <row r="198" spans="4:18" ht="15.75" x14ac:dyDescent="0.25">
      <c r="E198" s="9"/>
      <c r="F198" s="197"/>
      <c r="G198" s="193"/>
      <c r="H198" s="194"/>
      <c r="I198" s="114"/>
      <c r="J198" s="9"/>
      <c r="K198" s="193"/>
      <c r="L198" s="193"/>
      <c r="M198" s="194"/>
      <c r="N198" s="9"/>
      <c r="O198" s="9"/>
      <c r="P198" s="196"/>
      <c r="Q198" s="194"/>
      <c r="R198" s="9"/>
    </row>
    <row r="199" spans="4:18" ht="15.75" x14ac:dyDescent="0.25">
      <c r="E199" s="9"/>
      <c r="F199" s="37"/>
      <c r="G199" s="193"/>
      <c r="H199" s="194"/>
      <c r="I199" s="114"/>
      <c r="J199" s="9"/>
      <c r="K199" s="193"/>
      <c r="L199" s="193"/>
      <c r="M199" s="194"/>
      <c r="N199" s="9"/>
      <c r="O199" s="9"/>
      <c r="P199" s="196"/>
      <c r="Q199" s="194"/>
      <c r="R199" s="9"/>
    </row>
    <row r="200" spans="4:18" ht="15.75" x14ac:dyDescent="0.25">
      <c r="E200" s="9"/>
      <c r="F200" s="197"/>
      <c r="G200" s="193"/>
      <c r="H200" s="194"/>
      <c r="I200" s="114"/>
      <c r="J200" s="9"/>
      <c r="K200" s="193"/>
      <c r="L200" s="193"/>
      <c r="M200" s="194"/>
      <c r="N200" s="9"/>
      <c r="O200" s="9"/>
      <c r="P200" s="196"/>
      <c r="Q200" s="194"/>
      <c r="R200" s="9"/>
    </row>
    <row r="201" spans="4:18" ht="15.75" x14ac:dyDescent="0.25">
      <c r="E201" s="9"/>
      <c r="F201" s="37"/>
      <c r="G201" s="193"/>
      <c r="H201" s="194"/>
      <c r="I201" s="114"/>
      <c r="J201" s="9"/>
      <c r="K201" s="193"/>
      <c r="L201" s="193"/>
      <c r="M201" s="194"/>
      <c r="N201" s="9"/>
      <c r="O201" s="9"/>
      <c r="P201" s="196"/>
      <c r="Q201" s="194"/>
      <c r="R201" s="9"/>
    </row>
    <row r="202" spans="4:18" x14ac:dyDescent="0.2">
      <c r="E202" s="9"/>
      <c r="F202" s="9"/>
      <c r="G202" s="36"/>
      <c r="H202" s="9"/>
      <c r="I202" s="9"/>
      <c r="J202" s="9"/>
      <c r="K202" s="36"/>
      <c r="L202" s="9"/>
      <c r="M202" s="9"/>
      <c r="N202" s="9"/>
      <c r="O202" s="9"/>
      <c r="P202" s="9"/>
      <c r="Q202" s="9"/>
      <c r="R202" s="9"/>
    </row>
    <row r="203" spans="4:18" x14ac:dyDescent="0.2">
      <c r="E203" s="9"/>
      <c r="F203" s="9"/>
      <c r="G203" s="9"/>
      <c r="H203" s="9"/>
      <c r="I203" s="9"/>
      <c r="J203" s="9"/>
      <c r="K203" s="9"/>
      <c r="L203" s="9"/>
      <c r="M203" s="9"/>
      <c r="N203" s="9"/>
      <c r="O203" s="9"/>
      <c r="P203" s="9"/>
      <c r="Q203" s="9"/>
      <c r="R203" s="9"/>
    </row>
    <row r="204" spans="4:18" x14ac:dyDescent="0.2">
      <c r="D204" s="119"/>
      <c r="E204" s="117"/>
      <c r="F204" s="117"/>
      <c r="G204" s="9"/>
      <c r="H204" s="9"/>
      <c r="I204" s="9"/>
      <c r="J204" s="9"/>
      <c r="K204" s="9"/>
      <c r="L204" s="9"/>
      <c r="M204" s="9"/>
      <c r="N204" s="9"/>
      <c r="O204" s="9"/>
      <c r="P204" s="9"/>
      <c r="Q204" s="9"/>
      <c r="R204" s="9"/>
    </row>
    <row r="205" spans="4:18" x14ac:dyDescent="0.2">
      <c r="D205" s="117"/>
      <c r="E205" s="117"/>
      <c r="F205" s="117"/>
      <c r="G205" s="116"/>
      <c r="H205" s="116"/>
      <c r="I205" s="116"/>
      <c r="J205" s="116"/>
      <c r="K205" s="116"/>
      <c r="L205" s="9"/>
      <c r="M205" s="9"/>
      <c r="N205" s="9"/>
      <c r="O205" s="9"/>
      <c r="P205" s="9"/>
      <c r="Q205" s="9"/>
      <c r="R205" s="9"/>
    </row>
    <row r="206" spans="4:18" x14ac:dyDescent="0.2">
      <c r="D206" s="117"/>
      <c r="E206" s="117"/>
      <c r="F206" s="118"/>
      <c r="G206" s="116"/>
      <c r="H206" s="116"/>
      <c r="I206" s="116"/>
      <c r="J206" s="116"/>
      <c r="K206" s="116"/>
      <c r="L206" s="9"/>
      <c r="M206" s="9"/>
      <c r="N206" s="9"/>
      <c r="O206" s="9"/>
      <c r="P206" s="9"/>
      <c r="Q206" s="9"/>
      <c r="R206" s="9"/>
    </row>
    <row r="207" spans="4:18" x14ac:dyDescent="0.2">
      <c r="D207" s="117"/>
      <c r="E207" s="117"/>
      <c r="F207" s="118"/>
      <c r="G207" s="116"/>
      <c r="H207" s="116"/>
      <c r="I207" s="116"/>
      <c r="J207" s="116"/>
      <c r="K207" s="116"/>
      <c r="L207" s="9"/>
      <c r="M207" s="9"/>
      <c r="N207" s="9"/>
      <c r="O207" s="9"/>
      <c r="P207" s="9"/>
      <c r="Q207" s="9"/>
      <c r="R207" s="9"/>
    </row>
    <row r="208" spans="4:18" x14ac:dyDescent="0.2">
      <c r="D208" s="117"/>
      <c r="E208" s="117"/>
      <c r="F208" s="118"/>
      <c r="G208" s="116"/>
      <c r="H208" s="116"/>
      <c r="I208" s="116"/>
      <c r="J208" s="116"/>
      <c r="K208" s="116"/>
    </row>
    <row r="209" spans="4:11" x14ac:dyDescent="0.2">
      <c r="D209" s="117"/>
      <c r="E209" s="117"/>
      <c r="F209" s="117"/>
      <c r="G209" s="116"/>
      <c r="H209" s="116"/>
      <c r="I209" s="116"/>
      <c r="J209" s="116"/>
      <c r="K209" s="116"/>
    </row>
    <row r="210" spans="4:11" x14ac:dyDescent="0.2">
      <c r="D210" s="117"/>
      <c r="E210" s="117"/>
      <c r="F210" s="117"/>
      <c r="G210" s="116"/>
      <c r="H210" s="116"/>
      <c r="I210" s="116"/>
      <c r="J210" s="116"/>
      <c r="K210" s="116"/>
    </row>
    <row r="211" spans="4:11" x14ac:dyDescent="0.2">
      <c r="D211" s="116"/>
      <c r="E211" s="116"/>
      <c r="F211" s="116"/>
      <c r="G211" s="116"/>
      <c r="H211" s="116"/>
      <c r="I211" s="116"/>
      <c r="J211" s="116"/>
      <c r="K211" s="116"/>
    </row>
    <row r="212" spans="4:11" x14ac:dyDescent="0.2">
      <c r="D212" s="116"/>
      <c r="E212" s="116"/>
      <c r="F212" s="116"/>
      <c r="G212" s="116"/>
      <c r="H212" s="116"/>
      <c r="I212" s="116"/>
      <c r="J212" s="116"/>
      <c r="K212" s="116"/>
    </row>
    <row r="213" spans="4:11" x14ac:dyDescent="0.2">
      <c r="D213" s="116"/>
      <c r="E213" s="116"/>
      <c r="F213" s="116"/>
      <c r="G213" s="116"/>
      <c r="H213" s="116"/>
      <c r="I213" s="116"/>
      <c r="J213" s="116"/>
      <c r="K213" s="116"/>
    </row>
    <row r="214" spans="4:11" x14ac:dyDescent="0.2">
      <c r="D214" s="116"/>
      <c r="E214" s="116"/>
      <c r="F214" s="116"/>
      <c r="G214" s="116"/>
      <c r="H214" s="116"/>
      <c r="I214" s="116"/>
      <c r="J214" s="116"/>
      <c r="K214" s="116"/>
    </row>
    <row r="215" spans="4:11" x14ac:dyDescent="0.2">
      <c r="D215" s="116"/>
      <c r="E215" s="116"/>
      <c r="F215" s="116"/>
      <c r="G215" s="116"/>
      <c r="H215" s="116"/>
      <c r="I215" s="116"/>
      <c r="J215" s="116"/>
      <c r="K215" s="116"/>
    </row>
    <row r="216" spans="4:11" x14ac:dyDescent="0.2">
      <c r="D216" s="116"/>
      <c r="E216" s="116"/>
      <c r="F216" s="116"/>
      <c r="G216" s="116"/>
      <c r="H216" s="116"/>
      <c r="I216" s="116"/>
      <c r="J216" s="116"/>
      <c r="K216" s="116"/>
    </row>
    <row r="217" spans="4:11" x14ac:dyDescent="0.2">
      <c r="D217" s="116"/>
      <c r="E217" s="116"/>
      <c r="F217" s="116"/>
      <c r="G217" s="116"/>
      <c r="H217" s="116"/>
      <c r="I217" s="116"/>
      <c r="J217" s="116"/>
      <c r="K217" s="116"/>
    </row>
    <row r="218" spans="4:11" x14ac:dyDescent="0.2">
      <c r="D218" s="116"/>
      <c r="E218" s="116"/>
      <c r="F218" s="116"/>
      <c r="G218" s="116"/>
      <c r="H218" s="116"/>
      <c r="I218" s="116"/>
      <c r="J218" s="116"/>
      <c r="K218" s="116"/>
    </row>
    <row r="219" spans="4:11" x14ac:dyDescent="0.2">
      <c r="D219" s="116"/>
      <c r="E219" s="116"/>
      <c r="F219" s="116"/>
      <c r="G219" s="116"/>
      <c r="H219" s="116"/>
      <c r="I219" s="116"/>
      <c r="J219" s="116"/>
      <c r="K219" s="116"/>
    </row>
    <row r="220" spans="4:11" x14ac:dyDescent="0.2">
      <c r="D220" s="116"/>
      <c r="E220" s="116"/>
      <c r="F220" s="116"/>
      <c r="G220" s="116"/>
      <c r="H220" s="116"/>
      <c r="I220" s="116"/>
      <c r="J220" s="116"/>
      <c r="K220" s="116"/>
    </row>
    <row r="221" spans="4:11" x14ac:dyDescent="0.2">
      <c r="D221" s="116"/>
      <c r="E221" s="116"/>
      <c r="F221" s="116"/>
      <c r="G221" s="116"/>
      <c r="H221" s="116"/>
      <c r="I221" s="116"/>
      <c r="J221" s="116"/>
      <c r="K221" s="116"/>
    </row>
    <row r="222" spans="4:11" x14ac:dyDescent="0.2">
      <c r="D222" s="116"/>
      <c r="E222" s="116"/>
      <c r="F222" s="116"/>
      <c r="G222" s="116"/>
      <c r="H222" s="116"/>
      <c r="I222" s="116"/>
      <c r="J222" s="116"/>
      <c r="K222" s="116"/>
    </row>
    <row r="223" spans="4:11" x14ac:dyDescent="0.2">
      <c r="D223" s="116"/>
      <c r="E223" s="116"/>
      <c r="F223" s="116"/>
      <c r="G223" s="116"/>
      <c r="H223" s="116"/>
      <c r="I223" s="116"/>
      <c r="J223" s="116"/>
      <c r="K223" s="116"/>
    </row>
    <row r="224" spans="4:11" x14ac:dyDescent="0.2">
      <c r="D224" s="116"/>
      <c r="E224" s="116"/>
      <c r="F224" s="116"/>
      <c r="G224" s="116"/>
      <c r="H224" s="116"/>
      <c r="I224" s="116"/>
      <c r="J224" s="116"/>
      <c r="K224" s="116"/>
    </row>
    <row r="225" spans="4:11" x14ac:dyDescent="0.2">
      <c r="D225" s="116"/>
      <c r="E225" s="116"/>
      <c r="F225" s="116"/>
      <c r="G225" s="116"/>
      <c r="H225" s="116"/>
      <c r="I225" s="116"/>
      <c r="J225" s="116"/>
      <c r="K225" s="116"/>
    </row>
    <row r="226" spans="4:11" x14ac:dyDescent="0.2">
      <c r="D226" s="116"/>
      <c r="E226" s="116"/>
      <c r="F226" s="116"/>
      <c r="G226" s="116"/>
      <c r="H226" s="116"/>
      <c r="I226" s="116"/>
      <c r="J226" s="116"/>
      <c r="K226" s="116"/>
    </row>
  </sheetData>
  <mergeCells count="1">
    <mergeCell ref="C2:D2"/>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A300"/>
  <sheetViews>
    <sheetView tabSelected="1" topLeftCell="J1" zoomScale="85" zoomScaleNormal="85" workbookViewId="0">
      <selection activeCell="P28" sqref="P28"/>
    </sheetView>
  </sheetViews>
  <sheetFormatPr defaultColWidth="8.88671875" defaultRowHeight="15" x14ac:dyDescent="0.2"/>
  <cols>
    <col min="1" max="1" width="3" style="1" customWidth="1"/>
    <col min="2" max="2" width="3.88671875" style="1" customWidth="1"/>
    <col min="3" max="3" width="11" style="1" customWidth="1"/>
    <col min="4" max="4" width="22.21875" style="1" customWidth="1"/>
    <col min="5" max="5" width="27.109375" style="1" customWidth="1"/>
    <col min="6" max="6" width="15.44140625" style="1" customWidth="1"/>
    <col min="7" max="7" width="12.88671875" style="1" customWidth="1"/>
    <col min="8" max="8" width="15.5546875" style="1" customWidth="1"/>
    <col min="9" max="9" width="15.77734375" style="1" customWidth="1"/>
    <col min="10" max="10" width="17" style="1" customWidth="1"/>
    <col min="11" max="11" width="14" style="1" customWidth="1"/>
    <col min="12" max="12" width="20.21875" style="1" customWidth="1"/>
    <col min="13" max="13" width="14" style="1" customWidth="1"/>
    <col min="14" max="14" width="10.6640625" style="1" customWidth="1"/>
    <col min="15" max="15" width="10" style="1" customWidth="1"/>
    <col min="16" max="16" width="12.109375" style="1" customWidth="1"/>
    <col min="17" max="17" width="12.77734375" style="1" customWidth="1"/>
    <col min="18" max="18" width="9.77734375" style="1" customWidth="1"/>
    <col min="19" max="19" width="27.5546875" style="1" customWidth="1"/>
    <col min="20" max="20" width="8.88671875" style="1"/>
    <col min="21" max="21" width="10.5546875" style="1" customWidth="1"/>
    <col min="22" max="22" width="18.77734375" style="1" customWidth="1"/>
    <col min="23" max="23" width="14" style="1" customWidth="1"/>
    <col min="24" max="24" width="12.77734375" style="1" customWidth="1"/>
    <col min="25" max="25" width="12.33203125" style="1" customWidth="1"/>
    <col min="26" max="26" width="11.88671875" style="1" customWidth="1"/>
    <col min="27" max="27" width="15.88671875" style="1" customWidth="1"/>
    <col min="28" max="28" width="14.6640625" style="1" customWidth="1"/>
    <col min="29" max="29" width="12.6640625" style="1" customWidth="1"/>
    <col min="30" max="31" width="14.77734375" style="1" customWidth="1"/>
    <col min="32" max="32" width="14.33203125" style="1" customWidth="1"/>
    <col min="33" max="33" width="13.109375" style="1" customWidth="1"/>
    <col min="34" max="34" width="15.109375" style="1" customWidth="1"/>
    <col min="35" max="35" width="10.77734375" style="1" customWidth="1"/>
    <col min="36" max="37" width="15" style="1" customWidth="1"/>
    <col min="38" max="38" width="6.6640625" style="1" customWidth="1"/>
    <col min="39" max="39" width="15.5546875" style="1" customWidth="1"/>
    <col min="40" max="40" width="21.44140625" style="1" customWidth="1"/>
    <col min="41" max="41" width="11.109375" style="1" customWidth="1"/>
    <col min="42" max="44" width="8.88671875" style="1"/>
    <col min="45" max="45" width="11.21875" style="1" customWidth="1"/>
    <col min="46" max="46" width="12.44140625" style="1" customWidth="1"/>
    <col min="47" max="47" width="8.88671875" style="1"/>
    <col min="48" max="48" width="11.6640625" style="1" bestFit="1" customWidth="1"/>
    <col min="49" max="49" width="12.44140625" style="1" customWidth="1"/>
    <col min="50" max="50" width="11.77734375" style="1" customWidth="1"/>
    <col min="51" max="51" width="10.88671875" style="1" customWidth="1"/>
    <col min="52" max="52" width="8.88671875" style="1"/>
    <col min="53" max="53" width="11.6640625" style="1" bestFit="1" customWidth="1"/>
    <col min="54" max="16384" width="8.88671875" style="1"/>
  </cols>
  <sheetData>
    <row r="2" spans="2:41" ht="20.25" thickBot="1" x14ac:dyDescent="0.35">
      <c r="B2" s="120"/>
      <c r="C2" s="120"/>
      <c r="D2" s="120"/>
      <c r="E2" s="120"/>
      <c r="F2" s="120"/>
      <c r="G2" s="120"/>
      <c r="H2" s="120"/>
      <c r="I2" s="120"/>
      <c r="J2" s="120"/>
      <c r="K2" s="120"/>
      <c r="L2" s="120"/>
      <c r="M2" s="120"/>
      <c r="N2" s="120"/>
      <c r="O2" s="120"/>
      <c r="P2" s="120"/>
      <c r="Q2" s="120"/>
    </row>
    <row r="3" spans="2:41" ht="21" thickTop="1" thickBot="1" x14ac:dyDescent="0.35">
      <c r="B3" s="120" t="s">
        <v>483</v>
      </c>
      <c r="C3" s="120"/>
      <c r="D3" s="120"/>
      <c r="E3" s="120"/>
      <c r="F3" s="120"/>
      <c r="G3" s="120"/>
      <c r="H3" s="120"/>
      <c r="I3" s="120"/>
      <c r="J3" s="120"/>
      <c r="K3" s="120"/>
      <c r="L3" s="120"/>
      <c r="M3" s="120"/>
      <c r="N3" s="120"/>
      <c r="O3" s="120"/>
      <c r="P3" s="120"/>
      <c r="Q3" s="120"/>
    </row>
    <row r="4" spans="2:41" ht="16.5" thickTop="1" thickBot="1" x14ac:dyDescent="0.25"/>
    <row r="5" spans="2:41" ht="16.5" customHeight="1" x14ac:dyDescent="0.25">
      <c r="B5" s="1399" t="s">
        <v>515</v>
      </c>
      <c r="C5" s="1400"/>
      <c r="D5" s="1400"/>
      <c r="E5" s="1401"/>
      <c r="I5" s="1" t="s">
        <v>617</v>
      </c>
      <c r="J5" s="1" t="s">
        <v>618</v>
      </c>
    </row>
    <row r="6" spans="2:41" ht="15" customHeight="1" x14ac:dyDescent="0.25">
      <c r="B6" s="1402" t="s">
        <v>516</v>
      </c>
      <c r="C6" s="1403"/>
      <c r="D6" s="1403"/>
      <c r="E6" s="1404"/>
      <c r="J6" s="1" t="s">
        <v>619</v>
      </c>
    </row>
    <row r="7" spans="2:41" ht="15" customHeight="1" x14ac:dyDescent="0.25">
      <c r="B7" s="1402" t="s">
        <v>517</v>
      </c>
      <c r="C7" s="1403"/>
      <c r="D7" s="1403"/>
      <c r="E7" s="1404"/>
      <c r="J7" s="1" t="s">
        <v>620</v>
      </c>
    </row>
    <row r="8" spans="2:41" ht="15" customHeight="1" x14ac:dyDescent="0.25">
      <c r="B8" s="1402" t="s">
        <v>606</v>
      </c>
      <c r="C8" s="1403"/>
      <c r="D8" s="1403"/>
      <c r="E8" s="1404"/>
      <c r="J8" s="1" t="s">
        <v>623</v>
      </c>
    </row>
    <row r="9" spans="2:41" ht="15" customHeight="1" thickBot="1" x14ac:dyDescent="0.3">
      <c r="B9" s="1405" t="s">
        <v>604</v>
      </c>
      <c r="C9" s="1406"/>
      <c r="D9" s="1406"/>
      <c r="E9" s="1407"/>
    </row>
    <row r="10" spans="2:41" ht="15.75" thickBot="1" x14ac:dyDescent="0.25"/>
    <row r="11" spans="2:41" ht="17.25" thickBot="1" x14ac:dyDescent="0.3">
      <c r="B11" s="848" t="s">
        <v>484</v>
      </c>
      <c r="C11" s="849"/>
      <c r="D11" s="849"/>
      <c r="E11" s="849"/>
      <c r="F11" s="849"/>
      <c r="G11" s="849"/>
      <c r="H11" s="849"/>
      <c r="I11" s="850"/>
      <c r="J11" s="841"/>
      <c r="K11" s="842"/>
      <c r="L11" s="842"/>
      <c r="M11" s="842"/>
      <c r="N11" s="842"/>
      <c r="O11" s="842"/>
      <c r="P11" s="842"/>
      <c r="Q11" s="843"/>
      <c r="T11" s="848" t="s">
        <v>503</v>
      </c>
      <c r="U11" s="849"/>
      <c r="V11" s="849"/>
      <c r="W11" s="849"/>
      <c r="X11" s="849"/>
      <c r="Y11" s="849"/>
      <c r="Z11" s="849"/>
      <c r="AA11" s="850"/>
      <c r="AB11" s="841"/>
      <c r="AC11" s="842"/>
      <c r="AD11" s="842"/>
      <c r="AE11" s="842"/>
      <c r="AF11" s="842"/>
      <c r="AG11" s="842"/>
      <c r="AH11" s="842"/>
      <c r="AI11" s="842"/>
      <c r="AJ11" s="842"/>
      <c r="AK11" s="842"/>
      <c r="AL11" s="842"/>
      <c r="AM11" s="842"/>
      <c r="AN11" s="842"/>
      <c r="AO11" s="843"/>
    </row>
    <row r="12" spans="2:41" ht="17.25" thickTop="1" x14ac:dyDescent="0.25">
      <c r="B12" s="1031"/>
      <c r="C12" s="1032"/>
      <c r="D12" s="1032"/>
      <c r="E12" s="1032"/>
      <c r="F12" s="1032"/>
      <c r="G12" s="1032"/>
      <c r="H12" s="1032"/>
      <c r="I12" s="880"/>
      <c r="J12" s="839"/>
      <c r="K12" s="666"/>
      <c r="L12" s="666"/>
      <c r="M12" s="666"/>
      <c r="N12" s="666"/>
      <c r="O12" s="666"/>
      <c r="P12" s="666"/>
      <c r="Q12" s="844"/>
      <c r="T12" s="1031"/>
      <c r="U12" s="1032"/>
      <c r="V12" s="1032"/>
      <c r="W12" s="1032"/>
      <c r="X12" s="1032"/>
      <c r="Y12" s="1032"/>
      <c r="Z12" s="1032"/>
      <c r="AA12" s="880"/>
      <c r="AB12" s="839"/>
      <c r="AC12" s="1166" t="s">
        <v>614</v>
      </c>
      <c r="AD12" s="666"/>
      <c r="AE12" s="666"/>
      <c r="AF12" s="666" t="s">
        <v>608</v>
      </c>
      <c r="AG12" s="666"/>
      <c r="AH12" s="666"/>
      <c r="AI12" s="666"/>
      <c r="AJ12" s="666"/>
      <c r="AK12" s="666"/>
      <c r="AL12" s="666"/>
      <c r="AM12" s="666"/>
      <c r="AN12" s="666"/>
      <c r="AO12" s="844"/>
    </row>
    <row r="13" spans="2:41" ht="18.75" thickBot="1" x14ac:dyDescent="0.3">
      <c r="B13" s="831"/>
      <c r="C13" s="832"/>
      <c r="D13" s="832"/>
      <c r="E13" s="832"/>
      <c r="F13" s="832"/>
      <c r="G13" s="1005">
        <v>2013</v>
      </c>
      <c r="H13" s="832"/>
      <c r="I13" s="839"/>
      <c r="J13" s="839"/>
      <c r="K13" s="949"/>
      <c r="L13" s="1005">
        <v>2014</v>
      </c>
      <c r="M13" s="666"/>
      <c r="N13" s="949"/>
      <c r="O13" s="666"/>
      <c r="P13" s="1005">
        <v>2015</v>
      </c>
      <c r="Q13" s="844"/>
      <c r="T13" s="1031"/>
      <c r="U13" s="1032"/>
      <c r="V13" s="1032"/>
      <c r="W13" s="1032"/>
      <c r="X13" s="1032"/>
      <c r="Y13" s="1032"/>
      <c r="Z13" s="1032"/>
      <c r="AA13" s="880"/>
      <c r="AB13" s="839"/>
      <c r="AC13" s="1157">
        <v>2013</v>
      </c>
      <c r="AD13" s="1157">
        <v>2014</v>
      </c>
      <c r="AE13" s="1157">
        <v>2015</v>
      </c>
      <c r="AF13" s="666"/>
      <c r="AG13" s="666"/>
      <c r="AH13" s="666"/>
      <c r="AI13" s="666"/>
      <c r="AJ13" s="666"/>
      <c r="AK13" s="666"/>
      <c r="AL13" s="666"/>
      <c r="AM13" s="666"/>
      <c r="AN13" s="666"/>
      <c r="AO13" s="844"/>
    </row>
    <row r="14" spans="2:41" ht="17.25" thickBot="1" x14ac:dyDescent="0.3">
      <c r="B14" s="1333" t="s">
        <v>480</v>
      </c>
      <c r="C14" s="832"/>
      <c r="D14" s="832"/>
      <c r="E14" s="832"/>
      <c r="F14" s="832"/>
      <c r="G14" s="838" t="s">
        <v>485</v>
      </c>
      <c r="H14" s="832"/>
      <c r="I14" s="839"/>
      <c r="J14" s="839"/>
      <c r="K14" s="949"/>
      <c r="L14" s="838" t="s">
        <v>485</v>
      </c>
      <c r="M14" s="666"/>
      <c r="N14" s="949"/>
      <c r="O14" s="666"/>
      <c r="P14" s="838" t="s">
        <v>485</v>
      </c>
      <c r="Q14" s="844"/>
      <c r="T14" s="1031"/>
      <c r="U14" s="1032"/>
      <c r="V14" s="1032"/>
      <c r="W14" s="1032"/>
      <c r="X14" s="1032"/>
      <c r="Y14" s="1032"/>
      <c r="Z14" s="1032"/>
      <c r="AA14" s="880"/>
      <c r="AB14" s="839"/>
      <c r="AC14" s="1050">
        <f>AN36/AB36</f>
        <v>1.0289367896927117</v>
      </c>
      <c r="AD14" s="1050">
        <f>AN59/AB59</f>
        <v>1.0290760510109327</v>
      </c>
      <c r="AE14" s="1050">
        <f>AN80/AB80</f>
        <v>1.0425865943077122</v>
      </c>
      <c r="AF14" s="666"/>
      <c r="AG14" s="666"/>
      <c r="AH14" s="666"/>
      <c r="AI14" s="666"/>
      <c r="AJ14" s="666"/>
      <c r="AK14" s="666"/>
      <c r="AL14" s="666"/>
      <c r="AM14" s="666"/>
      <c r="AN14" s="666"/>
      <c r="AO14" s="844"/>
    </row>
    <row r="15" spans="2:41" ht="18.75" thickBot="1" x14ac:dyDescent="0.3">
      <c r="B15" s="833" t="s">
        <v>481</v>
      </c>
      <c r="C15" s="834"/>
      <c r="D15" s="834"/>
      <c r="E15" s="832"/>
      <c r="F15" s="832"/>
      <c r="G15" s="852">
        <v>1.19</v>
      </c>
      <c r="H15" s="860" t="s">
        <v>488</v>
      </c>
      <c r="I15" s="839"/>
      <c r="J15" s="839"/>
      <c r="K15" s="949"/>
      <c r="L15" s="852">
        <v>1.19</v>
      </c>
      <c r="M15" s="666"/>
      <c r="N15" s="949"/>
      <c r="O15" s="666"/>
      <c r="P15" s="852">
        <v>1.19</v>
      </c>
      <c r="Q15" s="844"/>
      <c r="T15" s="1031"/>
      <c r="U15" s="1032"/>
      <c r="V15" s="1032"/>
      <c r="W15" s="1032"/>
      <c r="X15" s="1032"/>
      <c r="Y15" s="1032"/>
      <c r="Z15" s="1032"/>
      <c r="AA15" s="880"/>
      <c r="AB15" s="1042"/>
      <c r="AC15" s="1050"/>
      <c r="AD15" s="666"/>
      <c r="AE15" s="666"/>
      <c r="AF15" s="666"/>
      <c r="AG15" s="666"/>
      <c r="AH15" s="666"/>
      <c r="AI15" s="666"/>
      <c r="AJ15" s="666"/>
      <c r="AK15" s="666"/>
      <c r="AL15" s="666"/>
      <c r="AM15" s="666"/>
      <c r="AN15" s="666"/>
      <c r="AO15" s="844"/>
    </row>
    <row r="16" spans="2:41" ht="18.75" thickBot="1" x14ac:dyDescent="0.3">
      <c r="B16" s="858" t="s">
        <v>487</v>
      </c>
      <c r="C16" s="832"/>
      <c r="D16" s="832"/>
      <c r="E16" s="832"/>
      <c r="F16" s="928"/>
      <c r="G16" s="852">
        <v>0.9</v>
      </c>
      <c r="H16" s="860" t="s">
        <v>489</v>
      </c>
      <c r="I16" s="839"/>
      <c r="J16" s="839"/>
      <c r="K16" s="949"/>
      <c r="L16" s="852">
        <v>0.9</v>
      </c>
      <c r="M16" s="666"/>
      <c r="N16" s="949"/>
      <c r="O16" s="666"/>
      <c r="P16" s="852">
        <v>0.9</v>
      </c>
      <c r="Q16" s="844"/>
      <c r="T16" s="1031"/>
      <c r="U16" s="1032"/>
      <c r="V16" s="1032"/>
      <c r="W16" s="1032"/>
      <c r="X16" s="1032"/>
      <c r="Y16" s="1032"/>
      <c r="Z16" s="1032"/>
      <c r="AA16" s="880"/>
      <c r="AB16" s="839"/>
      <c r="AC16" s="666"/>
      <c r="AD16" s="666"/>
      <c r="AE16" s="666"/>
      <c r="AF16" s="666"/>
      <c r="AG16" s="666"/>
      <c r="AH16" s="666"/>
      <c r="AI16" s="666"/>
      <c r="AJ16" s="666"/>
      <c r="AK16" s="666"/>
      <c r="AL16" s="666"/>
      <c r="AM16" s="666"/>
      <c r="AN16" s="666"/>
      <c r="AO16" s="844"/>
    </row>
    <row r="17" spans="2:52" ht="15.75" thickBot="1" x14ac:dyDescent="0.25">
      <c r="B17" s="664"/>
      <c r="C17" s="666"/>
      <c r="D17" s="666"/>
      <c r="E17" s="666"/>
      <c r="F17" s="666"/>
      <c r="G17" s="666"/>
      <c r="H17" s="666"/>
      <c r="I17" s="666"/>
      <c r="J17" s="666"/>
      <c r="K17" s="666"/>
      <c r="L17" s="666"/>
      <c r="M17" s="666"/>
      <c r="N17" s="666"/>
      <c r="O17" s="666"/>
      <c r="P17" s="666"/>
      <c r="Q17" s="844"/>
      <c r="T17" s="831"/>
      <c r="U17" s="832"/>
      <c r="V17" s="832"/>
      <c r="W17" s="832"/>
      <c r="X17" s="832"/>
      <c r="Y17" s="832"/>
      <c r="Z17" s="832"/>
      <c r="AA17" s="839"/>
      <c r="AB17" s="839"/>
      <c r="AC17" s="666"/>
      <c r="AD17" s="666"/>
      <c r="AE17" s="666"/>
      <c r="AF17" s="666"/>
      <c r="AG17" s="666"/>
      <c r="AH17" s="666"/>
      <c r="AI17" s="666"/>
      <c r="AJ17" s="666" t="s">
        <v>628</v>
      </c>
      <c r="AK17" s="666"/>
      <c r="AL17" s="666"/>
      <c r="AM17" s="666"/>
      <c r="AN17" s="666"/>
      <c r="AO17" s="844"/>
    </row>
    <row r="18" spans="2:52" ht="21" customHeight="1" thickBot="1" x14ac:dyDescent="0.3">
      <c r="B18" s="664"/>
      <c r="C18" s="666"/>
      <c r="D18" s="666"/>
      <c r="E18" s="666"/>
      <c r="F18" s="666"/>
      <c r="G18" s="666"/>
      <c r="H18" s="666"/>
      <c r="I18" s="666"/>
      <c r="J18" s="666"/>
      <c r="K18" s="666"/>
      <c r="L18" s="666"/>
      <c r="M18" s="666"/>
      <c r="N18" s="666"/>
      <c r="O18" s="666"/>
      <c r="P18" s="666"/>
      <c r="Q18" s="844"/>
      <c r="T18" s="851"/>
      <c r="U18" s="880">
        <v>2013</v>
      </c>
      <c r="V18" s="839"/>
      <c r="W18" s="839"/>
      <c r="X18" s="839"/>
      <c r="Y18" s="870"/>
      <c r="Z18" s="839"/>
      <c r="AA18" s="839"/>
      <c r="AB18" s="839"/>
      <c r="AC18" s="666"/>
      <c r="AD18" s="666" t="s">
        <v>609</v>
      </c>
      <c r="AE18" s="666"/>
      <c r="AF18" s="977" t="s">
        <v>521</v>
      </c>
      <c r="AG18" s="977"/>
      <c r="AH18" s="555"/>
      <c r="AI18" s="666"/>
      <c r="AJ18" s="977" t="s">
        <v>611</v>
      </c>
      <c r="AK18" s="555"/>
      <c r="AL18" s="666"/>
      <c r="AM18" s="666"/>
      <c r="AN18" s="666"/>
      <c r="AO18" s="844"/>
    </row>
    <row r="19" spans="2:52" ht="16.5" thickBot="1" x14ac:dyDescent="0.3">
      <c r="B19" s="1333" t="s">
        <v>750</v>
      </c>
      <c r="C19" s="832"/>
      <c r="D19" s="666"/>
      <c r="E19" s="666"/>
      <c r="F19" s="666"/>
      <c r="G19" s="666"/>
      <c r="H19" s="1033">
        <v>2013</v>
      </c>
      <c r="I19" s="666"/>
      <c r="J19" s="666"/>
      <c r="K19" s="666"/>
      <c r="L19" s="1034">
        <v>2014</v>
      </c>
      <c r="M19" s="1035"/>
      <c r="N19" s="666"/>
      <c r="O19" s="666"/>
      <c r="P19" s="1034">
        <v>2015</v>
      </c>
      <c r="Q19" s="844"/>
      <c r="T19" s="871"/>
      <c r="U19" s="881"/>
      <c r="V19" s="894" t="s">
        <v>480</v>
      </c>
      <c r="W19" s="886" t="s">
        <v>500</v>
      </c>
      <c r="X19" s="886" t="s">
        <v>501</v>
      </c>
      <c r="Y19" s="886" t="s">
        <v>741</v>
      </c>
      <c r="Z19" s="886" t="s">
        <v>491</v>
      </c>
      <c r="AA19" s="886" t="s">
        <v>496</v>
      </c>
      <c r="AB19" s="883" t="s">
        <v>502</v>
      </c>
      <c r="AC19" s="1035"/>
      <c r="AD19" s="887" t="s">
        <v>610</v>
      </c>
      <c r="AE19" s="887"/>
      <c r="AF19" s="929" t="s">
        <v>721</v>
      </c>
      <c r="AG19" s="884" t="s">
        <v>724</v>
      </c>
      <c r="AH19" s="884" t="s">
        <v>725</v>
      </c>
      <c r="AI19" s="949"/>
      <c r="AJ19" s="884" t="s">
        <v>523</v>
      </c>
      <c r="AK19" s="884" t="s">
        <v>629</v>
      </c>
      <c r="AL19" s="949"/>
      <c r="AM19" s="884" t="s">
        <v>526</v>
      </c>
      <c r="AN19" s="884" t="s">
        <v>527</v>
      </c>
      <c r="AO19" s="884" t="s">
        <v>722</v>
      </c>
      <c r="AS19" s="1" t="s">
        <v>781</v>
      </c>
    </row>
    <row r="20" spans="2:52" ht="18.75" thickBot="1" x14ac:dyDescent="0.25">
      <c r="B20" s="858" t="s">
        <v>585</v>
      </c>
      <c r="C20" s="832"/>
      <c r="D20" s="666"/>
      <c r="E20" s="666"/>
      <c r="F20" s="666"/>
      <c r="G20" s="1003" t="s">
        <v>227</v>
      </c>
      <c r="H20" s="1003" t="s">
        <v>583</v>
      </c>
      <c r="I20" s="666"/>
      <c r="J20" s="666"/>
      <c r="K20" s="1003" t="s">
        <v>227</v>
      </c>
      <c r="L20" s="1003" t="s">
        <v>583</v>
      </c>
      <c r="M20" s="666"/>
      <c r="N20" s="666"/>
      <c r="O20" s="1003" t="s">
        <v>227</v>
      </c>
      <c r="P20" s="1003" t="s">
        <v>583</v>
      </c>
      <c r="Q20" s="844"/>
      <c r="S20" s="22">
        <f>W20-T20</f>
        <v>0</v>
      </c>
      <c r="T20" s="872">
        <v>212189.76</v>
      </c>
      <c r="U20" s="875" t="s">
        <v>8</v>
      </c>
      <c r="V20" s="914">
        <f>'A7. HELHET (2013)'!D9</f>
        <v>454094.24681211781</v>
      </c>
      <c r="W20" s="915">
        <f>'A7. HELHET (2013)'!E9</f>
        <v>212189.76</v>
      </c>
      <c r="X20" s="915">
        <f>'A7. HELHET (2013)'!G9</f>
        <v>132763.68000000002</v>
      </c>
      <c r="Y20" s="923">
        <f>'A7. HELHET (2013)'!I9</f>
        <v>-14464.042896190134</v>
      </c>
      <c r="Z20" s="924">
        <f>'A7. HELHET (2013)'!K9</f>
        <v>391246.7</v>
      </c>
      <c r="AA20" s="915">
        <f>'A7. HELHET (2013)'!M9+'A7. HELHET (2013)'!N9</f>
        <v>7200</v>
      </c>
      <c r="AB20" s="915">
        <f>'A7. HELHET (2013)'!O9</f>
        <v>1183030.3439159277</v>
      </c>
      <c r="AC20" s="1327"/>
      <c r="AD20" s="1158">
        <f>AB20*$AC$14</f>
        <v>1217263.4441779193</v>
      </c>
      <c r="AE20" s="1158"/>
      <c r="AF20" s="951">
        <f>(AB20-Y20)/AO20</f>
        <v>1.1563509185969676</v>
      </c>
      <c r="AG20" s="951">
        <f>AD20/AN20</f>
        <v>1.0004681463150575</v>
      </c>
      <c r="AH20" s="951">
        <f>AB20/AN20</f>
        <v>0.97233198028991041</v>
      </c>
      <c r="AI20" s="949" t="s">
        <v>8</v>
      </c>
      <c r="AJ20" s="951">
        <f t="shared" ref="AJ20:AJ35" si="0">(AD20-Y20)/AN20</f>
        <v>1.0123561351097474</v>
      </c>
      <c r="AK20" s="951">
        <f>(AB20-Y20)/AN20</f>
        <v>0.98421996908460041</v>
      </c>
      <c r="AL20" s="949"/>
      <c r="AM20" s="930">
        <v>1238756.3634338812</v>
      </c>
      <c r="AN20" s="930">
        <v>1216693.8534338812</v>
      </c>
      <c r="AO20" s="930">
        <f>AN20-'Data, inkomst- skkompl, kost'!F296</f>
        <v>1035580.4345838812</v>
      </c>
      <c r="AS20" s="1" t="s">
        <v>776</v>
      </c>
      <c r="AT20" s="1" t="s">
        <v>759</v>
      </c>
      <c r="AV20" s="1" t="s">
        <v>574</v>
      </c>
      <c r="AX20" s="1" t="s">
        <v>776</v>
      </c>
    </row>
    <row r="21" spans="2:52" ht="18.75" thickBot="1" x14ac:dyDescent="0.25">
      <c r="B21" s="858" t="s">
        <v>482</v>
      </c>
      <c r="C21" s="832"/>
      <c r="D21" s="832"/>
      <c r="E21" s="832"/>
      <c r="F21" s="839"/>
      <c r="G21" s="1003" t="s">
        <v>584</v>
      </c>
      <c r="H21" s="852">
        <v>10782</v>
      </c>
      <c r="I21" s="839"/>
      <c r="J21" s="839"/>
      <c r="K21" s="1003" t="s">
        <v>584</v>
      </c>
      <c r="L21" s="852">
        <f>ROUND(H21*K30,0)</f>
        <v>10987</v>
      </c>
      <c r="M21" s="666"/>
      <c r="N21" s="666"/>
      <c r="O21" s="1003" t="s">
        <v>584</v>
      </c>
      <c r="P21" s="852">
        <f>ROUND(L21*O30,0)</f>
        <v>11009</v>
      </c>
      <c r="Q21" s="844"/>
      <c r="S21" s="22">
        <f t="shared" ref="S21:S35" si="1">W21-T21</f>
        <v>0</v>
      </c>
      <c r="T21" s="872">
        <v>305346.24</v>
      </c>
      <c r="U21" s="876" t="s">
        <v>9</v>
      </c>
      <c r="V21" s="916">
        <f>'A7. HELHET (2013)'!D10</f>
        <v>1137179.7741920229</v>
      </c>
      <c r="W21" s="917">
        <f>'A7. HELHET (2013)'!E10</f>
        <v>305346.24</v>
      </c>
      <c r="X21" s="917">
        <f>'A7. HELHET (2013)'!G10</f>
        <v>278628.7</v>
      </c>
      <c r="Y21" s="925">
        <f>'A7. HELHET (2013)'!I10</f>
        <v>131056.5401367422</v>
      </c>
      <c r="Z21" s="917"/>
      <c r="AA21" s="917">
        <f>'A7. HELHET (2013)'!M10+'A7. HELHET (2013)'!N10</f>
        <v>14670</v>
      </c>
      <c r="AB21" s="915">
        <f>'A7. HELHET (2013)'!O10</f>
        <v>1866881.254328765</v>
      </c>
      <c r="AC21" s="1327"/>
      <c r="AD21" s="1159">
        <f t="shared" ref="AD21:AD36" si="2">AB21*$AC$14</f>
        <v>1920902.8045665424</v>
      </c>
      <c r="AE21" s="1159"/>
      <c r="AF21" s="952">
        <f t="shared" ref="AF21:AF35" si="3">(AB21-Y21)/AO21</f>
        <v>0.9842440976028598</v>
      </c>
      <c r="AG21" s="952">
        <f t="shared" ref="AG21:AG33" si="4">AD21/AN21</f>
        <v>0.87325405672694656</v>
      </c>
      <c r="AH21" s="952">
        <f t="shared" ref="AH21:AH36" si="5">AB21/AN21</f>
        <v>0.84869553258732322</v>
      </c>
      <c r="AI21" s="949" t="s">
        <v>9</v>
      </c>
      <c r="AJ21" s="951">
        <f t="shared" si="0"/>
        <v>0.81367495930310108</v>
      </c>
      <c r="AK21" s="952">
        <f t="shared" ref="AK21:AK36" si="6">(AB21-Y21)/AN21</f>
        <v>0.78911643516347774</v>
      </c>
      <c r="AL21" s="949"/>
      <c r="AM21" s="931">
        <v>2259250.3659342388</v>
      </c>
      <c r="AN21" s="931">
        <v>2199706.7059342386</v>
      </c>
      <c r="AO21" s="931">
        <f>AN21-'Data, inkomst- skkompl, kost'!F297</f>
        <v>1763612.0129342386</v>
      </c>
      <c r="AS21" s="1" t="s">
        <v>777</v>
      </c>
      <c r="AT21" s="1" t="s">
        <v>760</v>
      </c>
      <c r="AV21" s="1" t="s">
        <v>780</v>
      </c>
      <c r="AX21" s="1" t="s">
        <v>779</v>
      </c>
      <c r="AY21" s="1" t="s">
        <v>213</v>
      </c>
      <c r="AZ21" s="1" t="s">
        <v>219</v>
      </c>
    </row>
    <row r="22" spans="2:52" ht="15.75" thickBot="1" x14ac:dyDescent="0.25">
      <c r="B22" s="858"/>
      <c r="C22" s="832"/>
      <c r="D22" s="832"/>
      <c r="E22" s="832"/>
      <c r="F22" s="839"/>
      <c r="G22" s="666"/>
      <c r="H22" s="666"/>
      <c r="I22" s="839"/>
      <c r="J22" s="666"/>
      <c r="K22" s="666"/>
      <c r="L22" s="666"/>
      <c r="M22" s="666"/>
      <c r="N22" s="666"/>
      <c r="O22" s="666"/>
      <c r="P22" s="666"/>
      <c r="Q22" s="844"/>
      <c r="S22" s="22">
        <f t="shared" si="1"/>
        <v>9056.8800000000047</v>
      </c>
      <c r="T22" s="872">
        <v>372625.92000000004</v>
      </c>
      <c r="U22" s="876" t="s">
        <v>10</v>
      </c>
      <c r="V22" s="916">
        <f>'A7. HELHET (2013)'!D11</f>
        <v>2476017.0223672581</v>
      </c>
      <c r="W22" s="917">
        <f>'A7. HELHET (2013)'!E11</f>
        <v>381682.80000000005</v>
      </c>
      <c r="X22" s="917">
        <f>'A7. HELHET (2013)'!G11</f>
        <v>700374.3600000001</v>
      </c>
      <c r="Y22" s="925">
        <f>'A7. HELHET (2013)'!I11</f>
        <v>177473.7839315859</v>
      </c>
      <c r="Z22" s="917"/>
      <c r="AA22" s="917">
        <f>'A7. HELHET (2013)'!M11+'A7. HELHET (2013)'!N11</f>
        <v>37905</v>
      </c>
      <c r="AB22" s="915">
        <f>'A7. HELHET (2013)'!O11</f>
        <v>3773452.9662988447</v>
      </c>
      <c r="AC22" s="1327"/>
      <c r="AD22" s="1159">
        <f t="shared" si="2"/>
        <v>3882644.5811999738</v>
      </c>
      <c r="AE22" s="1159"/>
      <c r="AF22" s="952">
        <f t="shared" si="3"/>
        <v>1.3430001209418825</v>
      </c>
      <c r="AG22" s="952">
        <f t="shared" si="4"/>
        <v>1.1792928836799983</v>
      </c>
      <c r="AH22" s="952">
        <f t="shared" si="5"/>
        <v>1.1461276295040337</v>
      </c>
      <c r="AI22" s="949" t="s">
        <v>10</v>
      </c>
      <c r="AJ22" s="951">
        <f t="shared" si="0"/>
        <v>1.1253879830244775</v>
      </c>
      <c r="AK22" s="952">
        <f t="shared" si="6"/>
        <v>1.0922227288485129</v>
      </c>
      <c r="AL22" s="949"/>
      <c r="AM22" s="931">
        <v>3447780.5879742671</v>
      </c>
      <c r="AN22" s="931">
        <v>3292349.7079742672</v>
      </c>
      <c r="AO22" s="931">
        <f>AN22-'Data, inkomst- skkompl, kost'!F298</f>
        <v>2677571.7487242674</v>
      </c>
      <c r="AR22" s="949" t="s">
        <v>8</v>
      </c>
      <c r="AS22" s="22">
        <v>1159603.5049378506</v>
      </c>
      <c r="AT22" s="22">
        <v>1189222.9546239923</v>
      </c>
      <c r="AV22" s="22">
        <v>1471698</v>
      </c>
      <c r="AX22" s="1337">
        <f>AS22/(AS22+AV22)</f>
        <v>0.44069579360698896</v>
      </c>
      <c r="AY22" s="115">
        <f>AT22/(AT22+AV22)</f>
        <v>0.44692156396357069</v>
      </c>
      <c r="AZ22" s="1336">
        <f>AX22-AY22</f>
        <v>-6.2257703565817279E-3</v>
      </c>
    </row>
    <row r="23" spans="2:52" ht="18.75" thickBot="1" x14ac:dyDescent="0.25">
      <c r="B23" s="664"/>
      <c r="C23" s="666"/>
      <c r="D23" s="832"/>
      <c r="E23" s="832"/>
      <c r="F23" s="832"/>
      <c r="G23" s="666"/>
      <c r="H23" s="666"/>
      <c r="I23" s="839"/>
      <c r="J23" s="666">
        <f>J28*J25</f>
        <v>33.693750000000001</v>
      </c>
      <c r="K23" s="666">
        <f t="shared" ref="K23:L23" si="7">K28*K25</f>
        <v>33.693750000000001</v>
      </c>
      <c r="L23" s="666">
        <f t="shared" si="7"/>
        <v>33.693750000000001</v>
      </c>
      <c r="M23" s="666"/>
      <c r="N23" s="666"/>
      <c r="O23" s="1030"/>
      <c r="P23" s="666"/>
      <c r="Q23" s="844"/>
      <c r="R23" s="1" t="s">
        <v>514</v>
      </c>
      <c r="S23" s="22">
        <f t="shared" si="1"/>
        <v>0</v>
      </c>
      <c r="T23" s="851">
        <v>265237.2</v>
      </c>
      <c r="U23" s="876" t="s">
        <v>11</v>
      </c>
      <c r="V23" s="916">
        <f>'A7. HELHET (2013)'!D12</f>
        <v>510364.35188640951</v>
      </c>
      <c r="W23" s="917">
        <f>'A7. HELHET (2013)'!E12</f>
        <v>265237.2</v>
      </c>
      <c r="X23" s="917">
        <f>'A7. HELHET (2013)'!G12</f>
        <v>176687.56000000003</v>
      </c>
      <c r="Y23" s="925">
        <f>'A7. HELHET (2013)'!I12</f>
        <v>-4657.4276426702418</v>
      </c>
      <c r="Z23" s="917">
        <f>'A7. HELHET (2013)'!K12</f>
        <v>367430.1</v>
      </c>
      <c r="AA23" s="917">
        <f>'A7. HELHET (2013)'!M12+'A7. HELHET (2013)'!N12</f>
        <v>8655</v>
      </c>
      <c r="AB23" s="915">
        <f>'A7. HELHET (2013)'!O12</f>
        <v>1323716.7842437392</v>
      </c>
      <c r="AC23" s="1327"/>
      <c r="AD23" s="1159">
        <f t="shared" si="2"/>
        <v>1362020.8984421131</v>
      </c>
      <c r="AE23" s="1159"/>
      <c r="AF23" s="952">
        <f t="shared" si="3"/>
        <v>0.97809083953577014</v>
      </c>
      <c r="AG23" s="952">
        <f t="shared" si="4"/>
        <v>0.86388359943666404</v>
      </c>
      <c r="AH23" s="952">
        <f t="shared" si="5"/>
        <v>0.83958860067065899</v>
      </c>
      <c r="AI23" s="949" t="s">
        <v>11</v>
      </c>
      <c r="AJ23" s="951">
        <f t="shared" si="0"/>
        <v>0.86683764761659132</v>
      </c>
      <c r="AK23" s="952">
        <f t="shared" si="6"/>
        <v>0.84254264885058616</v>
      </c>
      <c r="AL23" s="949"/>
      <c r="AM23" s="931">
        <v>1607947.2744174411</v>
      </c>
      <c r="AN23" s="931">
        <v>1576625.4844174411</v>
      </c>
      <c r="AO23" s="931">
        <f>AN23-'Data, inkomst- skkompl, kost'!F299</f>
        <v>1358129.6932674411</v>
      </c>
      <c r="AR23" s="949" t="s">
        <v>9</v>
      </c>
      <c r="AS23" s="22">
        <v>1993226.7463402797</v>
      </c>
      <c r="AT23" s="22">
        <v>2216192.0077622063</v>
      </c>
      <c r="AV23" s="22">
        <v>2856255</v>
      </c>
      <c r="AX23" s="1337">
        <f t="shared" ref="AX23:AX38" si="8">AS23/(AS23+AV23)</f>
        <v>0.41101850684240487</v>
      </c>
      <c r="AY23" s="115">
        <f t="shared" ref="AY23:AY38" si="9">AT23/(AT23+AV23)</f>
        <v>0.43690786801140297</v>
      </c>
      <c r="AZ23" s="1336">
        <f t="shared" ref="AZ23:AZ38" si="10">AX23-AY23</f>
        <v>-2.5889361168998093E-2</v>
      </c>
    </row>
    <row r="24" spans="2:52" ht="16.5" thickBot="1" x14ac:dyDescent="0.3">
      <c r="B24" s="664"/>
      <c r="C24" s="1033" t="s">
        <v>586</v>
      </c>
      <c r="D24" s="832"/>
      <c r="E24" s="908">
        <f t="shared" ref="E24:J24" si="11">$H$21*E28</f>
        <v>4851.9000000000005</v>
      </c>
      <c r="F24" s="908">
        <f t="shared" si="11"/>
        <v>3018.9600000000005</v>
      </c>
      <c r="G24" s="908">
        <f t="shared" si="11"/>
        <v>2156.4</v>
      </c>
      <c r="H24" s="908">
        <f t="shared" si="11"/>
        <v>862.56000000000006</v>
      </c>
      <c r="I24" s="908">
        <f t="shared" si="11"/>
        <v>431.28000000000003</v>
      </c>
      <c r="J24" s="908">
        <f t="shared" si="11"/>
        <v>269.55</v>
      </c>
      <c r="K24" s="908">
        <f t="shared" ref="K24:L24" si="12">$H$21*K28</f>
        <v>269.55</v>
      </c>
      <c r="L24" s="908">
        <f t="shared" si="12"/>
        <v>269.55</v>
      </c>
      <c r="M24" s="666"/>
      <c r="N24" s="666"/>
      <c r="O24" s="666"/>
      <c r="P24" s="666"/>
      <c r="Q24" s="844"/>
      <c r="S24" s="22">
        <f t="shared" si="1"/>
        <v>0</v>
      </c>
      <c r="T24" s="851">
        <v>224265.60000000001</v>
      </c>
      <c r="U24" s="876" t="s">
        <v>12</v>
      </c>
      <c r="V24" s="916">
        <f>'A7. HELHET (2013)'!D13</f>
        <v>794727.72011763416</v>
      </c>
      <c r="W24" s="917">
        <f>'A7. HELHET (2013)'!E13</f>
        <v>224265.60000000001</v>
      </c>
      <c r="X24" s="917">
        <f>'A7. HELHET (2013)'!G13</f>
        <v>146958.56000000003</v>
      </c>
      <c r="Y24" s="925">
        <f>'A7. HELHET (2013)'!I13</f>
        <v>405536.98389435961</v>
      </c>
      <c r="Z24" s="917"/>
      <c r="AA24" s="917">
        <f>'A7. HELHET (2013)'!M13+'A7. HELHET (2013)'!N13</f>
        <v>7380</v>
      </c>
      <c r="AB24" s="915">
        <f>'A7. HELHET (2013)'!O13</f>
        <v>1578868.8640119936</v>
      </c>
      <c r="AC24" s="1327"/>
      <c r="AD24" s="1159">
        <f t="shared" si="2"/>
        <v>1624556.2602822795</v>
      </c>
      <c r="AE24" s="1159"/>
      <c r="AF24" s="952">
        <f t="shared" si="3"/>
        <v>0.83432274100639237</v>
      </c>
      <c r="AG24" s="952">
        <f t="shared" si="4"/>
        <v>0.93381563335275264</v>
      </c>
      <c r="AH24" s="952">
        <f t="shared" si="5"/>
        <v>0.90755393597271727</v>
      </c>
      <c r="AI24" s="949" t="s">
        <v>12</v>
      </c>
      <c r="AJ24" s="951">
        <f t="shared" si="0"/>
        <v>0.70070780894445861</v>
      </c>
      <c r="AK24" s="952">
        <f t="shared" si="6"/>
        <v>0.67444611156442325</v>
      </c>
      <c r="AL24" s="949"/>
      <c r="AM24" s="931">
        <v>1777510.5646962116</v>
      </c>
      <c r="AN24" s="931">
        <v>1739697.0046962115</v>
      </c>
      <c r="AO24" s="931">
        <f>AN24-'Data, inkomst- skkompl, kost'!F300</f>
        <v>1406328.5374462116</v>
      </c>
      <c r="AR24" s="949" t="s">
        <v>10</v>
      </c>
      <c r="AS24" s="22">
        <v>3798774.9378333166</v>
      </c>
      <c r="AT24" s="22">
        <v>3339592.3917247565</v>
      </c>
      <c r="AV24" s="22">
        <v>8631556</v>
      </c>
      <c r="AX24" s="1337">
        <f t="shared" si="8"/>
        <v>0.30560529376343915</v>
      </c>
      <c r="AY24" s="115">
        <f t="shared" si="9"/>
        <v>0.27897009396636518</v>
      </c>
      <c r="AZ24" s="1336">
        <f t="shared" si="10"/>
        <v>2.6635199797073961E-2</v>
      </c>
    </row>
    <row r="25" spans="2:52" ht="16.5" thickBot="1" x14ac:dyDescent="0.3">
      <c r="B25" s="851"/>
      <c r="C25" s="1033" t="s">
        <v>738</v>
      </c>
      <c r="D25" s="832"/>
      <c r="E25" s="908">
        <f>E28/$G$28*$H$21</f>
        <v>24259.5</v>
      </c>
      <c r="F25" s="908">
        <f>F28/$G$28*$H$21</f>
        <v>15094.800000000001</v>
      </c>
      <c r="G25" s="908">
        <f>G28/$G$28*$H$21</f>
        <v>10782</v>
      </c>
      <c r="H25" s="908">
        <f t="shared" ref="H25:J25" si="13">H28/$G$28*$H$21</f>
        <v>4312.7999999999993</v>
      </c>
      <c r="I25" s="908">
        <f t="shared" si="13"/>
        <v>2156.3999999999996</v>
      </c>
      <c r="J25" s="908">
        <f t="shared" si="13"/>
        <v>1347.75</v>
      </c>
      <c r="K25" s="908">
        <f>K28/$G$28*$H$21</f>
        <v>1347.75</v>
      </c>
      <c r="L25" s="908">
        <f>L28/$G$28*$H$21</f>
        <v>1347.75</v>
      </c>
      <c r="M25" s="666"/>
      <c r="N25" s="666"/>
      <c r="O25" s="666"/>
      <c r="P25" s="666"/>
      <c r="Q25" s="844"/>
      <c r="R25" s="245"/>
      <c r="S25" s="22">
        <f t="shared" si="1"/>
        <v>1239.9300000000512</v>
      </c>
      <c r="T25" s="851">
        <v>341358.12</v>
      </c>
      <c r="U25" s="876" t="s">
        <v>13</v>
      </c>
      <c r="V25" s="916">
        <f>'A7. HELHET (2013)'!D14</f>
        <v>1669839.2801236366</v>
      </c>
      <c r="W25" s="917">
        <f>'A7. HELHET (2013)'!E14</f>
        <v>342598.05000000005</v>
      </c>
      <c r="X25" s="917">
        <f>'A7. HELHET (2013)'!G14</f>
        <v>401600.36</v>
      </c>
      <c r="Y25" s="925">
        <f>'A7. HELHET (2013)'!I14</f>
        <v>129193.69419170942</v>
      </c>
      <c r="Z25" s="917"/>
      <c r="AA25" s="917">
        <f>'A7. HELHET (2013)'!M14+'A7. HELHET (2013)'!N14</f>
        <v>22890</v>
      </c>
      <c r="AB25" s="915">
        <f>'A7. HELHET (2013)'!O14</f>
        <v>2566121.3843153464</v>
      </c>
      <c r="AC25" s="1327"/>
      <c r="AD25" s="1159">
        <f t="shared" si="2"/>
        <v>2640376.69913925</v>
      </c>
      <c r="AE25" s="1159"/>
      <c r="AF25" s="952">
        <f t="shared" si="3"/>
        <v>1.1760737237897183</v>
      </c>
      <c r="AG25" s="952">
        <f t="shared" si="4"/>
        <v>1.0819360526077302</v>
      </c>
      <c r="AH25" s="952">
        <f t="shared" si="5"/>
        <v>1.0515087646257126</v>
      </c>
      <c r="AI25" s="949" t="s">
        <v>13</v>
      </c>
      <c r="AJ25" s="951">
        <f t="shared" si="0"/>
        <v>1.028996896024067</v>
      </c>
      <c r="AK25" s="952">
        <f t="shared" si="6"/>
        <v>0.99856960804204953</v>
      </c>
      <c r="AL25" s="949"/>
      <c r="AM25" s="931">
        <v>2525891.3150414582</v>
      </c>
      <c r="AN25" s="931">
        <v>2440418.4450414581</v>
      </c>
      <c r="AO25" s="931">
        <f>AN25-'Data, inkomst- skkompl, kost'!F301</f>
        <v>2072087.5237914582</v>
      </c>
      <c r="AR25" s="949" t="s">
        <v>11</v>
      </c>
      <c r="AS25" s="22">
        <v>1346009.7046094995</v>
      </c>
      <c r="AT25" s="22">
        <v>1569581.0951423217</v>
      </c>
      <c r="AV25" s="22">
        <v>1838126</v>
      </c>
      <c r="AX25" s="1337">
        <f t="shared" si="8"/>
        <v>0.42272372457648549</v>
      </c>
      <c r="AY25" s="115">
        <f t="shared" si="9"/>
        <v>0.46059741970774298</v>
      </c>
      <c r="AZ25" s="1336">
        <f t="shared" si="10"/>
        <v>-3.787369513125749E-2</v>
      </c>
    </row>
    <row r="26" spans="2:52" ht="15.75" thickBot="1" x14ac:dyDescent="0.25">
      <c r="B26" s="664"/>
      <c r="C26" s="854" t="s">
        <v>103</v>
      </c>
      <c r="D26" s="854"/>
      <c r="E26" s="854" t="s">
        <v>110</v>
      </c>
      <c r="F26" s="854" t="s">
        <v>111</v>
      </c>
      <c r="G26" s="854" t="s">
        <v>112</v>
      </c>
      <c r="H26" s="854" t="s">
        <v>113</v>
      </c>
      <c r="I26" s="854" t="s">
        <v>114</v>
      </c>
      <c r="J26" s="854" t="s">
        <v>115</v>
      </c>
      <c r="K26" s="854" t="s">
        <v>116</v>
      </c>
      <c r="L26" s="854" t="s">
        <v>117</v>
      </c>
      <c r="M26" s="854" t="s">
        <v>118</v>
      </c>
      <c r="N26" s="854" t="s">
        <v>119</v>
      </c>
      <c r="O26" s="853" t="s">
        <v>120</v>
      </c>
      <c r="P26" s="853"/>
      <c r="Q26" s="844"/>
      <c r="S26" s="22">
        <f t="shared" si="1"/>
        <v>22372.650000000023</v>
      </c>
      <c r="T26" s="664">
        <v>425889</v>
      </c>
      <c r="U26" s="877" t="s">
        <v>14</v>
      </c>
      <c r="V26" s="916">
        <f>'A7. HELHET (2013)'!D15</f>
        <v>3104459.5857122089</v>
      </c>
      <c r="W26" s="917">
        <f>'A7. HELHET (2013)'!E15</f>
        <v>448261.65</v>
      </c>
      <c r="X26" s="917">
        <f>'A7. HELHET (2013)'!G15</f>
        <v>1049818.8400000003</v>
      </c>
      <c r="Y26" s="925">
        <f>'A7. HELHET (2013)'!I15</f>
        <v>-203196.50767839182</v>
      </c>
      <c r="Z26" s="918"/>
      <c r="AA26" s="917">
        <f>'A7. HELHET (2013)'!M15+'A7. HELHET (2013)'!N15</f>
        <v>63735</v>
      </c>
      <c r="AB26" s="915">
        <f>'A7. HELHET (2013)'!O15</f>
        <v>4463078.5680338182</v>
      </c>
      <c r="AC26" s="1327"/>
      <c r="AD26" s="1159">
        <f t="shared" si="2"/>
        <v>4592225.7339390619</v>
      </c>
      <c r="AE26" s="1159"/>
      <c r="AF26" s="952">
        <f t="shared" si="3"/>
        <v>1.3479454232587404</v>
      </c>
      <c r="AG26" s="952">
        <f>AD26/AN26</f>
        <v>1.0671604342142862</v>
      </c>
      <c r="AH26" s="952">
        <f t="shared" si="5"/>
        <v>1.0371486809534625</v>
      </c>
      <c r="AI26" s="949" t="s">
        <v>14</v>
      </c>
      <c r="AJ26" s="951">
        <f t="shared" si="0"/>
        <v>1.1143800801829737</v>
      </c>
      <c r="AK26" s="952">
        <f t="shared" si="6"/>
        <v>1.08436832692215</v>
      </c>
      <c r="AL26" s="949"/>
      <c r="AM26" s="931">
        <v>4525400.0847498216</v>
      </c>
      <c r="AN26" s="931">
        <v>4303219.6347498214</v>
      </c>
      <c r="AO26" s="931">
        <f>AN26-'Data, inkomst- skkompl, kost'!F302</f>
        <v>3461768.5517498213</v>
      </c>
      <c r="AR26" s="949" t="s">
        <v>12</v>
      </c>
      <c r="AS26" s="22">
        <v>1521597.5667513164</v>
      </c>
      <c r="AT26" s="22">
        <v>1749382.7152034992</v>
      </c>
      <c r="AV26" s="22">
        <v>1109376</v>
      </c>
      <c r="AX26" s="1337">
        <f t="shared" si="8"/>
        <v>0.57834011940688579</v>
      </c>
      <c r="AY26" s="115">
        <f t="shared" si="9"/>
        <v>0.61193786866303268</v>
      </c>
      <c r="AZ26" s="1336">
        <f t="shared" si="10"/>
        <v>-3.3597749256146892E-2</v>
      </c>
    </row>
    <row r="27" spans="2:52" ht="15.75" thickBot="1" x14ac:dyDescent="0.25">
      <c r="B27" s="664"/>
      <c r="C27" s="854" t="s">
        <v>122</v>
      </c>
      <c r="D27" s="854"/>
      <c r="E27" s="854">
        <v>0</v>
      </c>
      <c r="F27" s="854">
        <v>40</v>
      </c>
      <c r="G27" s="854">
        <v>60</v>
      </c>
      <c r="H27" s="854">
        <v>80</v>
      </c>
      <c r="I27" s="854">
        <v>100</v>
      </c>
      <c r="J27" s="854">
        <v>150</v>
      </c>
      <c r="K27" s="854">
        <v>200</v>
      </c>
      <c r="L27" s="854">
        <v>250</v>
      </c>
      <c r="M27" s="854">
        <v>350</v>
      </c>
      <c r="N27" s="854">
        <v>450</v>
      </c>
      <c r="O27" s="853">
        <v>650</v>
      </c>
      <c r="P27" s="853">
        <v>2000</v>
      </c>
      <c r="Q27" s="844"/>
      <c r="S27" s="22">
        <f t="shared" si="1"/>
        <v>0</v>
      </c>
      <c r="T27" s="664">
        <v>160112.70000000001</v>
      </c>
      <c r="U27" s="877" t="s">
        <v>15</v>
      </c>
      <c r="V27" s="916">
        <f>'A7. HELHET (2013)'!D16</f>
        <v>337615.92674739996</v>
      </c>
      <c r="W27" s="917">
        <f>'A7. HELHET (2013)'!E16</f>
        <v>160112.70000000001</v>
      </c>
      <c r="X27" s="917">
        <f>'A7. HELHET (2013)'!G16</f>
        <v>116681.46000000002</v>
      </c>
      <c r="Y27" s="925">
        <f>'A7. HELHET (2013)'!I16</f>
        <v>-34574.072474107459</v>
      </c>
      <c r="Z27" s="918">
        <f>'A7. HELHET (2013)'!K16</f>
        <v>318798</v>
      </c>
      <c r="AA27" s="917">
        <f>'A7. HELHET (2013)'!M16+'A7. HELHET (2013)'!N16</f>
        <v>5415</v>
      </c>
      <c r="AB27" s="915">
        <f>'A7. HELHET (2013)'!O16</f>
        <v>904049.0142732925</v>
      </c>
      <c r="AC27" s="1327"/>
      <c r="AD27" s="1159">
        <f t="shared" si="2"/>
        <v>930209.29047122214</v>
      </c>
      <c r="AE27" s="1159"/>
      <c r="AF27" s="952">
        <f t="shared" si="3"/>
        <v>1.266663557569804</v>
      </c>
      <c r="AG27" s="952">
        <f t="shared" si="4"/>
        <v>1.0920461399727366</v>
      </c>
      <c r="AH27" s="952">
        <f t="shared" si="5"/>
        <v>1.0613345260002534</v>
      </c>
      <c r="AI27" s="949" t="s">
        <v>15</v>
      </c>
      <c r="AJ27" s="951">
        <f t="shared" si="0"/>
        <v>1.1326353737884516</v>
      </c>
      <c r="AK27" s="952">
        <f t="shared" si="6"/>
        <v>1.1019237598159684</v>
      </c>
      <c r="AL27" s="949"/>
      <c r="AM27" s="931">
        <v>872899.89855039306</v>
      </c>
      <c r="AN27" s="931">
        <v>851804.01855039306</v>
      </c>
      <c r="AO27" s="931">
        <f>AN27-'Data, inkomst- skkompl, kost'!F303</f>
        <v>741020.0452503931</v>
      </c>
      <c r="AR27" s="949" t="s">
        <v>13</v>
      </c>
      <c r="AS27" s="22">
        <v>2637256.3713109703</v>
      </c>
      <c r="AT27" s="22">
        <v>2607974.5406106445</v>
      </c>
      <c r="AV27" s="22">
        <v>4250438.333333333</v>
      </c>
      <c r="AX27" s="1337">
        <f t="shared" si="8"/>
        <v>0.38289391217248564</v>
      </c>
      <c r="AY27" s="115">
        <f t="shared" si="9"/>
        <v>0.38025919240276229</v>
      </c>
      <c r="AZ27" s="1336">
        <f t="shared" si="10"/>
        <v>2.6347197697233482E-3</v>
      </c>
    </row>
    <row r="28" spans="2:52" ht="15.75" thickBot="1" x14ac:dyDescent="0.25">
      <c r="B28" s="831"/>
      <c r="C28" s="855" t="s">
        <v>109</v>
      </c>
      <c r="D28" s="855"/>
      <c r="E28" s="971">
        <v>0.45</v>
      </c>
      <c r="F28" s="855">
        <v>0.28000000000000003</v>
      </c>
      <c r="G28" s="971">
        <v>0.2</v>
      </c>
      <c r="H28" s="971">
        <v>0.08</v>
      </c>
      <c r="I28" s="970">
        <v>0.04</v>
      </c>
      <c r="J28" s="1362">
        <v>2.5000000000000001E-2</v>
      </c>
      <c r="K28" s="1362">
        <v>2.5000000000000001E-2</v>
      </c>
      <c r="L28" s="1362">
        <v>2.5000000000000001E-2</v>
      </c>
      <c r="M28" s="1362">
        <v>2.5000000000000001E-2</v>
      </c>
      <c r="N28" s="1362">
        <v>2.5000000000000001E-2</v>
      </c>
      <c r="O28" s="1362">
        <v>2.5000000000000001E-2</v>
      </c>
      <c r="P28" s="856">
        <v>0</v>
      </c>
      <c r="Q28" s="844"/>
      <c r="S28" s="22">
        <f t="shared" si="1"/>
        <v>0</v>
      </c>
      <c r="T28" s="851">
        <v>145557</v>
      </c>
      <c r="U28" s="878" t="s">
        <v>16</v>
      </c>
      <c r="V28" s="916">
        <f>'A7. HELHET (2013)'!D17</f>
        <v>317069.61567684752</v>
      </c>
      <c r="W28" s="917">
        <f>'A7. HELHET (2013)'!E17</f>
        <v>145557</v>
      </c>
      <c r="X28" s="917">
        <f>'A7. HELHET (2013)'!G17</f>
        <v>76195.98000000001</v>
      </c>
      <c r="Y28" s="925">
        <f>'A7. HELHET (2013)'!I17</f>
        <v>-37632.288192188622</v>
      </c>
      <c r="Z28" s="907">
        <f>'A7. HELHET (2013)'!K17</f>
        <v>247133.40000000002</v>
      </c>
      <c r="AA28" s="917">
        <f>'A7. HELHET (2013)'!M17+'A7. HELHET (2013)'!N17</f>
        <v>3735</v>
      </c>
      <c r="AB28" s="915">
        <f>'A7. HELHET (2013)'!O17</f>
        <v>752058.70748465892</v>
      </c>
      <c r="AC28" s="1327"/>
      <c r="AD28" s="1159">
        <f t="shared" si="2"/>
        <v>773820.87213971512</v>
      </c>
      <c r="AE28" s="1159"/>
      <c r="AF28" s="952">
        <f t="shared" si="3"/>
        <v>1.1911711102881011</v>
      </c>
      <c r="AG28" s="952">
        <f t="shared" si="4"/>
        <v>1.0695342453327981</v>
      </c>
      <c r="AH28" s="952">
        <f t="shared" si="5"/>
        <v>1.0394557333810666</v>
      </c>
      <c r="AI28" s="949" t="s">
        <v>16</v>
      </c>
      <c r="AJ28" s="951">
        <f t="shared" si="0"/>
        <v>1.1215476019129649</v>
      </c>
      <c r="AK28" s="952">
        <f t="shared" si="6"/>
        <v>1.0914690899612336</v>
      </c>
      <c r="AL28" s="949"/>
      <c r="AM28" s="931">
        <v>731856.49050035735</v>
      </c>
      <c r="AN28" s="931">
        <v>723512.01050035737</v>
      </c>
      <c r="AO28" s="931">
        <f>AN28-'Data, inkomst- skkompl, kost'!F304</f>
        <v>662953.44880035741</v>
      </c>
      <c r="AR28" s="949" t="s">
        <v>14</v>
      </c>
      <c r="AS28" s="22">
        <v>4455445.9523626892</v>
      </c>
      <c r="AT28" s="22">
        <v>3953605.7346562892</v>
      </c>
      <c r="AV28" s="22">
        <v>15358705.666666666</v>
      </c>
      <c r="AX28" s="1337">
        <f t="shared" si="8"/>
        <v>0.22486180776388701</v>
      </c>
      <c r="AY28" s="115">
        <f t="shared" si="9"/>
        <v>0.20471944825752214</v>
      </c>
      <c r="AZ28" s="1336">
        <f t="shared" si="10"/>
        <v>2.0142359506364865E-2</v>
      </c>
    </row>
    <row r="29" spans="2:52" ht="16.5" thickTop="1" thickBot="1" x14ac:dyDescent="0.25">
      <c r="B29" s="831"/>
      <c r="C29" s="832"/>
      <c r="D29" s="832"/>
      <c r="E29" s="832">
        <f t="shared" ref="E29:F29" si="14">(E28/F28)*$H$21*F28</f>
        <v>4851.8999999999996</v>
      </c>
      <c r="F29" s="832">
        <f t="shared" si="14"/>
        <v>3018.9600000000005</v>
      </c>
      <c r="G29" s="832">
        <f>(G28/H28)*$H$21*H28</f>
        <v>2156.4</v>
      </c>
      <c r="H29" s="832">
        <f t="shared" ref="H29" si="15">(H28/I28)*$H$21*I28</f>
        <v>862.56000000000006</v>
      </c>
      <c r="I29" s="832">
        <f t="shared" ref="I29" si="16">(I28/J28)*$H$21*J28</f>
        <v>431.28</v>
      </c>
      <c r="J29" s="832">
        <f t="shared" ref="J29" si="17">(J28/K28)*$H$21*K28</f>
        <v>269.55</v>
      </c>
      <c r="K29" s="666"/>
      <c r="L29" s="666"/>
      <c r="M29" s="666"/>
      <c r="N29" s="666"/>
      <c r="O29" s="666"/>
      <c r="P29" s="666"/>
      <c r="Q29" s="844"/>
      <c r="S29" s="22">
        <f t="shared" si="1"/>
        <v>6738.75</v>
      </c>
      <c r="T29" s="851">
        <v>363353.4</v>
      </c>
      <c r="U29" s="876" t="s">
        <v>17</v>
      </c>
      <c r="V29" s="916">
        <f>'A7. HELHET (2013)'!D18</f>
        <v>1573554.8426421674</v>
      </c>
      <c r="W29" s="917">
        <f>'A7. HELHET (2013)'!E18</f>
        <v>370092.15</v>
      </c>
      <c r="X29" s="917">
        <f>'A7. HELHET (2013)'!G18</f>
        <v>407144.78</v>
      </c>
      <c r="Y29" s="925">
        <f>'A7. HELHET (2013)'!I18</f>
        <v>-105922.86926195433</v>
      </c>
      <c r="Z29" s="917"/>
      <c r="AA29" s="917">
        <f>'A7. HELHET (2013)'!M18+'A7. HELHET (2013)'!N18</f>
        <v>27900</v>
      </c>
      <c r="AB29" s="915">
        <f>'A7. HELHET (2013)'!O18</f>
        <v>2272768.9033802128</v>
      </c>
      <c r="AC29" s="1327"/>
      <c r="AD29" s="1159">
        <f t="shared" si="2"/>
        <v>2338535.5391574614</v>
      </c>
      <c r="AE29" s="1159"/>
      <c r="AF29" s="952">
        <f t="shared" si="3"/>
        <v>1.0922145659072346</v>
      </c>
      <c r="AG29" s="952">
        <f t="shared" si="4"/>
        <v>0.8746916509925754</v>
      </c>
      <c r="AH29" s="952">
        <f t="shared" si="5"/>
        <v>0.85009269738892201</v>
      </c>
      <c r="AI29" s="949" t="s">
        <v>17</v>
      </c>
      <c r="AJ29" s="951">
        <f t="shared" si="0"/>
        <v>0.9143103986409391</v>
      </c>
      <c r="AK29" s="952">
        <f t="shared" si="6"/>
        <v>0.88971144503728572</v>
      </c>
      <c r="AL29" s="949"/>
      <c r="AM29" s="931">
        <v>2770354.5922194421</v>
      </c>
      <c r="AN29" s="931">
        <v>2673554.202219442</v>
      </c>
      <c r="AO29" s="931">
        <f>AN29-'Data, inkomst- skkompl, kost'!F305</f>
        <v>2177861.2434694422</v>
      </c>
      <c r="AR29" s="949" t="s">
        <v>15</v>
      </c>
      <c r="AS29" s="22">
        <v>834636.47916048078</v>
      </c>
      <c r="AT29" s="22">
        <v>849781.00686282944</v>
      </c>
      <c r="AV29" s="22">
        <v>1070846.3333333333</v>
      </c>
      <c r="AX29" s="1337">
        <f t="shared" si="8"/>
        <v>0.4380183718729766</v>
      </c>
      <c r="AY29" s="115">
        <f t="shared" si="9"/>
        <v>0.4424497085291087</v>
      </c>
      <c r="AZ29" s="1336">
        <f t="shared" si="10"/>
        <v>-4.431336656132101E-3</v>
      </c>
    </row>
    <row r="30" spans="2:52" ht="18.75" thickBot="1" x14ac:dyDescent="0.3">
      <c r="B30" s="1333" t="s">
        <v>486</v>
      </c>
      <c r="C30" s="832"/>
      <c r="D30" s="832"/>
      <c r="E30" s="832"/>
      <c r="F30" s="832"/>
      <c r="G30" s="838" t="s">
        <v>485</v>
      </c>
      <c r="H30" s="832"/>
      <c r="I30" s="1004">
        <v>2013</v>
      </c>
      <c r="J30" s="1002" t="s">
        <v>580</v>
      </c>
      <c r="K30" s="1001">
        <f>ROUND(149.8/147,4)</f>
        <v>1.0189999999999999</v>
      </c>
      <c r="L30" s="832"/>
      <c r="M30" s="1004">
        <v>2014</v>
      </c>
      <c r="N30" s="1002" t="s">
        <v>580</v>
      </c>
      <c r="O30" s="1001">
        <f>ROUND(150.1/149.8,4)</f>
        <v>1.002</v>
      </c>
      <c r="P30" s="832"/>
      <c r="Q30" s="1006">
        <v>2015</v>
      </c>
      <c r="S30" s="22">
        <f t="shared" si="1"/>
        <v>0</v>
      </c>
      <c r="T30" s="872">
        <v>227284.56</v>
      </c>
      <c r="U30" s="876" t="s">
        <v>18</v>
      </c>
      <c r="V30" s="916">
        <f>'A7. HELHET (2013)'!D19</f>
        <v>338959.45990770013</v>
      </c>
      <c r="W30" s="917">
        <f>'A7. HELHET (2013)'!E19</f>
        <v>227284.56</v>
      </c>
      <c r="X30" s="917">
        <f>'A7. HELHET (2013)'!G19</f>
        <v>95273.360000000015</v>
      </c>
      <c r="Y30" s="925">
        <f>'A7. HELHET (2013)'!I19</f>
        <v>-1170.1246615229611</v>
      </c>
      <c r="Z30" s="917"/>
      <c r="AA30" s="917">
        <f>'A7. HELHET (2013)'!M19+'A7. HELHET (2013)'!N19</f>
        <v>5985</v>
      </c>
      <c r="AB30" s="915">
        <f>'A7. HELHET (2013)'!O19</f>
        <v>666332.2552461772</v>
      </c>
      <c r="AC30" s="1327"/>
      <c r="AD30" s="1159">
        <f t="shared" si="2"/>
        <v>685613.77158170613</v>
      </c>
      <c r="AE30" s="1159"/>
      <c r="AF30" s="952">
        <f t="shared" si="3"/>
        <v>1.1285418722953695</v>
      </c>
      <c r="AG30" s="952">
        <f t="shared" si="4"/>
        <v>0.97844889217003173</v>
      </c>
      <c r="AH30" s="952">
        <f t="shared" si="5"/>
        <v>0.95093197363682758</v>
      </c>
      <c r="AI30" s="949" t="s">
        <v>18</v>
      </c>
      <c r="AJ30" s="951">
        <f t="shared" si="0"/>
        <v>0.9801187932516956</v>
      </c>
      <c r="AK30" s="952">
        <f t="shared" si="6"/>
        <v>0.95260187471849145</v>
      </c>
      <c r="AL30" s="949"/>
      <c r="AM30" s="931">
        <v>725579.4451379556</v>
      </c>
      <c r="AN30" s="931">
        <v>700714.95513795561</v>
      </c>
      <c r="AO30" s="931">
        <f>AN30-'Data, inkomst- skkompl, kost'!F306</f>
        <v>591473.29513795557</v>
      </c>
      <c r="AR30" s="949" t="s">
        <v>16</v>
      </c>
      <c r="AS30" s="22">
        <v>699664.84863271425</v>
      </c>
      <c r="AT30" s="22">
        <v>673661.53503027791</v>
      </c>
      <c r="AV30" s="22">
        <v>813758.66666666663</v>
      </c>
      <c r="AX30" s="1337">
        <f t="shared" si="8"/>
        <v>0.46230605085735615</v>
      </c>
      <c r="AY30" s="115">
        <f t="shared" si="9"/>
        <v>0.45290600078022447</v>
      </c>
      <c r="AZ30" s="1336">
        <f t="shared" si="10"/>
        <v>9.4000500771316831E-3</v>
      </c>
    </row>
    <row r="31" spans="2:52" ht="18.75" thickBot="1" x14ac:dyDescent="0.25">
      <c r="B31" s="858" t="s">
        <v>487</v>
      </c>
      <c r="C31" s="832"/>
      <c r="D31" s="832"/>
      <c r="E31" s="1332">
        <f>(0.05/G28)*H21</f>
        <v>2695.5</v>
      </c>
      <c r="F31" s="832"/>
      <c r="G31" s="852">
        <v>0.14000000000000001</v>
      </c>
      <c r="H31" s="832"/>
      <c r="I31" s="838" t="s">
        <v>0</v>
      </c>
      <c r="J31" s="666"/>
      <c r="K31" s="666"/>
      <c r="L31" s="832"/>
      <c r="M31" s="838" t="s">
        <v>0</v>
      </c>
      <c r="N31" s="666"/>
      <c r="O31" s="666"/>
      <c r="P31" s="832"/>
      <c r="Q31" s="838" t="s">
        <v>0</v>
      </c>
      <c r="S31" s="22">
        <f t="shared" si="1"/>
        <v>3126.7800000000279</v>
      </c>
      <c r="T31" s="872">
        <v>348905.52</v>
      </c>
      <c r="U31" s="876" t="s">
        <v>19</v>
      </c>
      <c r="V31" s="916">
        <f>'A7. HELHET (2013)'!D20</f>
        <v>1562874.8279462485</v>
      </c>
      <c r="W31" s="917">
        <f>'A7. HELHET (2013)'!E20</f>
        <v>352032.30000000005</v>
      </c>
      <c r="X31" s="917">
        <f>'A7. HELHET (2013)'!G20</f>
        <v>506982.42000000004</v>
      </c>
      <c r="Y31" s="925">
        <f>'A7. HELHET (2013)'!I20</f>
        <v>-85680.18816426897</v>
      </c>
      <c r="Z31" s="917"/>
      <c r="AA31" s="917">
        <f>'A7. HELHET (2013)'!M20+'A7. HELHET (2013)'!N20</f>
        <v>27150</v>
      </c>
      <c r="AB31" s="915">
        <f>'A7. HELHET (2013)'!O20</f>
        <v>2363359.3597819796</v>
      </c>
      <c r="AC31" s="1327"/>
      <c r="AD31" s="1159">
        <f t="shared" si="2"/>
        <v>2431747.3925442924</v>
      </c>
      <c r="AE31" s="1159"/>
      <c r="AF31" s="952">
        <f t="shared" si="3"/>
        <v>1.0443294297334755</v>
      </c>
      <c r="AG31" s="952">
        <f t="shared" si="4"/>
        <v>0.87638358327875321</v>
      </c>
      <c r="AH31" s="952">
        <f t="shared" si="5"/>
        <v>0.85173704746283019</v>
      </c>
      <c r="AI31" s="949" t="s">
        <v>19</v>
      </c>
      <c r="AJ31" s="951">
        <f t="shared" si="0"/>
        <v>0.9072620826449378</v>
      </c>
      <c r="AK31" s="952">
        <f t="shared" si="6"/>
        <v>0.88261554682901477</v>
      </c>
      <c r="AL31" s="949"/>
      <c r="AM31" s="931">
        <v>2886979.4332723375</v>
      </c>
      <c r="AN31" s="931">
        <v>2774752.3332723374</v>
      </c>
      <c r="AO31" s="931">
        <f>AN31-'Data, inkomst- skkompl, kost'!F307</f>
        <v>2345083.3407723373</v>
      </c>
      <c r="AR31" s="949" t="s">
        <v>17</v>
      </c>
      <c r="AS31" s="22">
        <v>2410504.6243568435</v>
      </c>
      <c r="AT31" s="22">
        <v>2744175.4767429889</v>
      </c>
      <c r="AV31" s="22">
        <v>6112915</v>
      </c>
      <c r="AX31" s="1337">
        <f t="shared" si="8"/>
        <v>0.28280956829445486</v>
      </c>
      <c r="AY31" s="115">
        <f t="shared" si="9"/>
        <v>0.30982809580060905</v>
      </c>
      <c r="AZ31" s="1336">
        <f t="shared" si="10"/>
        <v>-2.7018527506154189E-2</v>
      </c>
    </row>
    <row r="32" spans="2:52" ht="18.75" thickBot="1" x14ac:dyDescent="0.25">
      <c r="B32" s="858" t="s">
        <v>585</v>
      </c>
      <c r="C32" s="832"/>
      <c r="D32" s="832"/>
      <c r="E32" s="832"/>
      <c r="F32" s="832"/>
      <c r="G32" s="832"/>
      <c r="H32" s="1003" t="s">
        <v>3</v>
      </c>
      <c r="I32" s="852">
        <v>10677</v>
      </c>
      <c r="J32" s="839"/>
      <c r="K32" s="666"/>
      <c r="L32" s="1003" t="s">
        <v>3</v>
      </c>
      <c r="M32" s="852">
        <f>ROUND(I32*$K$30,0)</f>
        <v>10880</v>
      </c>
      <c r="N32" s="666"/>
      <c r="O32" s="666"/>
      <c r="P32" s="1003" t="s">
        <v>3</v>
      </c>
      <c r="Q32" s="852">
        <f>ROUND(M32*$O$30,0)</f>
        <v>10902</v>
      </c>
      <c r="S32" s="22">
        <f t="shared" si="1"/>
        <v>0</v>
      </c>
      <c r="T32" s="851">
        <v>38815.200000000004</v>
      </c>
      <c r="U32" s="876" t="s">
        <v>20</v>
      </c>
      <c r="V32" s="916">
        <f>'A7. HELHET (2013)'!D21</f>
        <v>82935.455055998202</v>
      </c>
      <c r="W32" s="917">
        <f>'A7. HELHET (2013)'!E21</f>
        <v>38815.200000000004</v>
      </c>
      <c r="X32" s="917">
        <f>'A7. HELHET (2013)'!G21</f>
        <v>48473.740000000005</v>
      </c>
      <c r="Y32" s="925">
        <f>'A7. HELHET (2013)'!I21</f>
        <v>-16893.064653567839</v>
      </c>
      <c r="Z32" s="917">
        <f>'A7. HELHET (2013)'!K21</f>
        <v>106123.40000000001</v>
      </c>
      <c r="AA32" s="917">
        <f>'A7. HELHET (2013)'!M21+'A7. HELHET (2013)'!N21</f>
        <v>1545</v>
      </c>
      <c r="AB32" s="915">
        <f>'A7. HELHET (2013)'!O21</f>
        <v>260999.7304024304</v>
      </c>
      <c r="AC32" s="1327"/>
      <c r="AD32" s="1159">
        <f t="shared" si="2"/>
        <v>268552.22471093998</v>
      </c>
      <c r="AE32" s="1159"/>
      <c r="AF32" s="952">
        <f t="shared" si="3"/>
        <v>1.0652601061849993</v>
      </c>
      <c r="AG32" s="952">
        <f t="shared" si="4"/>
        <v>0.96605286081648067</v>
      </c>
      <c r="AH32" s="952">
        <f t="shared" si="5"/>
        <v>0.93888455587732356</v>
      </c>
      <c r="AI32" s="949" t="s">
        <v>20</v>
      </c>
      <c r="AJ32" s="951">
        <f t="shared" si="0"/>
        <v>1.0268216496585871</v>
      </c>
      <c r="AK32" s="952">
        <f t="shared" si="6"/>
        <v>0.9996533447194299</v>
      </c>
      <c r="AL32" s="949"/>
      <c r="AM32" s="931">
        <v>291301.62146676198</v>
      </c>
      <c r="AN32" s="931">
        <v>277989.16146676196</v>
      </c>
      <c r="AO32" s="931">
        <f>AN32-'Data, inkomst- skkompl, kost'!F308</f>
        <v>260868.48971676195</v>
      </c>
      <c r="AR32" s="949" t="s">
        <v>18</v>
      </c>
      <c r="AS32" s="22">
        <v>668349.82085073739</v>
      </c>
      <c r="AT32" s="22">
        <v>678718.84852217569</v>
      </c>
      <c r="AV32" s="22">
        <v>1506527.6666666667</v>
      </c>
      <c r="AX32" s="1337">
        <f t="shared" si="8"/>
        <v>0.30730458367733182</v>
      </c>
      <c r="AY32" s="115">
        <f t="shared" si="9"/>
        <v>0.31059143387469162</v>
      </c>
      <c r="AZ32" s="1336">
        <f t="shared" si="10"/>
        <v>-3.286850197359803E-3</v>
      </c>
    </row>
    <row r="33" spans="2:52" ht="18.75" thickBot="1" x14ac:dyDescent="0.25">
      <c r="B33" s="831"/>
      <c r="C33" s="832"/>
      <c r="D33" s="832"/>
      <c r="E33" s="834"/>
      <c r="F33" s="832"/>
      <c r="G33" s="832"/>
      <c r="H33" s="1003" t="s">
        <v>5</v>
      </c>
      <c r="I33" s="852">
        <v>1384</v>
      </c>
      <c r="J33" s="839"/>
      <c r="K33" s="666"/>
      <c r="L33" s="1003" t="s">
        <v>5</v>
      </c>
      <c r="M33" s="852">
        <f>ROUND(I33*$K$30,0)</f>
        <v>1410</v>
      </c>
      <c r="N33" s="666"/>
      <c r="O33" s="666"/>
      <c r="P33" s="1003" t="s">
        <v>5</v>
      </c>
      <c r="Q33" s="852">
        <f>ROUND(M33*$O$30,0)</f>
        <v>1413</v>
      </c>
      <c r="S33" s="22">
        <f t="shared" si="1"/>
        <v>0</v>
      </c>
      <c r="T33" s="851">
        <v>316128.24000000005</v>
      </c>
      <c r="U33" s="876" t="s">
        <v>21</v>
      </c>
      <c r="V33" s="916">
        <f>'A7. HELHET (2013)'!D22</f>
        <v>1151668.3318621269</v>
      </c>
      <c r="W33" s="917">
        <f>'A7. HELHET (2013)'!E22</f>
        <v>316128.24000000005</v>
      </c>
      <c r="X33" s="917">
        <f>'A7. HELHET (2013)'!G22</f>
        <v>284386.06000000006</v>
      </c>
      <c r="Y33" s="925">
        <f>'A7. HELHET (2013)'!I22</f>
        <v>382477.78257767769</v>
      </c>
      <c r="Z33" s="917"/>
      <c r="AA33" s="917">
        <f>'A7. HELHET (2013)'!M22+'A7. HELHET (2013)'!N22</f>
        <v>15480</v>
      </c>
      <c r="AB33" s="915">
        <f>'A7. HELHET (2013)'!O22</f>
        <v>2150140.4144398049</v>
      </c>
      <c r="AC33" s="1327"/>
      <c r="AD33" s="1159">
        <f t="shared" si="2"/>
        <v>2212358.5754222497</v>
      </c>
      <c r="AE33" s="1159"/>
      <c r="AF33" s="952">
        <f t="shared" si="3"/>
        <v>1.0920239078697973</v>
      </c>
      <c r="AG33" s="952">
        <f t="shared" si="4"/>
        <v>1.0478371110993228</v>
      </c>
      <c r="AH33" s="952">
        <f t="shared" si="5"/>
        <v>1.01836878766115</v>
      </c>
      <c r="AI33" s="949" t="s">
        <v>21</v>
      </c>
      <c r="AJ33" s="951">
        <f t="shared" si="0"/>
        <v>0.86668455327791394</v>
      </c>
      <c r="AK33" s="952">
        <f t="shared" si="6"/>
        <v>0.83721622983974131</v>
      </c>
      <c r="AL33" s="949"/>
      <c r="AM33" s="931">
        <v>2159327.0697884206</v>
      </c>
      <c r="AN33" s="931">
        <v>2111357.3397884206</v>
      </c>
      <c r="AO33" s="931">
        <f>AN33-'Data, inkomst- skkompl, kost'!F309</f>
        <v>1618703.2345384206</v>
      </c>
      <c r="AR33" s="949" t="s">
        <v>19</v>
      </c>
      <c r="AS33" s="22">
        <v>2339433.188335306</v>
      </c>
      <c r="AT33" s="22">
        <v>2846110.7489955411</v>
      </c>
      <c r="AV33" s="22">
        <v>5632322.333333333</v>
      </c>
      <c r="AX33" s="1337">
        <f t="shared" si="8"/>
        <v>0.29346524513657168</v>
      </c>
      <c r="AY33" s="115">
        <f t="shared" si="9"/>
        <v>0.33568829539122402</v>
      </c>
      <c r="AZ33" s="1336">
        <f t="shared" si="10"/>
        <v>-4.2223050254652339E-2</v>
      </c>
    </row>
    <row r="34" spans="2:52" ht="18.75" thickBot="1" x14ac:dyDescent="0.25">
      <c r="B34" s="831"/>
      <c r="C34" s="832"/>
      <c r="D34" s="832"/>
      <c r="E34" s="832"/>
      <c r="F34" s="832"/>
      <c r="G34" s="832"/>
      <c r="H34" s="1003" t="s">
        <v>581</v>
      </c>
      <c r="I34" s="852">
        <v>6566</v>
      </c>
      <c r="J34" s="839"/>
      <c r="K34" s="666"/>
      <c r="L34" s="1003" t="s">
        <v>581</v>
      </c>
      <c r="M34" s="852">
        <f>ROUND(I34*$K$30,0)</f>
        <v>6691</v>
      </c>
      <c r="N34" s="666"/>
      <c r="O34" s="666"/>
      <c r="P34" s="1003" t="s">
        <v>581</v>
      </c>
      <c r="Q34" s="852">
        <f>ROUND(M34*$O$30,0)</f>
        <v>6704</v>
      </c>
      <c r="S34" s="22">
        <f t="shared" si="1"/>
        <v>0</v>
      </c>
      <c r="T34" s="851">
        <v>206151.84</v>
      </c>
      <c r="U34" s="876" t="s">
        <v>22</v>
      </c>
      <c r="V34" s="916">
        <f>'A7. HELHET (2013)'!D23</f>
        <v>619277.32370703423</v>
      </c>
      <c r="W34" s="917">
        <f>'A7. HELHET (2013)'!E23</f>
        <v>206151.84</v>
      </c>
      <c r="X34" s="917">
        <f>'A7. HELHET (2013)'!G23</f>
        <v>150881.5</v>
      </c>
      <c r="Y34" s="925">
        <f>'A7. HELHET (2013)'!I23</f>
        <v>-34074.755894599111</v>
      </c>
      <c r="Z34" s="917">
        <f>'A7. HELHET (2013)'!K23</f>
        <v>305967.95</v>
      </c>
      <c r="AA34" s="917">
        <f>'A7. HELHET (2013)'!M23+'A7. HELHET (2013)'!N23</f>
        <v>6735</v>
      </c>
      <c r="AB34" s="915">
        <f>'A7. HELHET (2013)'!O23</f>
        <v>1254938.8578124351</v>
      </c>
      <c r="AC34" s="1327"/>
      <c r="AD34" s="1159">
        <f t="shared" si="2"/>
        <v>1291252.7596181654</v>
      </c>
      <c r="AE34" s="1159"/>
      <c r="AF34" s="952">
        <f t="shared" si="3"/>
        <v>1.0674100432843068</v>
      </c>
      <c r="AG34" s="952">
        <f>AD34/AN34</f>
        <v>0.94934816924108112</v>
      </c>
      <c r="AH34" s="952">
        <f t="shared" si="5"/>
        <v>0.92264965034888158</v>
      </c>
      <c r="AI34" s="949" t="s">
        <v>22</v>
      </c>
      <c r="AJ34" s="951">
        <f t="shared" si="0"/>
        <v>0.9744004348683315</v>
      </c>
      <c r="AK34" s="952">
        <f t="shared" si="6"/>
        <v>0.94770191597613185</v>
      </c>
      <c r="AL34" s="949"/>
      <c r="AM34" s="931">
        <v>1386613.1790107221</v>
      </c>
      <c r="AN34" s="931">
        <v>1360146.6790107221</v>
      </c>
      <c r="AO34" s="931">
        <f>AN34-'Data, inkomst- skkompl, kost'!F310</f>
        <v>1207608.6615607222</v>
      </c>
      <c r="AR34" s="949" t="s">
        <v>20</v>
      </c>
      <c r="AS34" s="22">
        <v>225697.6897273933</v>
      </c>
      <c r="AT34" s="22">
        <v>263009.30079368257</v>
      </c>
      <c r="AV34" s="22">
        <v>396603</v>
      </c>
      <c r="AX34" s="1337">
        <f t="shared" si="8"/>
        <v>0.36268269255215357</v>
      </c>
      <c r="AY34" s="115">
        <f t="shared" si="9"/>
        <v>0.3987331656447507</v>
      </c>
      <c r="AZ34" s="1336">
        <f t="shared" si="10"/>
        <v>-3.6050473092597124E-2</v>
      </c>
    </row>
    <row r="35" spans="2:52" ht="18.75" thickBot="1" x14ac:dyDescent="0.25">
      <c r="B35" s="857"/>
      <c r="C35" s="832"/>
      <c r="D35" s="870">
        <v>2013</v>
      </c>
      <c r="E35" s="870">
        <v>2014</v>
      </c>
      <c r="F35" s="870">
        <v>2015</v>
      </c>
      <c r="G35" s="870"/>
      <c r="H35" s="1003" t="s">
        <v>7</v>
      </c>
      <c r="I35" s="852">
        <v>20762</v>
      </c>
      <c r="J35" s="839"/>
      <c r="K35" s="666"/>
      <c r="L35" s="1003" t="s">
        <v>7</v>
      </c>
      <c r="M35" s="852">
        <f>ROUND(I35*$K$30,0)</f>
        <v>21156</v>
      </c>
      <c r="N35" s="666"/>
      <c r="O35" s="666"/>
      <c r="P35" s="1003" t="s">
        <v>7</v>
      </c>
      <c r="Q35" s="852">
        <f>ROUND(M35*$O$30,0)</f>
        <v>21198</v>
      </c>
      <c r="S35" s="22">
        <f t="shared" si="1"/>
        <v>50136.300000000047</v>
      </c>
      <c r="T35" s="872">
        <v>536943.6</v>
      </c>
      <c r="U35" s="879" t="s">
        <v>23</v>
      </c>
      <c r="V35" s="919">
        <f>'A7. HELHET (2013)'!D24</f>
        <v>0</v>
      </c>
      <c r="W35" s="920">
        <f>'A7. HELHET (2013)'!E24</f>
        <v>587079.9</v>
      </c>
      <c r="X35" s="920">
        <f>'A7. HELHET (2013)'!G24</f>
        <v>2880141.6000000006</v>
      </c>
      <c r="Y35" s="926">
        <f>'A7. HELHET (2013)'!I24</f>
        <v>1891141.0413873864</v>
      </c>
      <c r="Z35" s="920"/>
      <c r="AA35" s="920">
        <f>'A7. HELHET (2013)'!M24+'A7. HELHET (2013)'!N24</f>
        <v>265352</v>
      </c>
      <c r="AB35" s="915">
        <f>'A7. HELHET (2013)'!O24</f>
        <v>5623714.5413873866</v>
      </c>
      <c r="AC35" s="1327"/>
      <c r="AD35" s="1160">
        <f t="shared" si="2"/>
        <v>5786446.7863633586</v>
      </c>
      <c r="AE35" s="1160"/>
      <c r="AF35" s="952">
        <f t="shared" si="3"/>
        <v>0.88377400225538483</v>
      </c>
      <c r="AG35" s="952">
        <f>AD35/AN35</f>
        <v>1.0123269524449789</v>
      </c>
      <c r="AH35" s="953">
        <f t="shared" si="5"/>
        <v>0.98385728121093496</v>
      </c>
      <c r="AI35" s="949" t="s">
        <v>23</v>
      </c>
      <c r="AJ35" s="951">
        <f t="shared" si="0"/>
        <v>0.68147572063498174</v>
      </c>
      <c r="AK35" s="953">
        <f t="shared" si="6"/>
        <v>0.65300604940093776</v>
      </c>
      <c r="AL35" s="949"/>
      <c r="AM35" s="931">
        <v>6220975.2375625437</v>
      </c>
      <c r="AN35" s="975">
        <v>5715986.097562544</v>
      </c>
      <c r="AO35" s="975">
        <f>AN35-'Data, inkomst- skkompl, kost'!F311</f>
        <v>4223447.9521625433</v>
      </c>
      <c r="AR35" s="949" t="s">
        <v>21</v>
      </c>
      <c r="AS35" s="22">
        <v>2134597.4523428059</v>
      </c>
      <c r="AT35" s="22">
        <v>2165111.6623294731</v>
      </c>
      <c r="AV35" s="22">
        <v>3349329</v>
      </c>
      <c r="AX35" s="1337">
        <f t="shared" si="8"/>
        <v>0.38924618535518057</v>
      </c>
      <c r="AY35" s="115">
        <f t="shared" si="9"/>
        <v>0.39262579741221876</v>
      </c>
      <c r="AZ35" s="1336">
        <f t="shared" si="10"/>
        <v>-3.3796120570381838E-3</v>
      </c>
    </row>
    <row r="36" spans="2:52" ht="18.75" thickBot="1" x14ac:dyDescent="0.3">
      <c r="B36" s="857" t="s">
        <v>490</v>
      </c>
      <c r="C36" s="832"/>
      <c r="D36" s="838" t="s">
        <v>596</v>
      </c>
      <c r="E36" s="838" t="s">
        <v>596</v>
      </c>
      <c r="F36" s="838" t="s">
        <v>596</v>
      </c>
      <c r="G36" s="859"/>
      <c r="H36" s="832"/>
      <c r="I36" s="839"/>
      <c r="J36" s="839"/>
      <c r="K36" s="666"/>
      <c r="L36" s="666"/>
      <c r="M36" s="666"/>
      <c r="N36" s="666"/>
      <c r="O36" s="666"/>
      <c r="P36" s="666"/>
      <c r="Q36" s="844"/>
      <c r="T36" s="872">
        <v>4490163.9000000004</v>
      </c>
      <c r="U36" s="874" t="s">
        <v>247</v>
      </c>
      <c r="V36" s="921">
        <f>'A7. HELHET (2013)'!D25</f>
        <v>16130637.764756812</v>
      </c>
      <c r="W36" s="922">
        <f>'A7. HELHET (2013)'!E25</f>
        <v>4582835.1900000013</v>
      </c>
      <c r="X36" s="922">
        <f>'A7. HELHET (2013)'!G25</f>
        <v>7452992.9600000009</v>
      </c>
      <c r="Y36" s="927">
        <f>'A7. HELHET (2013)'!I25</f>
        <v>2578614.4845999996</v>
      </c>
      <c r="Z36" s="922">
        <f>'A7. HELHET (2013)'!K25</f>
        <v>1736699.55</v>
      </c>
      <c r="AA36" s="922">
        <f>'A7. HELHET (2013)'!M25+'A7. HELHET (2013)'!N25</f>
        <v>521732</v>
      </c>
      <c r="AB36" s="915">
        <f>'A7. HELHET (2013)'!O25</f>
        <v>33003511.949356813</v>
      </c>
      <c r="AC36" s="1327"/>
      <c r="AD36" s="1161">
        <f t="shared" si="2"/>
        <v>33958527.63375625</v>
      </c>
      <c r="AE36" s="1161"/>
      <c r="AF36" s="954">
        <f t="shared" ref="AF36" si="18">AB36/AO36</f>
        <v>1.1956018882997044</v>
      </c>
      <c r="AG36" s="954">
        <f>AD36/AN36</f>
        <v>1</v>
      </c>
      <c r="AH36" s="954">
        <f t="shared" si="5"/>
        <v>0.97187699965383334</v>
      </c>
      <c r="AI36" s="949"/>
      <c r="AJ36" s="951">
        <f>(AD36-Y36)/AN36</f>
        <v>0.92406577480595053</v>
      </c>
      <c r="AK36" s="954">
        <f t="shared" si="6"/>
        <v>0.89594277445978387</v>
      </c>
      <c r="AL36" s="949"/>
      <c r="AM36" s="950">
        <f>SUM(AM20:AM35)</f>
        <v>35428423.523756251</v>
      </c>
      <c r="AN36" s="950">
        <v>33958527.63375625</v>
      </c>
      <c r="AO36" s="950">
        <f>AN36-'Data, inkomst- skkompl, kost'!F312</f>
        <v>27604098.213906251</v>
      </c>
      <c r="AR36" s="949" t="s">
        <v>22</v>
      </c>
      <c r="AS36" s="22">
        <v>1321494.7878335374</v>
      </c>
      <c r="AT36" s="22">
        <v>1408500.8916702408</v>
      </c>
      <c r="AV36" s="22">
        <v>1188319.6666666667</v>
      </c>
      <c r="AX36" s="1337">
        <f t="shared" si="8"/>
        <v>0.52653086982746522</v>
      </c>
      <c r="AY36" s="115">
        <f t="shared" si="9"/>
        <v>0.54239438576082932</v>
      </c>
      <c r="AZ36" s="1336">
        <f t="shared" si="10"/>
        <v>-1.5863515933364103E-2</v>
      </c>
    </row>
    <row r="37" spans="2:52" ht="31.5" customHeight="1" thickBot="1" x14ac:dyDescent="0.25">
      <c r="B37" s="858" t="s">
        <v>487</v>
      </c>
      <c r="C37" s="832"/>
      <c r="D37" s="852">
        <v>52962</v>
      </c>
      <c r="E37" s="852">
        <f>ROUND(D37*K30,1)</f>
        <v>53968.3</v>
      </c>
      <c r="F37" s="852">
        <f>ROUND(E37*O30,1)</f>
        <v>54076.2</v>
      </c>
      <c r="G37" s="859"/>
      <c r="H37" s="1386" t="s">
        <v>622</v>
      </c>
      <c r="I37" s="1387"/>
      <c r="J37" s="1388"/>
      <c r="K37" s="852">
        <v>2</v>
      </c>
      <c r="L37" s="666"/>
      <c r="M37" s="666"/>
      <c r="N37" s="666"/>
      <c r="O37" s="666"/>
      <c r="P37" s="666"/>
      <c r="Q37" s="844"/>
      <c r="T37" s="872"/>
      <c r="U37" s="839"/>
      <c r="V37" s="917">
        <f>SUM(V20:V35)</f>
        <v>16130637.764756812</v>
      </c>
      <c r="W37" s="917">
        <f t="shared" ref="W37:AB37" si="19">SUM(W20:W35)</f>
        <v>4582835.1900000013</v>
      </c>
      <c r="X37" s="917">
        <f t="shared" si="19"/>
        <v>7452992.9600000009</v>
      </c>
      <c r="Y37" s="917">
        <f t="shared" si="19"/>
        <v>2578614.4845999996</v>
      </c>
      <c r="Z37" s="917">
        <f t="shared" si="19"/>
        <v>1736699.55</v>
      </c>
      <c r="AA37" s="917">
        <f t="shared" si="19"/>
        <v>521732</v>
      </c>
      <c r="AB37" s="917">
        <f t="shared" si="19"/>
        <v>33003511.949356809</v>
      </c>
      <c r="AC37" s="1163">
        <f>SUM(V37:AA37)</f>
        <v>33003511.949356813</v>
      </c>
      <c r="AD37" s="666"/>
      <c r="AE37" s="666"/>
      <c r="AF37" s="955"/>
      <c r="AG37" s="954">
        <f t="shared" ref="AG37" si="20">AB37/AM37</f>
        <v>0.97187699965383323</v>
      </c>
      <c r="AH37" s="976"/>
      <c r="AI37" s="949"/>
      <c r="AJ37" s="949"/>
      <c r="AK37" s="949"/>
      <c r="AL37" s="949"/>
      <c r="AM37" s="950">
        <f>'A7. HELHET (2013)'!I47</f>
        <v>33958527.63375625</v>
      </c>
      <c r="AN37" s="978"/>
      <c r="AO37" s="980">
        <f>AM36-AN36</f>
        <v>1469895.8900000006</v>
      </c>
      <c r="AR37" s="949" t="s">
        <v>23</v>
      </c>
      <c r="AS37" s="22">
        <v>5711847.0136812655</v>
      </c>
      <c r="AT37" s="22">
        <v>5849395.3162922775</v>
      </c>
      <c r="AV37" s="22">
        <v>48927867.333333336</v>
      </c>
      <c r="AX37" s="1337">
        <f t="shared" si="8"/>
        <v>0.10453654602594659</v>
      </c>
      <c r="AY37" s="115">
        <f t="shared" si="9"/>
        <v>0.10678509719821234</v>
      </c>
      <c r="AZ37" s="1336">
        <f t="shared" si="10"/>
        <v>-2.2485511722657586E-3</v>
      </c>
    </row>
    <row r="38" spans="2:52" ht="16.5" thickBot="1" x14ac:dyDescent="0.3">
      <c r="B38" s="831"/>
      <c r="C38" s="832"/>
      <c r="D38" s="832"/>
      <c r="E38" s="832">
        <v>2013</v>
      </c>
      <c r="F38" s="832">
        <v>2014</v>
      </c>
      <c r="G38" s="832">
        <v>2015</v>
      </c>
      <c r="H38" s="1389"/>
      <c r="I38" s="1390"/>
      <c r="J38" s="1391"/>
      <c r="K38" s="666"/>
      <c r="L38" s="666"/>
      <c r="M38" s="666"/>
      <c r="N38" s="666"/>
      <c r="O38" s="666"/>
      <c r="P38" s="666"/>
      <c r="Q38" s="844"/>
      <c r="T38" s="851"/>
      <c r="U38" s="839"/>
      <c r="V38" s="839"/>
      <c r="W38" s="917">
        <v>7367129.2792128734</v>
      </c>
      <c r="X38" s="839"/>
      <c r="Y38" s="839"/>
      <c r="Z38" s="839"/>
      <c r="AA38" s="839"/>
      <c r="AB38" s="839"/>
      <c r="AC38" s="1164"/>
      <c r="AD38" s="666"/>
      <c r="AE38" s="666"/>
      <c r="AF38" s="666"/>
      <c r="AG38" s="666"/>
      <c r="AH38" s="666"/>
      <c r="AI38" s="666"/>
      <c r="AJ38" s="666"/>
      <c r="AK38" s="666"/>
      <c r="AL38" s="666"/>
      <c r="AM38" s="666"/>
      <c r="AN38" s="666"/>
      <c r="AO38" s="980">
        <v>1469896</v>
      </c>
      <c r="AR38" s="5" t="s">
        <v>24</v>
      </c>
      <c r="AS38" s="22">
        <v>33258140.689067006</v>
      </c>
      <c r="AT38" s="217">
        <v>34104016.2269632</v>
      </c>
      <c r="AV38" s="22">
        <v>104514644</v>
      </c>
      <c r="AX38" s="1337">
        <f t="shared" si="8"/>
        <v>0.24139847912725113</v>
      </c>
      <c r="AY38" s="115">
        <f t="shared" si="9"/>
        <v>0.24602759953908074</v>
      </c>
      <c r="AZ38" s="1336">
        <f t="shared" si="10"/>
        <v>-4.6291204118296125E-3</v>
      </c>
    </row>
    <row r="39" spans="2:52" ht="18.75" thickBot="1" x14ac:dyDescent="0.3">
      <c r="B39" s="831"/>
      <c r="C39" s="928" t="s">
        <v>633</v>
      </c>
      <c r="D39" s="852">
        <v>0.65</v>
      </c>
      <c r="E39" s="838" t="s">
        <v>729</v>
      </c>
      <c r="F39" s="838" t="s">
        <v>729</v>
      </c>
      <c r="G39" s="838" t="s">
        <v>729</v>
      </c>
      <c r="H39" s="928"/>
      <c r="I39" s="839"/>
      <c r="J39" s="839"/>
      <c r="K39" s="666"/>
      <c r="L39" s="666"/>
      <c r="M39" s="666"/>
      <c r="N39" s="666"/>
      <c r="O39" s="666"/>
      <c r="P39" s="666"/>
      <c r="Q39" s="844"/>
      <c r="T39" s="851"/>
      <c r="U39" s="839"/>
      <c r="V39" s="839"/>
      <c r="W39" s="917">
        <v>4490163.9000000004</v>
      </c>
      <c r="X39" s="839"/>
      <c r="Y39" s="839"/>
      <c r="Z39" s="839"/>
      <c r="AA39" s="1308"/>
      <c r="AB39" s="1309"/>
      <c r="AC39" s="1310">
        <f>AB37+AB39</f>
        <v>33003511.949356809</v>
      </c>
      <c r="AD39" s="666"/>
      <c r="AE39" s="666"/>
      <c r="AF39" s="666"/>
      <c r="AG39" s="666"/>
      <c r="AH39" s="666"/>
      <c r="AI39" s="666"/>
      <c r="AJ39" s="666"/>
      <c r="AK39" s="666"/>
      <c r="AL39" s="666"/>
      <c r="AM39" s="666"/>
      <c r="AN39" s="666"/>
      <c r="AO39" s="844"/>
    </row>
    <row r="40" spans="2:52" ht="18.75" thickBot="1" x14ac:dyDescent="0.25">
      <c r="B40" s="831"/>
      <c r="C40" s="928" t="s">
        <v>697</v>
      </c>
      <c r="D40" s="852">
        <v>0.86</v>
      </c>
      <c r="E40" s="852">
        <v>882.67</v>
      </c>
      <c r="F40" s="852">
        <f>ROUND(E40*K30,2)</f>
        <v>899.44</v>
      </c>
      <c r="G40" s="852">
        <f>ROUND(F40*O30,2)</f>
        <v>901.24</v>
      </c>
      <c r="H40" s="928"/>
      <c r="I40" s="839"/>
      <c r="J40" s="839"/>
      <c r="K40" s="839"/>
      <c r="L40" s="666"/>
      <c r="M40" s="666"/>
      <c r="N40" s="666"/>
      <c r="O40" s="666"/>
      <c r="P40" s="666"/>
      <c r="Q40" s="844"/>
      <c r="T40" s="851"/>
      <c r="U40" s="839"/>
      <c r="V40" s="839"/>
      <c r="W40" s="917"/>
      <c r="X40" s="839"/>
      <c r="Y40" s="839"/>
      <c r="Z40" s="839"/>
      <c r="AA40" s="839"/>
      <c r="AB40" s="839"/>
      <c r="AC40" s="1164"/>
      <c r="AD40" s="666"/>
      <c r="AE40" s="666"/>
      <c r="AF40" s="666"/>
      <c r="AG40" s="666"/>
      <c r="AH40" s="666"/>
      <c r="AI40" s="666"/>
      <c r="AJ40" s="666" t="s">
        <v>628</v>
      </c>
      <c r="AK40" s="666"/>
      <c r="AL40" s="666"/>
      <c r="AM40" s="666"/>
      <c r="AN40" s="666"/>
      <c r="AO40" s="844"/>
    </row>
    <row r="41" spans="2:52" ht="18.75" thickBot="1" x14ac:dyDescent="0.3">
      <c r="B41" s="831"/>
      <c r="C41" s="928" t="s">
        <v>730</v>
      </c>
      <c r="D41" s="852">
        <v>0.14000000000000001</v>
      </c>
      <c r="E41" s="832"/>
      <c r="F41" s="832"/>
      <c r="G41" s="832"/>
      <c r="H41" s="832"/>
      <c r="I41" s="839"/>
      <c r="J41" s="839"/>
      <c r="K41" s="666"/>
      <c r="L41" s="1245" t="s">
        <v>654</v>
      </c>
      <c r="M41" s="842"/>
      <c r="N41" s="843"/>
      <c r="O41" s="666"/>
      <c r="P41" s="666" t="s">
        <v>786</v>
      </c>
      <c r="Q41" s="844"/>
      <c r="T41" s="851"/>
      <c r="U41" s="847">
        <v>2014</v>
      </c>
      <c r="V41" s="839"/>
      <c r="W41" s="839"/>
      <c r="X41" s="839"/>
      <c r="Y41" s="870"/>
      <c r="Z41" s="839"/>
      <c r="AA41" s="839"/>
      <c r="AB41" s="839"/>
      <c r="AC41" s="1162"/>
      <c r="AD41" s="666" t="s">
        <v>609</v>
      </c>
      <c r="AE41" s="666"/>
      <c r="AF41" s="977" t="s">
        <v>521</v>
      </c>
      <c r="AG41" s="977"/>
      <c r="AH41" s="555"/>
      <c r="AI41" s="666"/>
      <c r="AJ41" s="977" t="s">
        <v>611</v>
      </c>
      <c r="AK41" s="555"/>
      <c r="AL41" s="666"/>
      <c r="AM41" s="666"/>
      <c r="AN41" s="666"/>
      <c r="AO41" s="844"/>
      <c r="AS41" s="1" t="s">
        <v>778</v>
      </c>
    </row>
    <row r="42" spans="2:52" ht="18.75" thickBot="1" x14ac:dyDescent="0.3">
      <c r="B42" s="857" t="s">
        <v>491</v>
      </c>
      <c r="C42" s="832"/>
      <c r="D42" s="832"/>
      <c r="E42" s="832"/>
      <c r="F42" s="861" t="s">
        <v>103</v>
      </c>
      <c r="G42" s="862"/>
      <c r="H42" s="862" t="s">
        <v>110</v>
      </c>
      <c r="I42" s="863" t="s">
        <v>111</v>
      </c>
      <c r="J42" s="837" t="s">
        <v>112</v>
      </c>
      <c r="K42" s="1234"/>
      <c r="L42" s="1246" t="s">
        <v>655</v>
      </c>
      <c r="M42" s="1236" t="s">
        <v>656</v>
      </c>
      <c r="N42" s="844"/>
      <c r="O42" s="666" t="s">
        <v>110</v>
      </c>
      <c r="P42" s="238">
        <v>24260</v>
      </c>
      <c r="Q42" s="844"/>
      <c r="T42" s="872"/>
      <c r="U42" s="881"/>
      <c r="V42" s="894" t="s">
        <v>480</v>
      </c>
      <c r="W42" s="886" t="s">
        <v>500</v>
      </c>
      <c r="X42" s="886" t="s">
        <v>501</v>
      </c>
      <c r="Y42" s="886" t="s">
        <v>741</v>
      </c>
      <c r="Z42" s="886" t="s">
        <v>491</v>
      </c>
      <c r="AA42" s="886" t="s">
        <v>496</v>
      </c>
      <c r="AB42" s="883" t="s">
        <v>502</v>
      </c>
      <c r="AC42" s="1162"/>
      <c r="AD42" s="887" t="s">
        <v>610</v>
      </c>
      <c r="AE42" s="666"/>
      <c r="AF42" s="929" t="s">
        <v>721</v>
      </c>
      <c r="AG42" s="884" t="s">
        <v>724</v>
      </c>
      <c r="AH42" s="884" t="s">
        <v>725</v>
      </c>
      <c r="AI42" s="949"/>
      <c r="AJ42" s="884" t="s">
        <v>523</v>
      </c>
      <c r="AK42" s="884" t="s">
        <v>528</v>
      </c>
      <c r="AL42" s="949"/>
      <c r="AM42" s="884" t="s">
        <v>518</v>
      </c>
      <c r="AN42" s="884" t="s">
        <v>527</v>
      </c>
      <c r="AO42" s="844"/>
      <c r="AS42" s="1" t="s">
        <v>776</v>
      </c>
      <c r="AT42" s="1" t="s">
        <v>759</v>
      </c>
      <c r="AV42" s="1" t="s">
        <v>574</v>
      </c>
      <c r="AX42" s="1" t="s">
        <v>776</v>
      </c>
    </row>
    <row r="43" spans="2:52" ht="16.5" thickBot="1" x14ac:dyDescent="0.3">
      <c r="B43" s="858" t="s">
        <v>492</v>
      </c>
      <c r="C43" s="832"/>
      <c r="D43" s="832"/>
      <c r="E43" s="832"/>
      <c r="F43" s="864" t="s">
        <v>122</v>
      </c>
      <c r="G43" s="854"/>
      <c r="H43" s="854">
        <v>0</v>
      </c>
      <c r="I43" s="865">
        <v>40</v>
      </c>
      <c r="J43" s="888">
        <v>60</v>
      </c>
      <c r="K43" s="666"/>
      <c r="L43" s="664"/>
      <c r="M43" s="1235"/>
      <c r="N43" s="844"/>
      <c r="O43" s="666"/>
      <c r="P43" s="238">
        <v>15095</v>
      </c>
      <c r="Q43" s="844"/>
      <c r="T43" s="872"/>
      <c r="U43" s="875" t="s">
        <v>8</v>
      </c>
      <c r="V43" s="910">
        <f>'B7. HELHET (2014)'!D9</f>
        <v>410760.9170824188</v>
      </c>
      <c r="W43" s="890">
        <f>'B7. HELHET (2014)'!E9</f>
        <v>203918.72</v>
      </c>
      <c r="X43" s="890">
        <f>'B7. HELHET (2014)'!G9</f>
        <v>140367.64000000001</v>
      </c>
      <c r="Y43" s="890">
        <f>'B7. HELHET (2014)'!I9</f>
        <v>2474.2769475323148</v>
      </c>
      <c r="Z43" s="890">
        <f>'B7. HELHET (2014)'!K9</f>
        <v>394249.42989999999</v>
      </c>
      <c r="AA43" s="890">
        <f>'B7. HELHET (2014)'!M9+'B7. HELHET (2014)'!N9</f>
        <v>7275.66</v>
      </c>
      <c r="AB43" s="893">
        <f>'B7. HELHET (2014)'!O9</f>
        <v>1159046.6439299511</v>
      </c>
      <c r="AC43" s="1164"/>
      <c r="AD43" s="1158">
        <f>AB43*$AD$14</f>
        <v>1192747.1432729086</v>
      </c>
      <c r="AE43" s="666"/>
      <c r="AF43" s="951">
        <f>(AB43-Y43)/AO43</f>
        <v>1.1803631510965373</v>
      </c>
      <c r="AG43" s="951">
        <f>AD43/AN43</f>
        <v>1.0222793504933114</v>
      </c>
      <c r="AH43" s="951">
        <f>AB43/AN43</f>
        <v>0.99339533700065774</v>
      </c>
      <c r="AI43" s="949" t="s">
        <v>8</v>
      </c>
      <c r="AJ43" s="951">
        <f t="shared" ref="AJ43:AJ58" si="21">(AD43-Y43)/AN43</f>
        <v>1.0201586979768666</v>
      </c>
      <c r="AK43" s="951">
        <f>(AB43-Y43)/AN43</f>
        <v>0.99127468448421308</v>
      </c>
      <c r="AL43" s="949"/>
      <c r="AM43" s="966">
        <v>1194867.652</v>
      </c>
      <c r="AN43" s="895">
        <v>1166752.652</v>
      </c>
      <c r="AO43" s="980">
        <f>AN43-'Data, inkomst- skkompl, kost'!G296</f>
        <v>979844.52150000003</v>
      </c>
      <c r="AS43" s="1" t="s">
        <v>777</v>
      </c>
      <c r="AT43" s="1" t="s">
        <v>760</v>
      </c>
      <c r="AV43" s="1" t="s">
        <v>780</v>
      </c>
      <c r="AX43" s="1" t="s">
        <v>779</v>
      </c>
      <c r="AY43" s="1" t="s">
        <v>213</v>
      </c>
      <c r="AZ43" s="1" t="s">
        <v>219</v>
      </c>
    </row>
    <row r="44" spans="2:52" ht="18.75" thickBot="1" x14ac:dyDescent="0.25">
      <c r="B44" s="858"/>
      <c r="C44" s="832"/>
      <c r="D44" s="832"/>
      <c r="E44" s="832"/>
      <c r="F44" s="866" t="s">
        <v>109</v>
      </c>
      <c r="G44" s="867"/>
      <c r="H44" s="1334">
        <v>0.35</v>
      </c>
      <c r="I44" s="868">
        <v>0.2</v>
      </c>
      <c r="J44" s="889">
        <v>0</v>
      </c>
      <c r="K44" s="666"/>
      <c r="L44" s="664" t="s">
        <v>657</v>
      </c>
      <c r="M44" s="869">
        <v>0.05</v>
      </c>
      <c r="N44" s="1058">
        <v>0.03</v>
      </c>
      <c r="O44" s="666"/>
      <c r="P44" s="666"/>
      <c r="Q44" s="844"/>
      <c r="T44" s="872"/>
      <c r="U44" s="876" t="s">
        <v>9</v>
      </c>
      <c r="V44" s="911">
        <f>'B7. HELHET (2014)'!D10</f>
        <v>1144114.1089025226</v>
      </c>
      <c r="W44" s="892">
        <f>'B7. HELHET (2014)'!E10</f>
        <v>306757.04000000004</v>
      </c>
      <c r="X44" s="892">
        <f>'B7. HELHET (2014)'!G10</f>
        <v>291716.32</v>
      </c>
      <c r="Y44" s="892">
        <f>'B7. HELHET (2014)'!I10</f>
        <v>240662.69802853587</v>
      </c>
      <c r="Z44" s="892"/>
      <c r="AA44" s="892">
        <f>'B7. HELHET (2014)'!M10+'B7. HELHET (2014)'!N10</f>
        <v>14673.6</v>
      </c>
      <c r="AB44" s="893">
        <f>'B7. HELHET (2014)'!O10</f>
        <v>1997923.7669310586</v>
      </c>
      <c r="AC44" s="1164"/>
      <c r="AD44" s="1159">
        <f t="shared" ref="AD44:AD59" si="22">AB44*$AD$14</f>
        <v>2056015.500294301</v>
      </c>
      <c r="AE44" s="666"/>
      <c r="AF44" s="952">
        <f t="shared" ref="AF44:AF58" si="23">(AB44-Y44)/AO44</f>
        <v>1.0021546265184615</v>
      </c>
      <c r="AG44" s="952">
        <f>AD44/AN44</f>
        <v>0.93948848809626717</v>
      </c>
      <c r="AH44" s="952">
        <f t="shared" ref="AH44:AH59" si="24">AB44/AN44</f>
        <v>0.91294369077323545</v>
      </c>
      <c r="AI44" s="949" t="s">
        <v>9</v>
      </c>
      <c r="AJ44" s="951">
        <f t="shared" si="21"/>
        <v>0.8295185806322265</v>
      </c>
      <c r="AK44" s="952">
        <f t="shared" ref="AK44:AK59" si="25">(AB44-Y44)/AN44</f>
        <v>0.80297378330919467</v>
      </c>
      <c r="AL44" s="949"/>
      <c r="AM44" s="967">
        <v>2259975.8679999998</v>
      </c>
      <c r="AN44" s="895">
        <v>2188441.3979999996</v>
      </c>
      <c r="AO44" s="980">
        <f>AN44-'Data, inkomst- skkompl, kost'!G297</f>
        <v>1753482.9679999994</v>
      </c>
      <c r="AR44" s="949" t="s">
        <v>8</v>
      </c>
      <c r="AS44" s="22">
        <f>AS104</f>
        <v>1206082.7635427555</v>
      </c>
      <c r="AT44" s="22">
        <v>1189222.9546239923</v>
      </c>
      <c r="AV44" s="22">
        <f>AVERAGE(E197,M197,W197)</f>
        <v>1471698</v>
      </c>
      <c r="AX44" s="1337">
        <f>AS44/(AS44+AV44)</f>
        <v>0.45040384932300609</v>
      </c>
      <c r="AY44" s="115">
        <f>AT44/(AT44+AV44)</f>
        <v>0.44692156396357069</v>
      </c>
      <c r="AZ44" s="1336">
        <f>AX44-AY44</f>
        <v>3.4822853594353997E-3</v>
      </c>
    </row>
    <row r="45" spans="2:52" ht="15.75" thickBot="1" x14ac:dyDescent="0.25">
      <c r="B45" s="858"/>
      <c r="C45" s="832"/>
      <c r="D45" s="832"/>
      <c r="E45" s="832"/>
      <c r="F45" s="832"/>
      <c r="G45" s="832"/>
      <c r="H45" s="1335">
        <v>0.34</v>
      </c>
      <c r="I45" s="1335">
        <v>0.34</v>
      </c>
      <c r="J45" s="839"/>
      <c r="K45" s="666"/>
      <c r="L45" s="664"/>
      <c r="M45" s="666"/>
      <c r="N45" s="844"/>
      <c r="O45" s="666"/>
      <c r="P45" s="666"/>
      <c r="Q45" s="844"/>
      <c r="T45" s="872"/>
      <c r="U45" s="876" t="s">
        <v>10</v>
      </c>
      <c r="V45" s="911">
        <f>'B7. HELHET (2014)'!D11</f>
        <v>2446470.993142772</v>
      </c>
      <c r="W45" s="892">
        <f>'B7. HELHET (2014)'!E11</f>
        <v>387566.42500000005</v>
      </c>
      <c r="X45" s="892">
        <f>'B7. HELHET (2014)'!G11</f>
        <v>709338.28</v>
      </c>
      <c r="Y45" s="892">
        <f>'B7. HELHET (2014)'!I11</f>
        <v>146143.64682185609</v>
      </c>
      <c r="Z45" s="892"/>
      <c r="AA45" s="892">
        <f>'B7. HELHET (2014)'!M11+'B7. HELHET (2014)'!N11</f>
        <v>38686.334999999999</v>
      </c>
      <c r="AB45" s="893">
        <f>'B7. HELHET (2014)'!O11</f>
        <v>3728205.6799646285</v>
      </c>
      <c r="AC45" s="1164"/>
      <c r="AD45" s="1159">
        <f t="shared" si="22"/>
        <v>3836607.1784945289</v>
      </c>
      <c r="AE45" s="666"/>
      <c r="AF45" s="952">
        <f t="shared" si="23"/>
        <v>1.3275014739561264</v>
      </c>
      <c r="AG45" s="952">
        <f t="shared" ref="AG45:AG58" si="26">AD45/AN45</f>
        <v>1.1555039893899453</v>
      </c>
      <c r="AH45" s="952">
        <f t="shared" si="24"/>
        <v>1.1228557775247161</v>
      </c>
      <c r="AI45" s="949" t="s">
        <v>10</v>
      </c>
      <c r="AJ45" s="951">
        <f t="shared" si="21"/>
        <v>1.1114886500366696</v>
      </c>
      <c r="AK45" s="952">
        <f t="shared" si="25"/>
        <v>1.0788404381714405</v>
      </c>
      <c r="AL45" s="949"/>
      <c r="AM45" s="967">
        <v>3473119.5340000009</v>
      </c>
      <c r="AN45" s="895">
        <v>3320288.9940000009</v>
      </c>
      <c r="AO45" s="980">
        <f>AN45-'Data, inkomst- skkompl, kost'!G298</f>
        <v>2698348.8180000009</v>
      </c>
      <c r="AR45" s="949" t="s">
        <v>9</v>
      </c>
      <c r="AS45" s="22">
        <f t="shared" ref="AS45:AS59" si="27">AS105</f>
        <v>2037378.2289494229</v>
      </c>
      <c r="AT45" s="22">
        <v>2216192.0077622063</v>
      </c>
      <c r="AV45" s="22">
        <f t="shared" ref="AV45:AV59" si="28">AVERAGE(E198,M198,W198)</f>
        <v>2856255</v>
      </c>
      <c r="AX45" s="1337">
        <f t="shared" ref="AX45:AX60" si="29">AS45/(AS45+AV45)</f>
        <v>0.41633243310856222</v>
      </c>
      <c r="AY45" s="115">
        <f t="shared" ref="AY45:AY60" si="30">AT45/(AT45+AV45)</f>
        <v>0.43690786801140297</v>
      </c>
      <c r="AZ45" s="1336">
        <f t="shared" ref="AZ45:AZ60" si="31">AX45-AY45</f>
        <v>-2.057543490284075E-2</v>
      </c>
    </row>
    <row r="46" spans="2:52" ht="15.75" thickBot="1" x14ac:dyDescent="0.25">
      <c r="B46" s="858" t="s">
        <v>493</v>
      </c>
      <c r="C46" s="832"/>
      <c r="D46" s="832"/>
      <c r="E46" s="832"/>
      <c r="F46" s="832"/>
      <c r="G46" s="838" t="s">
        <v>494</v>
      </c>
      <c r="H46" s="832"/>
      <c r="I46" s="839"/>
      <c r="J46" s="839"/>
      <c r="K46" s="666"/>
      <c r="L46" s="664"/>
      <c r="M46" s="838" t="s">
        <v>494</v>
      </c>
      <c r="N46" s="844"/>
      <c r="O46" s="666"/>
      <c r="P46" s="666"/>
      <c r="Q46" s="844"/>
      <c r="T46" s="872"/>
      <c r="U46" s="876" t="s">
        <v>11</v>
      </c>
      <c r="V46" s="911">
        <f>'B7. HELHET (2014)'!D12</f>
        <v>509672.58422660211</v>
      </c>
      <c r="W46" s="892">
        <f>'B7. HELHET (2014)'!E12</f>
        <v>265885.40000000002</v>
      </c>
      <c r="X46" s="892">
        <f>'B7. HELHET (2014)'!G12</f>
        <v>183504.44000000003</v>
      </c>
      <c r="Y46" s="892">
        <f>'B7. HELHET (2014)'!I12</f>
        <v>29013.031990427262</v>
      </c>
      <c r="Z46" s="892">
        <f>'B7. HELHET (2014)'!K12</f>
        <v>378118.21799999999</v>
      </c>
      <c r="AA46" s="892">
        <f>'B7. HELHET (2014)'!M12+'B7. HELHET (2014)'!N12</f>
        <v>8834.73</v>
      </c>
      <c r="AB46" s="893">
        <f>'B7. HELHET (2014)'!O12</f>
        <v>1375028.4042170295</v>
      </c>
      <c r="AC46" s="1164"/>
      <c r="AD46" s="1159">
        <f t="shared" si="22"/>
        <v>1415008.8002395253</v>
      </c>
      <c r="AE46" s="666"/>
      <c r="AF46" s="952">
        <f t="shared" si="23"/>
        <v>1.0040450285028761</v>
      </c>
      <c r="AG46" s="952">
        <f t="shared" si="26"/>
        <v>0.89096437719364618</v>
      </c>
      <c r="AH46" s="952">
        <f t="shared" si="24"/>
        <v>0.86579060538663788</v>
      </c>
      <c r="AI46" s="949" t="s">
        <v>11</v>
      </c>
      <c r="AJ46" s="951">
        <f t="shared" si="21"/>
        <v>0.8726962378199018</v>
      </c>
      <c r="AK46" s="952">
        <f t="shared" si="25"/>
        <v>0.8475224660128936</v>
      </c>
      <c r="AL46" s="949"/>
      <c r="AM46" s="967">
        <v>1622577.7180000003</v>
      </c>
      <c r="AN46" s="895">
        <v>1588176.6280000003</v>
      </c>
      <c r="AO46" s="980">
        <f>AN46-'Data, inkomst- skkompl, kost'!G299</f>
        <v>1340592.6368000002</v>
      </c>
      <c r="AR46" s="949" t="s">
        <v>10</v>
      </c>
      <c r="AS46" s="22">
        <f t="shared" si="27"/>
        <v>3887948.3824494532</v>
      </c>
      <c r="AT46" s="22">
        <v>3339592.3917247565</v>
      </c>
      <c r="AV46" s="22">
        <f t="shared" si="28"/>
        <v>8631556</v>
      </c>
      <c r="AX46" s="1337">
        <f t="shared" si="29"/>
        <v>0.3105513016872935</v>
      </c>
      <c r="AY46" s="115">
        <f t="shared" si="30"/>
        <v>0.27897009396636518</v>
      </c>
      <c r="AZ46" s="1336">
        <f t="shared" si="31"/>
        <v>3.1581207720928317E-2</v>
      </c>
    </row>
    <row r="47" spans="2:52" ht="18" customHeight="1" thickBot="1" x14ac:dyDescent="0.25">
      <c r="B47" s="831"/>
      <c r="C47" s="832"/>
      <c r="D47" s="832"/>
      <c r="E47" s="832"/>
      <c r="F47" s="832"/>
      <c r="G47" s="852">
        <v>0.15</v>
      </c>
      <c r="H47" s="832"/>
      <c r="I47" s="839"/>
      <c r="J47" s="839"/>
      <c r="K47" s="666"/>
      <c r="L47" s="664" t="s">
        <v>658</v>
      </c>
      <c r="M47" s="869">
        <v>0.2</v>
      </c>
      <c r="N47" s="844"/>
      <c r="O47" s="666"/>
      <c r="P47" s="666"/>
      <c r="Q47" s="844"/>
      <c r="T47" s="851"/>
      <c r="U47" s="876" t="s">
        <v>12</v>
      </c>
      <c r="V47" s="911">
        <f>'B7. HELHET (2014)'!D13</f>
        <v>789770.99889887834</v>
      </c>
      <c r="W47" s="892">
        <f>'B7. HELHET (2014)'!E13</f>
        <v>234682.32</v>
      </c>
      <c r="X47" s="892">
        <f>'B7. HELHET (2014)'!G13</f>
        <v>155993.74</v>
      </c>
      <c r="Y47" s="892">
        <f>'B7. HELHET (2014)'!I13</f>
        <v>239734.51176797543</v>
      </c>
      <c r="Z47" s="892"/>
      <c r="AA47" s="892">
        <f>'B7. HELHET (2014)'!M13+'B7. HELHET (2014)'!N13</f>
        <v>7566.0749999999998</v>
      </c>
      <c r="AB47" s="893">
        <f>'B7. HELHET (2014)'!O13</f>
        <v>1427747.6456668538</v>
      </c>
      <c r="AC47" s="1164"/>
      <c r="AD47" s="1159">
        <f t="shared" si="22"/>
        <v>1469260.9090430022</v>
      </c>
      <c r="AE47" s="666"/>
      <c r="AF47" s="952">
        <f t="shared" si="23"/>
        <v>0.81796460320624309</v>
      </c>
      <c r="AG47" s="952">
        <f t="shared" si="26"/>
        <v>0.84221660993399106</v>
      </c>
      <c r="AH47" s="952">
        <f t="shared" si="24"/>
        <v>0.8184201829462685</v>
      </c>
      <c r="AI47" s="949" t="s">
        <v>12</v>
      </c>
      <c r="AJ47" s="951">
        <f t="shared" si="21"/>
        <v>0.70479487187324252</v>
      </c>
      <c r="AK47" s="952">
        <f t="shared" si="25"/>
        <v>0.68099844488551997</v>
      </c>
      <c r="AL47" s="949"/>
      <c r="AM47" s="967">
        <v>1786020.8119999999</v>
      </c>
      <c r="AN47" s="895">
        <v>1744516.662</v>
      </c>
      <c r="AO47" s="980">
        <f>AN47-'Data, inkomst- skkompl, kost'!G300</f>
        <v>1452401.64335</v>
      </c>
      <c r="AR47" s="949" t="s">
        <v>11</v>
      </c>
      <c r="AS47" s="22">
        <f t="shared" si="27"/>
        <v>1363823.4454159897</v>
      </c>
      <c r="AT47" s="22">
        <v>1569581.0951423217</v>
      </c>
      <c r="AV47" s="22">
        <f t="shared" si="28"/>
        <v>1838126</v>
      </c>
      <c r="AX47" s="1337">
        <f t="shared" si="29"/>
        <v>0.42593534615872269</v>
      </c>
      <c r="AY47" s="115">
        <f t="shared" si="30"/>
        <v>0.46059741970774298</v>
      </c>
      <c r="AZ47" s="1336">
        <f t="shared" si="31"/>
        <v>-3.4662073549020289E-2</v>
      </c>
    </row>
    <row r="48" spans="2:52" ht="15.75" thickBot="1" x14ac:dyDescent="0.25">
      <c r="B48" s="831"/>
      <c r="C48" s="832"/>
      <c r="D48" s="832"/>
      <c r="E48" s="832"/>
      <c r="F48" s="832"/>
      <c r="G48" s="832"/>
      <c r="H48" s="832"/>
      <c r="I48" s="839"/>
      <c r="J48" s="839"/>
      <c r="K48" s="666"/>
      <c r="L48" s="664"/>
      <c r="M48" s="666"/>
      <c r="N48" s="844"/>
      <c r="O48" s="666"/>
      <c r="P48" s="666"/>
      <c r="Q48" s="844"/>
      <c r="T48" s="851"/>
      <c r="U48" s="876" t="s">
        <v>13</v>
      </c>
      <c r="V48" s="911">
        <f>'B7. HELHET (2014)'!D14</f>
        <v>1646141.5077582325</v>
      </c>
      <c r="W48" s="892">
        <f>'B7. HELHET (2014)'!E14</f>
        <v>351309.32500000001</v>
      </c>
      <c r="X48" s="892">
        <f>'B7. HELHET (2014)'!G14</f>
        <v>422968.70000000007</v>
      </c>
      <c r="Y48" s="892">
        <f>'B7. HELHET (2014)'!I14</f>
        <v>115455.17331716092</v>
      </c>
      <c r="Z48" s="892"/>
      <c r="AA48" s="892">
        <f>'B7. HELHET (2014)'!M14+'B7. HELHET (2014)'!N14</f>
        <v>23263.77</v>
      </c>
      <c r="AB48" s="893">
        <f>'B7. HELHET (2014)'!O14</f>
        <v>2559138.4760753936</v>
      </c>
      <c r="AC48" s="1164"/>
      <c r="AD48" s="1159">
        <f t="shared" si="22"/>
        <v>2633548.1169498023</v>
      </c>
      <c r="AE48" s="666"/>
      <c r="AF48" s="952">
        <f t="shared" si="23"/>
        <v>1.1240209451316652</v>
      </c>
      <c r="AG48" s="952">
        <f t="shared" si="26"/>
        <v>1.0142829411036915</v>
      </c>
      <c r="AH48" s="952">
        <f t="shared" si="24"/>
        <v>0.98562486232897095</v>
      </c>
      <c r="AI48" s="949" t="s">
        <v>13</v>
      </c>
      <c r="AJ48" s="951">
        <f t="shared" si="21"/>
        <v>0.96981661371666916</v>
      </c>
      <c r="AK48" s="952">
        <f t="shared" si="25"/>
        <v>0.94115853494194857</v>
      </c>
      <c r="AL48" s="949"/>
      <c r="AM48" s="967">
        <v>2693356.719</v>
      </c>
      <c r="AN48" s="895">
        <v>2596462.9890000001</v>
      </c>
      <c r="AO48" s="980">
        <f>AN48-'Data, inkomst- skkompl, kost'!G301</f>
        <v>2174054.9527500002</v>
      </c>
      <c r="AR48" s="949" t="s">
        <v>12</v>
      </c>
      <c r="AS48" s="22">
        <f t="shared" si="27"/>
        <v>1563392.9107327885</v>
      </c>
      <c r="AT48" s="22">
        <v>1749382.7152034992</v>
      </c>
      <c r="AV48" s="22">
        <f t="shared" si="28"/>
        <v>1109376</v>
      </c>
      <c r="AX48" s="1337">
        <f t="shared" si="29"/>
        <v>0.58493381319081406</v>
      </c>
      <c r="AY48" s="115">
        <f t="shared" si="30"/>
        <v>0.61193786866303268</v>
      </c>
      <c r="AZ48" s="1336">
        <f t="shared" si="31"/>
        <v>-2.7004055472218624E-2</v>
      </c>
    </row>
    <row r="49" spans="2:53" ht="15.75" thickBot="1" x14ac:dyDescent="0.25">
      <c r="B49" s="858" t="s">
        <v>495</v>
      </c>
      <c r="C49" s="832"/>
      <c r="D49" s="832"/>
      <c r="E49" s="832"/>
      <c r="F49" s="832"/>
      <c r="G49" s="838" t="s">
        <v>494</v>
      </c>
      <c r="H49" s="832"/>
      <c r="I49" s="839"/>
      <c r="J49" s="839"/>
      <c r="K49" s="666"/>
      <c r="L49" s="664"/>
      <c r="M49" s="838" t="s">
        <v>494</v>
      </c>
      <c r="N49" s="844"/>
      <c r="O49" s="666"/>
      <c r="P49" s="666"/>
      <c r="Q49" s="844"/>
      <c r="T49" s="872"/>
      <c r="U49" s="877" t="s">
        <v>14</v>
      </c>
      <c r="V49" s="911">
        <f>'B7. HELHET (2014)'!D15</f>
        <v>2937508.5770745589</v>
      </c>
      <c r="W49" s="892">
        <f>'B7. HELHET (2014)'!E15</f>
        <v>461179.32500000001</v>
      </c>
      <c r="X49" s="892">
        <f>'B7. HELHET (2014)'!G15</f>
        <v>1133357.1200000001</v>
      </c>
      <c r="Y49" s="892">
        <f>'B7. HELHET (2014)'!I15</f>
        <v>-292928.94225773407</v>
      </c>
      <c r="Z49" s="892"/>
      <c r="AA49" s="892">
        <f>'B7. HELHET (2014)'!M15+'B7. HELHET (2014)'!N15</f>
        <v>66566.175000000003</v>
      </c>
      <c r="AB49" s="893">
        <f>'B7. HELHET (2014)'!O15</f>
        <v>4305682.2548168255</v>
      </c>
      <c r="AC49" s="1164"/>
      <c r="AD49" s="1159">
        <f t="shared" si="22"/>
        <v>4430874.4916947475</v>
      </c>
      <c r="AE49" s="666"/>
      <c r="AF49" s="952">
        <f t="shared" si="23"/>
        <v>1.5565654723339077</v>
      </c>
      <c r="AG49" s="952">
        <f>AD49/AN49</f>
        <v>1.2072583617907477</v>
      </c>
      <c r="AH49" s="952">
        <f t="shared" si="24"/>
        <v>1.1731478549177918</v>
      </c>
      <c r="AI49" s="949" t="s">
        <v>14</v>
      </c>
      <c r="AJ49" s="951">
        <f t="shared" si="21"/>
        <v>1.2870712555240356</v>
      </c>
      <c r="AK49" s="952">
        <f t="shared" si="25"/>
        <v>1.2529607486510796</v>
      </c>
      <c r="AL49" s="949"/>
      <c r="AM49" s="967">
        <v>3900503.3759999997</v>
      </c>
      <c r="AN49" s="895">
        <v>3670195.7359999996</v>
      </c>
      <c r="AO49" s="980">
        <f>AN49-'Data, inkomst- skkompl, kost'!G302</f>
        <v>2954332.0077499994</v>
      </c>
      <c r="AR49" s="949" t="s">
        <v>13</v>
      </c>
      <c r="AS49" s="22">
        <f t="shared" si="27"/>
        <v>2698656.4131304249</v>
      </c>
      <c r="AT49" s="22">
        <v>2607974.5406106445</v>
      </c>
      <c r="AV49" s="22">
        <f t="shared" si="28"/>
        <v>4250438.333333333</v>
      </c>
      <c r="AX49" s="1337">
        <f t="shared" si="29"/>
        <v>0.38834646980510834</v>
      </c>
      <c r="AY49" s="115">
        <f t="shared" si="30"/>
        <v>0.38025919240276229</v>
      </c>
      <c r="AZ49" s="1336">
        <f t="shared" si="31"/>
        <v>8.0872774023460492E-3</v>
      </c>
    </row>
    <row r="50" spans="2:53" ht="18.75" thickBot="1" x14ac:dyDescent="0.25">
      <c r="B50" s="831"/>
      <c r="C50" s="832"/>
      <c r="D50" s="832"/>
      <c r="E50" s="832"/>
      <c r="F50" s="832"/>
      <c r="G50" s="869">
        <v>0</v>
      </c>
      <c r="H50" s="832"/>
      <c r="I50" s="839"/>
      <c r="J50" s="839"/>
      <c r="K50" s="666"/>
      <c r="L50" s="669" t="s">
        <v>658</v>
      </c>
      <c r="M50" s="869">
        <v>0</v>
      </c>
      <c r="N50" s="846"/>
      <c r="O50" s="666"/>
      <c r="P50" s="666"/>
      <c r="Q50" s="844"/>
      <c r="T50" s="851"/>
      <c r="U50" s="877" t="s">
        <v>15</v>
      </c>
      <c r="V50" s="911">
        <f>'B7. HELHET (2014)'!D16</f>
        <v>319857.47542924754</v>
      </c>
      <c r="W50" s="892">
        <f>'B7. HELHET (2014)'!E16</f>
        <v>118659.6</v>
      </c>
      <c r="X50" s="892">
        <f>'B7. HELHET (2014)'!G16</f>
        <v>120657.04000000001</v>
      </c>
      <c r="Y50" s="892">
        <f>'B7. HELHET (2014)'!I16</f>
        <v>-43691.456900975521</v>
      </c>
      <c r="Z50" s="892">
        <f>'B7. HELHET (2014)'!K16</f>
        <v>285094.68640000001</v>
      </c>
      <c r="AA50" s="892">
        <f>'B7. HELHET (2014)'!M16+'B7. HELHET (2014)'!N16</f>
        <v>5166.33</v>
      </c>
      <c r="AB50" s="893">
        <f>'B7. HELHET (2014)'!O16</f>
        <v>805743.67492827203</v>
      </c>
      <c r="AC50" s="1164"/>
      <c r="AD50" s="1159">
        <f t="shared" si="22"/>
        <v>829171.51912222279</v>
      </c>
      <c r="AE50" s="666"/>
      <c r="AF50" s="952">
        <f t="shared" si="23"/>
        <v>1.150771221940684</v>
      </c>
      <c r="AG50" s="952">
        <f t="shared" si="26"/>
        <v>0.98293430763482592</v>
      </c>
      <c r="AH50" s="952">
        <f t="shared" si="24"/>
        <v>0.95516196948633825</v>
      </c>
      <c r="AI50" s="949" t="s">
        <v>15</v>
      </c>
      <c r="AJ50" s="951">
        <f t="shared" si="21"/>
        <v>1.0347279726945962</v>
      </c>
      <c r="AK50" s="952">
        <f t="shared" si="25"/>
        <v>1.0069556345461084</v>
      </c>
      <c r="AL50" s="949"/>
      <c r="AM50" s="967">
        <v>867133.38399999996</v>
      </c>
      <c r="AN50" s="895">
        <v>843567.58399999992</v>
      </c>
      <c r="AO50" s="980">
        <f>AN50-'Data, inkomst- skkompl, kost'!G303</f>
        <v>738144.22504999989</v>
      </c>
      <c r="AR50" s="949" t="s">
        <v>14</v>
      </c>
      <c r="AS50" s="22">
        <f t="shared" si="27"/>
        <v>4505620.0777420411</v>
      </c>
      <c r="AT50" s="22">
        <v>3953605.7346562892</v>
      </c>
      <c r="AV50" s="22">
        <f t="shared" si="28"/>
        <v>15358705.666666666</v>
      </c>
      <c r="AX50" s="1337">
        <f t="shared" si="29"/>
        <v>0.22681968347253145</v>
      </c>
      <c r="AY50" s="115">
        <f t="shared" si="30"/>
        <v>0.20471944825752214</v>
      </c>
      <c r="AZ50" s="1336">
        <f t="shared" si="31"/>
        <v>2.2100235215009312E-2</v>
      </c>
    </row>
    <row r="51" spans="2:53" ht="15.75" thickBot="1" x14ac:dyDescent="0.25">
      <c r="B51" s="831"/>
      <c r="C51" s="832"/>
      <c r="D51" s="832"/>
      <c r="E51" s="832"/>
      <c r="F51" s="832"/>
      <c r="G51" s="832"/>
      <c r="H51" s="832"/>
      <c r="I51" s="839"/>
      <c r="J51" s="839"/>
      <c r="K51" s="666"/>
      <c r="L51" s="666"/>
      <c r="M51" s="666"/>
      <c r="N51" s="666"/>
      <c r="O51" s="666"/>
      <c r="P51" s="666"/>
      <c r="Q51" s="844"/>
      <c r="T51" s="851"/>
      <c r="U51" s="878" t="s">
        <v>16</v>
      </c>
      <c r="V51" s="911">
        <f>'B7. HELHET (2014)'!D17</f>
        <v>301333.25554141926</v>
      </c>
      <c r="W51" s="892">
        <f>'B7. HELHET (2014)'!E17</f>
        <v>128547.90000000001</v>
      </c>
      <c r="X51" s="892">
        <f>'B7. HELHET (2014)'!G17</f>
        <v>69072.78</v>
      </c>
      <c r="Y51" s="892">
        <f>'B7. HELHET (2014)'!I17</f>
        <v>-55057.094153087601</v>
      </c>
      <c r="Z51" s="892">
        <f>'B7. HELHET (2014)'!K17</f>
        <v>220796.84359999999</v>
      </c>
      <c r="AA51" s="892">
        <f>'B7. HELHET (2014)'!M17+'B7. HELHET (2014)'!N17</f>
        <v>3744.8249999999998</v>
      </c>
      <c r="AB51" s="893">
        <f>'B7. HELHET (2014)'!O17</f>
        <v>668438.5099883317</v>
      </c>
      <c r="AC51" s="1164"/>
      <c r="AD51" s="1159">
        <f t="shared" si="22"/>
        <v>687874.06220242428</v>
      </c>
      <c r="AE51" s="666"/>
      <c r="AF51" s="952">
        <f t="shared" si="23"/>
        <v>1.2259726835801767</v>
      </c>
      <c r="AG51" s="952">
        <f t="shared" si="26"/>
        <v>1.0843477596061171</v>
      </c>
      <c r="AH51" s="952">
        <f t="shared" si="24"/>
        <v>1.0537100329376892</v>
      </c>
      <c r="AI51" s="949" t="s">
        <v>16</v>
      </c>
      <c r="AJ51" s="951">
        <f t="shared" si="21"/>
        <v>1.1711384091970809</v>
      </c>
      <c r="AK51" s="952">
        <f t="shared" si="25"/>
        <v>1.1405006825286532</v>
      </c>
      <c r="AL51" s="949"/>
      <c r="AM51" s="967">
        <v>646632.54599999997</v>
      </c>
      <c r="AN51" s="895">
        <v>634366.65599999996</v>
      </c>
      <c r="AO51" s="980">
        <f>AN51-'Data, inkomst- skkompl, kost'!G304</f>
        <v>590140.06904999993</v>
      </c>
      <c r="AR51" s="949" t="s">
        <v>15</v>
      </c>
      <c r="AS51" s="22">
        <f t="shared" si="27"/>
        <v>865546.32017039647</v>
      </c>
      <c r="AT51" s="22">
        <v>849781.00686282944</v>
      </c>
      <c r="AV51" s="22">
        <f t="shared" si="28"/>
        <v>1070846.3333333333</v>
      </c>
      <c r="AX51" s="1337">
        <f t="shared" si="29"/>
        <v>0.44698905390095733</v>
      </c>
      <c r="AY51" s="115">
        <f t="shared" si="30"/>
        <v>0.4424497085291087</v>
      </c>
      <c r="AZ51" s="1336">
        <f t="shared" si="31"/>
        <v>4.5393453718486354E-3</v>
      </c>
    </row>
    <row r="52" spans="2:53" ht="15.75" thickBot="1" x14ac:dyDescent="0.25">
      <c r="B52" s="831"/>
      <c r="C52" s="832"/>
      <c r="D52" s="832"/>
      <c r="E52" s="832"/>
      <c r="F52" s="832"/>
      <c r="G52" s="832"/>
      <c r="H52" s="832"/>
      <c r="I52" s="839"/>
      <c r="J52" s="839"/>
      <c r="K52" s="666"/>
      <c r="L52" s="666"/>
      <c r="M52" s="666"/>
      <c r="N52" s="666"/>
      <c r="O52" s="666"/>
      <c r="P52" s="666"/>
      <c r="Q52" s="844"/>
      <c r="T52" s="851"/>
      <c r="U52" s="876" t="s">
        <v>17</v>
      </c>
      <c r="V52" s="911">
        <f>'B7. HELHET (2014)'!D18</f>
        <v>1484132.7059359502</v>
      </c>
      <c r="W52" s="892">
        <f>'B7. HELHET (2014)'!E18</f>
        <v>376579.42500000005</v>
      </c>
      <c r="X52" s="892">
        <f>'B7. HELHET (2014)'!G18</f>
        <v>417030.04000000004</v>
      </c>
      <c r="Y52" s="892">
        <f>'B7. HELHET (2014)'!I18</f>
        <v>188511.63830918359</v>
      </c>
      <c r="Z52" s="892"/>
      <c r="AA52" s="892">
        <f>'B7. HELHET (2014)'!M18+'B7. HELHET (2014)'!N18</f>
        <v>28781.654999999999</v>
      </c>
      <c r="AB52" s="893">
        <f>'B7. HELHET (2014)'!O18</f>
        <v>2495035.4642451336</v>
      </c>
      <c r="AC52" s="1164"/>
      <c r="AD52" s="1159">
        <f t="shared" si="22"/>
        <v>2567581.2426776113</v>
      </c>
      <c r="AE52" s="666"/>
      <c r="AF52" s="952">
        <f t="shared" si="23"/>
        <v>1.0598642479518783</v>
      </c>
      <c r="AG52" s="952">
        <f t="shared" si="26"/>
        <v>0.92423382898283413</v>
      </c>
      <c r="AH52" s="952">
        <f t="shared" si="24"/>
        <v>0.89812004474780571</v>
      </c>
      <c r="AI52" s="949" t="s">
        <v>17</v>
      </c>
      <c r="AJ52" s="951">
        <f t="shared" si="21"/>
        <v>0.85637664480250852</v>
      </c>
      <c r="AK52" s="952">
        <f t="shared" si="25"/>
        <v>0.83026286056748022</v>
      </c>
      <c r="AL52" s="949"/>
      <c r="AM52" s="967">
        <v>2878452.8770000003</v>
      </c>
      <c r="AN52" s="895">
        <v>2778064.5570000005</v>
      </c>
      <c r="AO52" s="980">
        <f>AN52-'Data, inkomst- skkompl, kost'!G305</f>
        <v>2176244.5807500007</v>
      </c>
      <c r="AR52" s="949" t="s">
        <v>16</v>
      </c>
      <c r="AS52" s="22">
        <f t="shared" si="27"/>
        <v>727452.38903866254</v>
      </c>
      <c r="AT52" s="22">
        <v>673661.53503027791</v>
      </c>
      <c r="AV52" s="22">
        <f t="shared" si="28"/>
        <v>813758.66666666663</v>
      </c>
      <c r="AX52" s="1337">
        <f t="shared" si="29"/>
        <v>0.47200050009097994</v>
      </c>
      <c r="AY52" s="115">
        <f t="shared" si="30"/>
        <v>0.45290600078022447</v>
      </c>
      <c r="AZ52" s="1336">
        <f t="shared" si="31"/>
        <v>1.9094499310755464E-2</v>
      </c>
    </row>
    <row r="53" spans="2:53" ht="15.75" thickBot="1" x14ac:dyDescent="0.25">
      <c r="B53" s="857" t="s">
        <v>496</v>
      </c>
      <c r="C53" s="832"/>
      <c r="D53" s="832"/>
      <c r="E53" s="832"/>
      <c r="F53" s="832"/>
      <c r="G53" s="973" t="s">
        <v>513</v>
      </c>
      <c r="H53" s="832"/>
      <c r="I53" s="839"/>
      <c r="J53" s="839"/>
      <c r="K53" s="666"/>
      <c r="L53" s="666"/>
      <c r="M53" s="666"/>
      <c r="N53" s="666"/>
      <c r="O53" s="666"/>
      <c r="P53" s="666"/>
      <c r="Q53" s="844"/>
      <c r="T53" s="872"/>
      <c r="U53" s="876" t="s">
        <v>18</v>
      </c>
      <c r="V53" s="911">
        <f>'B7. HELHET (2014)'!D19</f>
        <v>319158.12392293836</v>
      </c>
      <c r="W53" s="892">
        <f>'B7. HELHET (2014)'!E19</f>
        <v>222376.88</v>
      </c>
      <c r="X53" s="892">
        <f>'B7. HELHET (2014)'!G19</f>
        <v>100788.66</v>
      </c>
      <c r="Y53" s="892">
        <f>'B7. HELHET (2014)'!I19</f>
        <v>1497.1532473256957</v>
      </c>
      <c r="Z53" s="892"/>
      <c r="AA53" s="892">
        <f>'B7. HELHET (2014)'!M19+'B7. HELHET (2014)'!N19</f>
        <v>5991.72</v>
      </c>
      <c r="AB53" s="893">
        <f>'B7. HELHET (2014)'!O19</f>
        <v>649812.53717026406</v>
      </c>
      <c r="AC53" s="1164"/>
      <c r="AD53" s="1159">
        <f t="shared" si="22"/>
        <v>668706.51964857022</v>
      </c>
      <c r="AE53" s="666"/>
      <c r="AF53" s="952">
        <f t="shared" si="23"/>
        <v>1.1090576630412241</v>
      </c>
      <c r="AG53" s="952">
        <f t="shared" si="26"/>
        <v>0.96710968764731242</v>
      </c>
      <c r="AH53" s="952">
        <f t="shared" si="24"/>
        <v>0.93978446655837888</v>
      </c>
      <c r="AI53" s="949" t="s">
        <v>18</v>
      </c>
      <c r="AJ53" s="951">
        <f t="shared" si="21"/>
        <v>0.96494444569611648</v>
      </c>
      <c r="AK53" s="952">
        <f t="shared" si="25"/>
        <v>0.93761922460718294</v>
      </c>
      <c r="AL53" s="949"/>
      <c r="AM53" s="967">
        <v>716279.22600000002</v>
      </c>
      <c r="AN53" s="895">
        <v>691448.47600000002</v>
      </c>
      <c r="AO53" s="980">
        <f>AN53-'Data, inkomst- skkompl, kost'!G306</f>
        <v>584564.18050000002</v>
      </c>
      <c r="AR53" s="949" t="s">
        <v>17</v>
      </c>
      <c r="AS53" s="22">
        <f t="shared" si="27"/>
        <v>2462466.2393725505</v>
      </c>
      <c r="AT53" s="22">
        <v>2744175.4767429889</v>
      </c>
      <c r="AV53" s="22">
        <f t="shared" si="28"/>
        <v>6112915</v>
      </c>
      <c r="AX53" s="1337">
        <f t="shared" si="29"/>
        <v>0.2871553078091168</v>
      </c>
      <c r="AY53" s="115">
        <f t="shared" si="30"/>
        <v>0.30982809580060905</v>
      </c>
      <c r="AZ53" s="1336">
        <f t="shared" si="31"/>
        <v>-2.2672787991492249E-2</v>
      </c>
    </row>
    <row r="54" spans="2:53" ht="18.75" thickBot="1" x14ac:dyDescent="0.25">
      <c r="B54" s="858" t="s">
        <v>497</v>
      </c>
      <c r="C54" s="832"/>
      <c r="D54" s="832"/>
      <c r="E54" s="832"/>
      <c r="F54" s="832"/>
      <c r="G54" s="974">
        <v>2</v>
      </c>
      <c r="H54" s="928" t="s">
        <v>525</v>
      </c>
      <c r="I54" s="839"/>
      <c r="J54" s="839"/>
      <c r="K54" s="666"/>
      <c r="L54" s="666"/>
      <c r="M54" s="666"/>
      <c r="N54" s="666"/>
      <c r="O54" s="666"/>
      <c r="P54" s="666"/>
      <c r="Q54" s="844"/>
      <c r="T54" s="872"/>
      <c r="U54" s="876" t="s">
        <v>19</v>
      </c>
      <c r="V54" s="911">
        <f>'B7. HELHET (2014)'!D20</f>
        <v>1560729.6057309525</v>
      </c>
      <c r="W54" s="892">
        <f>'B7. HELHET (2014)'!E20</f>
        <v>360373.60000000003</v>
      </c>
      <c r="X54" s="892">
        <f>'B7. HELHET (2014)'!G20</f>
        <v>532317.38</v>
      </c>
      <c r="Y54" s="892">
        <f>'B7. HELHET (2014)'!I20</f>
        <v>-226522.10068762556</v>
      </c>
      <c r="Z54" s="892"/>
      <c r="AA54" s="892">
        <f>'B7. HELHET (2014)'!M20+'B7. HELHET (2014)'!N20</f>
        <v>27864.555</v>
      </c>
      <c r="AB54" s="893">
        <f>'B7. HELHET (2014)'!O20</f>
        <v>2254763.0400433275</v>
      </c>
      <c r="AC54" s="1164"/>
      <c r="AD54" s="1159">
        <f t="shared" si="22"/>
        <v>2320322.6452131928</v>
      </c>
      <c r="AE54" s="666"/>
      <c r="AF54" s="952">
        <f t="shared" si="23"/>
        <v>1.0367503645886611</v>
      </c>
      <c r="AG54" s="952">
        <f t="shared" si="26"/>
        <v>0.8218192945428201</v>
      </c>
      <c r="AH54" s="952">
        <f t="shared" si="24"/>
        <v>0.79859918393348106</v>
      </c>
      <c r="AI54" s="949" t="s">
        <v>19</v>
      </c>
      <c r="AJ54" s="951">
        <f t="shared" si="21"/>
        <v>0.90204961654976556</v>
      </c>
      <c r="AK54" s="952">
        <f t="shared" si="25"/>
        <v>0.87882950594042653</v>
      </c>
      <c r="AL54" s="949"/>
      <c r="AM54" s="967">
        <v>2920812.2159999995</v>
      </c>
      <c r="AN54" s="895">
        <v>2823397.6259999997</v>
      </c>
      <c r="AO54" s="980">
        <f>AN54-'Data, inkomst- skkompl, kost'!G307</f>
        <v>2393329.4122499996</v>
      </c>
      <c r="AR54" s="949" t="s">
        <v>18</v>
      </c>
      <c r="AS54" s="22">
        <f t="shared" si="27"/>
        <v>682427.51721788337</v>
      </c>
      <c r="AT54" s="22">
        <v>678718.84852217569</v>
      </c>
      <c r="AV54" s="22">
        <f t="shared" si="28"/>
        <v>1506527.6666666667</v>
      </c>
      <c r="AX54" s="1337">
        <f t="shared" si="29"/>
        <v>0.31175947421949413</v>
      </c>
      <c r="AY54" s="115">
        <f t="shared" si="30"/>
        <v>0.31059143387469162</v>
      </c>
      <c r="AZ54" s="1336">
        <f t="shared" si="31"/>
        <v>1.1680403448025012E-3</v>
      </c>
    </row>
    <row r="55" spans="2:53" ht="15.75" thickBot="1" x14ac:dyDescent="0.25">
      <c r="B55" s="831"/>
      <c r="C55" s="832"/>
      <c r="D55" s="832"/>
      <c r="E55" s="832"/>
      <c r="F55" s="832"/>
      <c r="G55" s="832"/>
      <c r="H55" s="832"/>
      <c r="I55" s="839"/>
      <c r="J55" s="839"/>
      <c r="K55" s="666"/>
      <c r="L55" s="666"/>
      <c r="M55" s="666"/>
      <c r="N55" s="666"/>
      <c r="O55" s="666"/>
      <c r="P55" s="666"/>
      <c r="Q55" s="844"/>
      <c r="T55" s="851"/>
      <c r="U55" s="876" t="s">
        <v>20</v>
      </c>
      <c r="V55" s="911">
        <f>'B7. HELHET (2014)'!D21</f>
        <v>79358.779253204964</v>
      </c>
      <c r="W55" s="892">
        <f>'B7. HELHET (2014)'!E21</f>
        <v>39553.200000000004</v>
      </c>
      <c r="X55" s="892">
        <f>'B7. HELHET (2014)'!G21</f>
        <v>45100.3</v>
      </c>
      <c r="Y55" s="892">
        <f>'B7. HELHET (2014)'!I21</f>
        <v>-31672.828001595462</v>
      </c>
      <c r="Z55" s="892">
        <f>'B7. HELHET (2014)'!K21</f>
        <v>102004.8288</v>
      </c>
      <c r="AA55" s="892">
        <f>'B7. HELHET (2014)'!M21+'B7. HELHET (2014)'!N21</f>
        <v>1543.7850000000001</v>
      </c>
      <c r="AB55" s="893">
        <f>'B7. HELHET (2014)'!O21</f>
        <v>235888.06505160956</v>
      </c>
      <c r="AC55" s="1164"/>
      <c r="AD55" s="1159">
        <f t="shared" si="22"/>
        <v>242746.75846392039</v>
      </c>
      <c r="AE55" s="666"/>
      <c r="AF55" s="952">
        <f t="shared" si="23"/>
        <v>1.0206755020339078</v>
      </c>
      <c r="AG55" s="952">
        <f t="shared" si="26"/>
        <v>0.86760819298671843</v>
      </c>
      <c r="AH55" s="952">
        <f t="shared" si="24"/>
        <v>0.84309433897952124</v>
      </c>
      <c r="AI55" s="949" t="s">
        <v>20</v>
      </c>
      <c r="AJ55" s="951">
        <f t="shared" si="21"/>
        <v>0.98081096134964862</v>
      </c>
      <c r="AK55" s="952">
        <f t="shared" si="25"/>
        <v>0.95629710734245155</v>
      </c>
      <c r="AL55" s="949"/>
      <c r="AM55" s="967">
        <v>294834.25800000003</v>
      </c>
      <c r="AN55" s="895">
        <v>279788.45800000004</v>
      </c>
      <c r="AO55" s="980">
        <f>AN55-'Data, inkomst- skkompl, kost'!G308</f>
        <v>262140.99635000003</v>
      </c>
      <c r="AR55" s="949" t="s">
        <v>19</v>
      </c>
      <c r="AS55" s="22">
        <f t="shared" si="27"/>
        <v>2383375.9982121177</v>
      </c>
      <c r="AT55" s="22">
        <v>2846110.7489955411</v>
      </c>
      <c r="AV55" s="22">
        <f t="shared" si="28"/>
        <v>5632322.333333333</v>
      </c>
      <c r="AX55" s="1337">
        <f t="shared" si="29"/>
        <v>0.29733853491372542</v>
      </c>
      <c r="AY55" s="115">
        <f t="shared" si="30"/>
        <v>0.33568829539122402</v>
      </c>
      <c r="AZ55" s="1336">
        <f t="shared" si="31"/>
        <v>-3.8349760477498607E-2</v>
      </c>
    </row>
    <row r="56" spans="2:53" ht="16.5" thickBot="1" x14ac:dyDescent="0.3">
      <c r="B56" s="831"/>
      <c r="C56" s="832"/>
      <c r="D56" s="832"/>
      <c r="E56" s="832"/>
      <c r="F56" s="832"/>
      <c r="G56" s="832"/>
      <c r="H56" s="832"/>
      <c r="I56" s="839"/>
      <c r="J56" s="43" t="s">
        <v>0</v>
      </c>
      <c r="K56" s="47">
        <v>2013</v>
      </c>
      <c r="L56" s="1025"/>
      <c r="M56" s="43" t="s">
        <v>0</v>
      </c>
      <c r="N56" s="47">
        <v>2014</v>
      </c>
      <c r="O56" s="666"/>
      <c r="P56" s="43" t="s">
        <v>0</v>
      </c>
      <c r="Q56" s="47">
        <v>2015</v>
      </c>
      <c r="T56" s="851"/>
      <c r="U56" s="876" t="s">
        <v>21</v>
      </c>
      <c r="V56" s="911">
        <f>'B7. HELHET (2014)'!D22</f>
        <v>1129622.7532760482</v>
      </c>
      <c r="W56" s="892">
        <f>'B7. HELHET (2014)'!E22</f>
        <v>324775.72000000003</v>
      </c>
      <c r="X56" s="892">
        <f>'B7. HELHET (2014)'!G22</f>
        <v>276172.12</v>
      </c>
      <c r="Y56" s="892">
        <f>'B7. HELHET (2014)'!I22</f>
        <v>359960.42672874243</v>
      </c>
      <c r="Z56" s="892"/>
      <c r="AA56" s="892">
        <f>'B7. HELHET (2014)'!M22+'B7. HELHET (2014)'!N22</f>
        <v>15819.975</v>
      </c>
      <c r="AB56" s="893">
        <f>'B7. HELHET (2014)'!O22</f>
        <v>2106350.9950047904</v>
      </c>
      <c r="AC56" s="1164"/>
      <c r="AD56" s="1159">
        <f t="shared" si="22"/>
        <v>2167595.3639824786</v>
      </c>
      <c r="AE56" s="666"/>
      <c r="AF56" s="952">
        <f t="shared" si="23"/>
        <v>1.0667413699201067</v>
      </c>
      <c r="AG56" s="952">
        <f t="shared" si="26"/>
        <v>1.0037197983361279</v>
      </c>
      <c r="AH56" s="952">
        <f t="shared" si="24"/>
        <v>0.97536017610176073</v>
      </c>
      <c r="AI56" s="949" t="s">
        <v>21</v>
      </c>
      <c r="AJ56" s="951">
        <f t="shared" si="21"/>
        <v>0.83703767079118241</v>
      </c>
      <c r="AK56" s="952">
        <f t="shared" si="25"/>
        <v>0.80867804855681524</v>
      </c>
      <c r="AL56" s="949"/>
      <c r="AM56" s="967">
        <v>2217230.2279999997</v>
      </c>
      <c r="AN56" s="895">
        <v>2159562.2279999997</v>
      </c>
      <c r="AO56" s="980">
        <f>AN56-'Data, inkomst- skkompl, kost'!G309</f>
        <v>1637126.5027499995</v>
      </c>
      <c r="AR56" s="949" t="s">
        <v>20</v>
      </c>
      <c r="AS56" s="22">
        <f t="shared" si="27"/>
        <v>233651.96482365657</v>
      </c>
      <c r="AT56" s="22">
        <v>263009.30079368257</v>
      </c>
      <c r="AV56" s="22">
        <f t="shared" si="28"/>
        <v>396603</v>
      </c>
      <c r="AX56" s="1337">
        <f t="shared" si="29"/>
        <v>0.37072609953819513</v>
      </c>
      <c r="AY56" s="115">
        <f t="shared" si="30"/>
        <v>0.3987331656447507</v>
      </c>
      <c r="AZ56" s="1336">
        <f t="shared" si="31"/>
        <v>-2.8007066106555567E-2</v>
      </c>
    </row>
    <row r="57" spans="2:53" ht="16.5" thickBot="1" x14ac:dyDescent="0.3">
      <c r="B57" s="858" t="s">
        <v>498</v>
      </c>
      <c r="C57" s="832"/>
      <c r="D57" s="832"/>
      <c r="E57" s="832"/>
      <c r="F57" s="832"/>
      <c r="G57" s="838" t="s">
        <v>494</v>
      </c>
      <c r="H57" s="832"/>
      <c r="I57" s="839"/>
      <c r="J57" s="40"/>
      <c r="K57" s="41"/>
      <c r="L57" s="1026"/>
      <c r="M57" s="40"/>
      <c r="N57" s="41"/>
      <c r="O57" s="666"/>
      <c r="P57" s="40"/>
      <c r="Q57" s="41"/>
      <c r="T57" s="872"/>
      <c r="U57" s="876" t="s">
        <v>22</v>
      </c>
      <c r="V57" s="911">
        <f>'B7. HELHET (2014)'!D23</f>
        <v>598279.0669171937</v>
      </c>
      <c r="W57" s="892">
        <f>'B7. HELHET (2014)'!E23</f>
        <v>213147.8</v>
      </c>
      <c r="X57" s="892">
        <f>'B7. HELHET (2014)'!G23</f>
        <v>149995.58000000002</v>
      </c>
      <c r="Y57" s="892">
        <f>'B7. HELHET (2014)'!I23</f>
        <v>119541.94400844831</v>
      </c>
      <c r="Z57" s="892">
        <f>'B7. HELHET (2014)'!K23</f>
        <v>309914.07750000001</v>
      </c>
      <c r="AA57" s="892">
        <f>'B7. HELHET (2014)'!M23+'B7. HELHET (2014)'!N23</f>
        <v>6450.27</v>
      </c>
      <c r="AB57" s="893">
        <f>'B7. HELHET (2014)'!O23</f>
        <v>1397328.7384256423</v>
      </c>
      <c r="AC57" s="1164"/>
      <c r="AD57" s="1159">
        <f t="shared" si="22"/>
        <v>1437957.5401031484</v>
      </c>
      <c r="AE57" s="666"/>
      <c r="AF57" s="952">
        <f t="shared" si="23"/>
        <v>1.0195154158028144</v>
      </c>
      <c r="AG57" s="952">
        <f t="shared" si="26"/>
        <v>1.006671369017752</v>
      </c>
      <c r="AH57" s="952">
        <f t="shared" si="24"/>
        <v>0.9782283515672423</v>
      </c>
      <c r="AI57" s="949" t="s">
        <v>22</v>
      </c>
      <c r="AJ57" s="951">
        <f t="shared" si="21"/>
        <v>0.92298360420280767</v>
      </c>
      <c r="AK57" s="952">
        <f t="shared" si="25"/>
        <v>0.89454058675229797</v>
      </c>
      <c r="AL57" s="949"/>
      <c r="AM57" s="967">
        <v>1460126.6199999999</v>
      </c>
      <c r="AN57" s="895">
        <v>1428427.97</v>
      </c>
      <c r="AO57" s="980">
        <f>AN57-'Data, inkomst- skkompl, kost'!G310</f>
        <v>1253327.5854499999</v>
      </c>
      <c r="AR57" s="949" t="s">
        <v>21</v>
      </c>
      <c r="AS57" s="22">
        <f t="shared" si="27"/>
        <v>2187634.7997886171</v>
      </c>
      <c r="AT57" s="22">
        <v>2165111.6623294731</v>
      </c>
      <c r="AV57" s="22">
        <f t="shared" si="28"/>
        <v>3349329</v>
      </c>
      <c r="AX57" s="1337">
        <f t="shared" si="29"/>
        <v>0.39509646060393855</v>
      </c>
      <c r="AY57" s="115">
        <f t="shared" si="30"/>
        <v>0.39262579741221876</v>
      </c>
      <c r="AZ57" s="1336">
        <f t="shared" si="31"/>
        <v>2.4706631917197908E-3</v>
      </c>
    </row>
    <row r="58" spans="2:53" ht="18.75" thickBot="1" x14ac:dyDescent="0.3">
      <c r="B58" s="831"/>
      <c r="C58" s="832"/>
      <c r="D58" s="832"/>
      <c r="E58" s="832"/>
      <c r="F58" s="832"/>
      <c r="G58" s="869">
        <v>0.1</v>
      </c>
      <c r="H58" s="832"/>
      <c r="I58" s="839"/>
      <c r="J58" s="40" t="s">
        <v>417</v>
      </c>
      <c r="K58" s="48">
        <v>150</v>
      </c>
      <c r="L58" s="1027"/>
      <c r="M58" s="40" t="s">
        <v>417</v>
      </c>
      <c r="N58" s="48">
        <f>K58*K30</f>
        <v>152.85</v>
      </c>
      <c r="O58" s="666"/>
      <c r="P58" s="40" t="s">
        <v>417</v>
      </c>
      <c r="Q58" s="48">
        <f>N58*O30</f>
        <v>153.1557</v>
      </c>
      <c r="T58" s="851"/>
      <c r="U58" s="876" t="s">
        <v>23</v>
      </c>
      <c r="V58" s="912">
        <f>'B7. HELHET (2014)'!D24</f>
        <v>0</v>
      </c>
      <c r="W58" s="896">
        <f>'B7. HELHET (2014)'!E24</f>
        <v>604285</v>
      </c>
      <c r="X58" s="896">
        <f>'B7. HELHET (2014)'!G24</f>
        <v>2975097.4400000004</v>
      </c>
      <c r="Y58" s="896">
        <f>'B7. HELHET (2014)'!I24</f>
        <v>1827180.4952338324</v>
      </c>
      <c r="Z58" s="896"/>
      <c r="AA58" s="896">
        <f>'B7. HELHET (2014)'!M24+'B7. HELHET (2014)'!N24</f>
        <v>272171.63919999998</v>
      </c>
      <c r="AB58" s="893">
        <f>'B7. HELHET (2014)'!O24</f>
        <v>5678734.5744338334</v>
      </c>
      <c r="AC58" s="1164"/>
      <c r="AD58" s="1160">
        <f t="shared" si="22"/>
        <v>5843849.7505976185</v>
      </c>
      <c r="AE58" s="666"/>
      <c r="AF58" s="952">
        <f t="shared" si="23"/>
        <v>0.89292873354336055</v>
      </c>
      <c r="AG58" s="952">
        <f t="shared" si="26"/>
        <v>0.99276992510664008</v>
      </c>
      <c r="AH58" s="953">
        <f t="shared" si="24"/>
        <v>0.9647196862966283</v>
      </c>
      <c r="AI58" s="949" t="s">
        <v>23</v>
      </c>
      <c r="AJ58" s="951">
        <f t="shared" si="21"/>
        <v>0.68236327181715384</v>
      </c>
      <c r="AK58" s="953">
        <f t="shared" si="25"/>
        <v>0.65431303300714216</v>
      </c>
      <c r="AL58" s="949"/>
      <c r="AM58" s="968">
        <v>6435502.1980000017</v>
      </c>
      <c r="AN58" s="895">
        <v>5886408.9280000012</v>
      </c>
      <c r="AO58" s="980">
        <f>AN58-'Data, inkomst- skkompl, kost'!G311</f>
        <v>4313394.7139500016</v>
      </c>
      <c r="AR58" s="949" t="s">
        <v>22</v>
      </c>
      <c r="AS58" s="22">
        <f t="shared" si="27"/>
        <v>1342021.5525856591</v>
      </c>
      <c r="AT58" s="22">
        <v>1408500.8916702408</v>
      </c>
      <c r="AV58" s="22">
        <f t="shared" si="28"/>
        <v>1188319.6666666667</v>
      </c>
      <c r="AX58" s="1337">
        <f t="shared" si="29"/>
        <v>0.53037177056389428</v>
      </c>
      <c r="AY58" s="115">
        <f t="shared" si="30"/>
        <v>0.54239438576082932</v>
      </c>
      <c r="AZ58" s="1336">
        <f t="shared" si="31"/>
        <v>-1.2022615196935038E-2</v>
      </c>
    </row>
    <row r="59" spans="2:53" ht="16.5" thickBot="1" x14ac:dyDescent="0.3">
      <c r="B59" s="831"/>
      <c r="C59" s="832"/>
      <c r="D59" s="832"/>
      <c r="E59" s="832"/>
      <c r="F59" s="832"/>
      <c r="G59" s="832"/>
      <c r="H59" s="832"/>
      <c r="I59" s="839"/>
      <c r="J59" s="42" t="s">
        <v>418</v>
      </c>
      <c r="K59" s="1029">
        <v>34</v>
      </c>
      <c r="L59" s="1027"/>
      <c r="M59" s="42" t="s">
        <v>418</v>
      </c>
      <c r="N59" s="1029">
        <f>K59*K30</f>
        <v>34.645999999999994</v>
      </c>
      <c r="O59" s="666"/>
      <c r="P59" s="42" t="s">
        <v>418</v>
      </c>
      <c r="Q59" s="1029">
        <f>N59*O30</f>
        <v>34.715291999999991</v>
      </c>
      <c r="T59" s="851"/>
      <c r="U59" s="874" t="s">
        <v>247</v>
      </c>
      <c r="V59" s="913">
        <f>'B7. HELHET (2014)'!D25</f>
        <v>15676911.453092942</v>
      </c>
      <c r="W59" s="897">
        <f>'B7. HELHET (2014)'!E25</f>
        <v>4599597.6800000006</v>
      </c>
      <c r="X59" s="897">
        <f>'B7. HELHET (2014)'!G25</f>
        <v>7723477.580000001</v>
      </c>
      <c r="Y59" s="897">
        <f>'B7. HELHET (2014)'!I25</f>
        <v>2620302.5744000021</v>
      </c>
      <c r="Z59" s="882">
        <f>'B7. HELHET (2014)'!K25</f>
        <v>1690178.0841999999</v>
      </c>
      <c r="AA59" s="897">
        <f>'B7. HELHET (2014)'!M25+'B7. HELHET (2014)'!N25</f>
        <v>534401.09920000006</v>
      </c>
      <c r="AB59" s="893">
        <f>'B7. HELHET (2014)'!O25</f>
        <v>32844868.470892943</v>
      </c>
      <c r="AC59" s="1164"/>
      <c r="AD59" s="1161">
        <f t="shared" si="22"/>
        <v>33799867.542000003</v>
      </c>
      <c r="AE59" s="666"/>
      <c r="AF59" s="964">
        <f t="shared" ref="AF59" si="32">AB59/AO59</f>
        <v>1.2030439640927157</v>
      </c>
      <c r="AG59" s="954">
        <f>AD59/AN59</f>
        <v>1</v>
      </c>
      <c r="AH59" s="954">
        <f t="shared" si="24"/>
        <v>0.97174547888625984</v>
      </c>
      <c r="AI59" s="949"/>
      <c r="AJ59" s="951">
        <f>(AD59-Y59)/AN59</f>
        <v>0.92247595138815297</v>
      </c>
      <c r="AK59" s="954">
        <f t="shared" si="25"/>
        <v>0.89422143027441281</v>
      </c>
      <c r="AL59" s="949"/>
      <c r="AM59" s="969">
        <v>35367425.232000001</v>
      </c>
      <c r="AN59" s="969">
        <v>33799867.542000003</v>
      </c>
      <c r="AO59" s="980">
        <f>AN59-'Data, inkomst- skkompl, kost'!G312</f>
        <v>27301469.814250004</v>
      </c>
      <c r="AR59" s="949" t="s">
        <v>23</v>
      </c>
      <c r="AS59" s="22">
        <f t="shared" si="27"/>
        <v>5956537.2237907806</v>
      </c>
      <c r="AT59" s="22">
        <v>5849395.3162922775</v>
      </c>
      <c r="AV59" s="22">
        <f t="shared" si="28"/>
        <v>48927867.333333336</v>
      </c>
      <c r="AX59" s="1337">
        <f t="shared" si="29"/>
        <v>0.10852877555756608</v>
      </c>
      <c r="AY59" s="115">
        <f t="shared" si="30"/>
        <v>0.10678509719821234</v>
      </c>
      <c r="AZ59" s="1336">
        <f t="shared" si="31"/>
        <v>1.7436783593537397E-3</v>
      </c>
    </row>
    <row r="60" spans="2:53" ht="16.5" thickBot="1" x14ac:dyDescent="0.3">
      <c r="B60" s="858" t="s">
        <v>499</v>
      </c>
      <c r="C60" s="832"/>
      <c r="D60" s="832"/>
      <c r="E60" s="832"/>
      <c r="F60" s="832"/>
      <c r="G60" s="838" t="s">
        <v>494</v>
      </c>
      <c r="H60" s="832"/>
      <c r="I60" s="839"/>
      <c r="J60" s="839"/>
      <c r="K60" s="666"/>
      <c r="L60" s="666"/>
      <c r="M60" s="666"/>
      <c r="N60" s="666"/>
      <c r="O60" s="666"/>
      <c r="P60" s="666"/>
      <c r="Q60" s="844"/>
      <c r="T60" s="851"/>
      <c r="U60" s="873"/>
      <c r="V60" s="908">
        <f t="shared" ref="V60:AB60" si="33">SUM(V43:V58)</f>
        <v>15676911.453092942</v>
      </c>
      <c r="W60" s="908">
        <f t="shared" si="33"/>
        <v>4599597.6800000006</v>
      </c>
      <c r="X60" s="908">
        <f t="shared" si="33"/>
        <v>7723477.580000001</v>
      </c>
      <c r="Y60" s="908">
        <f t="shared" si="33"/>
        <v>2620302.5744000021</v>
      </c>
      <c r="Z60" s="908">
        <f t="shared" si="33"/>
        <v>1690178.0841999999</v>
      </c>
      <c r="AA60" s="908">
        <f t="shared" si="33"/>
        <v>534401.09920000006</v>
      </c>
      <c r="AB60" s="908">
        <f t="shared" si="33"/>
        <v>32844868.470892943</v>
      </c>
      <c r="AC60" s="1162"/>
      <c r="AD60" s="1161"/>
      <c r="AE60" s="666"/>
      <c r="AF60" s="955"/>
      <c r="AG60" s="954" t="e">
        <f t="shared" ref="AG60" si="34">AB60/AM60</f>
        <v>#DIV/0!</v>
      </c>
      <c r="AH60" s="976"/>
      <c r="AI60" s="666"/>
      <c r="AJ60" s="666"/>
      <c r="AK60" s="666"/>
      <c r="AL60" s="666"/>
      <c r="AM60" s="979"/>
      <c r="AN60" s="979"/>
      <c r="AO60" s="844">
        <f>AM59-AN59</f>
        <v>1567557.6899999976</v>
      </c>
      <c r="AR60" s="5" t="s">
        <v>24</v>
      </c>
      <c r="AS60" s="22">
        <f>SUM(AS44:AS59)</f>
        <v>34104016.2269632</v>
      </c>
      <c r="AT60" s="217">
        <v>34104016.2269632</v>
      </c>
      <c r="AV60" s="22">
        <f>AVERAGE(E214,M214,W214)</f>
        <v>104514644</v>
      </c>
      <c r="AX60" s="1337">
        <f t="shared" si="29"/>
        <v>0.24602759953908074</v>
      </c>
      <c r="AY60" s="115">
        <f t="shared" si="30"/>
        <v>0.24602759953908074</v>
      </c>
      <c r="AZ60" s="1336">
        <f t="shared" si="31"/>
        <v>0</v>
      </c>
    </row>
    <row r="61" spans="2:53" ht="18.75" thickBot="1" x14ac:dyDescent="0.3">
      <c r="B61" s="831"/>
      <c r="C61" s="832"/>
      <c r="D61" s="832"/>
      <c r="E61" s="832"/>
      <c r="F61" s="832"/>
      <c r="G61" s="852">
        <v>0.1</v>
      </c>
      <c r="H61" s="832"/>
      <c r="I61" s="839"/>
      <c r="J61" s="839"/>
      <c r="K61" s="666"/>
      <c r="L61" s="666"/>
      <c r="M61" s="666"/>
      <c r="N61" s="666"/>
      <c r="O61" s="666"/>
      <c r="P61" s="666"/>
      <c r="Q61" s="844"/>
      <c r="R61" s="1" t="s">
        <v>378</v>
      </c>
      <c r="T61" s="872"/>
      <c r="U61" s="839"/>
      <c r="V61" s="839"/>
      <c r="W61" s="917">
        <v>4502692.3400000008</v>
      </c>
      <c r="X61" s="839"/>
      <c r="Y61" s="870"/>
      <c r="Z61" s="839"/>
      <c r="AA61" s="1308" t="s">
        <v>699</v>
      </c>
      <c r="AB61" s="1311">
        <f>IF(K37=2,'B4. Förslag, utjämning (2014)'!K92,'B. NYCKELMOD. UTJ (2014)'!K92)</f>
        <v>2620302.5744000003</v>
      </c>
      <c r="AC61" s="1312">
        <f>AB59+AB61</f>
        <v>35465171.045292944</v>
      </c>
      <c r="AD61" s="666"/>
      <c r="AE61" s="666"/>
      <c r="AF61" s="666"/>
      <c r="AG61" s="666"/>
      <c r="AH61" s="666"/>
      <c r="AI61" s="666"/>
      <c r="AJ61" s="666" t="s">
        <v>628</v>
      </c>
      <c r="AK61" s="666"/>
      <c r="AL61" s="666"/>
      <c r="AM61" s="666"/>
      <c r="AN61" s="666"/>
      <c r="AO61" s="844">
        <v>1567557.6899999976</v>
      </c>
      <c r="AT61" s="217"/>
    </row>
    <row r="62" spans="2:53" ht="17.25" thickBot="1" x14ac:dyDescent="0.3">
      <c r="B62" s="835"/>
      <c r="C62" s="836"/>
      <c r="D62" s="836"/>
      <c r="E62" s="836"/>
      <c r="F62" s="836"/>
      <c r="G62" s="836"/>
      <c r="H62" s="836"/>
      <c r="I62" s="840"/>
      <c r="J62" s="840"/>
      <c r="K62" s="845"/>
      <c r="L62" s="845"/>
      <c r="M62" s="845"/>
      <c r="N62" s="845"/>
      <c r="O62" s="845"/>
      <c r="P62" s="845"/>
      <c r="Q62" s="846"/>
      <c r="T62" s="872"/>
      <c r="U62" s="847">
        <v>2015</v>
      </c>
      <c r="V62" s="839"/>
      <c r="W62" s="839"/>
      <c r="X62" s="839"/>
      <c r="Y62" s="870"/>
      <c r="Z62" s="839"/>
      <c r="AA62" s="839"/>
      <c r="AB62" s="839"/>
      <c r="AC62" s="1162"/>
      <c r="AD62" s="666" t="s">
        <v>609</v>
      </c>
      <c r="AE62" s="666"/>
      <c r="AF62" s="977" t="s">
        <v>521</v>
      </c>
      <c r="AG62" s="977"/>
      <c r="AH62" s="555"/>
      <c r="AI62" s="666"/>
      <c r="AJ62" s="977" t="s">
        <v>611</v>
      </c>
      <c r="AK62" s="555"/>
      <c r="AL62" s="666"/>
      <c r="AM62" s="666"/>
      <c r="AN62" s="666"/>
      <c r="AO62" s="844"/>
      <c r="AY62" s="1" t="s">
        <v>768</v>
      </c>
    </row>
    <row r="63" spans="2:53" ht="16.5" thickBot="1" x14ac:dyDescent="0.3">
      <c r="B63" s="418"/>
      <c r="C63" s="9"/>
      <c r="D63" s="9"/>
      <c r="E63" s="9"/>
      <c r="F63" s="9"/>
      <c r="G63" s="9"/>
      <c r="H63" s="9"/>
      <c r="I63" s="9"/>
      <c r="J63" s="569"/>
      <c r="K63" s="569"/>
      <c r="L63" s="569"/>
      <c r="M63" s="569"/>
      <c r="N63" s="569"/>
      <c r="O63" s="9"/>
      <c r="P63" s="9"/>
      <c r="Q63" s="419"/>
      <c r="T63" s="872"/>
      <c r="U63" s="881"/>
      <c r="V63" s="894" t="s">
        <v>480</v>
      </c>
      <c r="W63" s="886" t="s">
        <v>500</v>
      </c>
      <c r="X63" s="886" t="s">
        <v>501</v>
      </c>
      <c r="Y63" s="886" t="s">
        <v>741</v>
      </c>
      <c r="Z63" s="886" t="s">
        <v>491</v>
      </c>
      <c r="AA63" s="886" t="s">
        <v>496</v>
      </c>
      <c r="AB63" s="883" t="s">
        <v>502</v>
      </c>
      <c r="AC63" s="1162"/>
      <c r="AD63" s="887" t="s">
        <v>610</v>
      </c>
      <c r="AE63" s="666"/>
      <c r="AF63" s="929" t="s">
        <v>721</v>
      </c>
      <c r="AG63" s="884" t="s">
        <v>726</v>
      </c>
      <c r="AH63" s="884" t="s">
        <v>727</v>
      </c>
      <c r="AI63" s="949"/>
      <c r="AJ63" s="884" t="s">
        <v>523</v>
      </c>
      <c r="AK63" s="884" t="s">
        <v>529</v>
      </c>
      <c r="AL63" s="949"/>
      <c r="AM63" s="884" t="s">
        <v>518</v>
      </c>
      <c r="AN63" s="884" t="s">
        <v>527</v>
      </c>
      <c r="AO63" s="844"/>
      <c r="AU63" s="1" t="s">
        <v>761</v>
      </c>
      <c r="AV63" s="1" t="s">
        <v>664</v>
      </c>
      <c r="AW63" s="1" t="s">
        <v>664</v>
      </c>
      <c r="AZ63" s="1" t="s">
        <v>761</v>
      </c>
    </row>
    <row r="64" spans="2:53" ht="15.75" thickBot="1" x14ac:dyDescent="0.25">
      <c r="B64" s="418"/>
      <c r="C64" s="9"/>
      <c r="D64" s="9"/>
      <c r="E64" s="9"/>
      <c r="F64" s="9"/>
      <c r="G64" s="9"/>
      <c r="H64" s="9"/>
      <c r="I64" s="9"/>
      <c r="J64" s="569"/>
      <c r="K64" s="569"/>
      <c r="L64" s="569"/>
      <c r="M64" s="569"/>
      <c r="N64" s="569"/>
      <c r="O64" s="9" t="s">
        <v>378</v>
      </c>
      <c r="P64" s="9"/>
      <c r="Q64" s="419"/>
      <c r="T64" s="872"/>
      <c r="U64" s="875" t="s">
        <v>8</v>
      </c>
      <c r="V64" s="898">
        <f>'C1. Skattekomplettering (2015)'!O65</f>
        <v>408914.31097017048</v>
      </c>
      <c r="W64" s="899">
        <f>'C7. HELHET (2015)'!E9</f>
        <v>207409.56</v>
      </c>
      <c r="X64" s="899">
        <f>'C7. HELHET (2015)'!G9</f>
        <v>145021.66</v>
      </c>
      <c r="Y64" s="899">
        <f>'C7. HELHET (2015)'!I9</f>
        <v>-14201.371735894376</v>
      </c>
      <c r="Z64" s="891">
        <f>'C7. HELHET (2015)'!K9</f>
        <v>404213.86639570002</v>
      </c>
      <c r="AA64" s="899">
        <f>'C7. HELHET (2015)'!M9+'C7. HELHET (2015)'!N9</f>
        <v>7351.4736000000003</v>
      </c>
      <c r="AB64" s="900">
        <f>'C7. HELHET (2015)'!O9</f>
        <v>1158709.4992299762</v>
      </c>
      <c r="AC64" s="1164">
        <f>AVERAGE(AB64,AB43,AB20)</f>
        <v>1166928.8290252851</v>
      </c>
      <c r="AD64" s="1158">
        <f>AB64*$AE$14</f>
        <v>1208054.9905941756</v>
      </c>
      <c r="AE64" s="909">
        <f>AVERAGE(AN64,AN43,AN20)</f>
        <v>1189222.9546239923</v>
      </c>
      <c r="AF64" s="963">
        <f>(AB64-Y64)/AO64</f>
        <v>1.1692847648123754</v>
      </c>
      <c r="AG64" s="951">
        <f>AD64/AN64</f>
        <v>1.0201251327390186</v>
      </c>
      <c r="AH64" s="951">
        <f>AB64/AN64</f>
        <v>0.97845602303796331</v>
      </c>
      <c r="AI64" s="949" t="s">
        <v>8</v>
      </c>
      <c r="AJ64" s="951">
        <f>(AD64-Y64)/AN64</f>
        <v>1.0321172823844829</v>
      </c>
      <c r="AK64" s="951">
        <f>(AB64-Y64)/AN64</f>
        <v>0.99044817268342766</v>
      </c>
      <c r="AL64" s="949"/>
      <c r="AM64" s="956">
        <v>1210606.7984380953</v>
      </c>
      <c r="AN64" s="956">
        <v>1184222.3584380953</v>
      </c>
      <c r="AO64" s="980">
        <f>AN64-'Data, inkomst- skkompl, kost'!H296</f>
        <v>1003101.1317880953</v>
      </c>
      <c r="AR64" s="949" t="s">
        <v>8</v>
      </c>
      <c r="AU64" s="22">
        <f>Jämförelser!C5-Jämförelser!D5</f>
        <v>-22294.125598707236</v>
      </c>
      <c r="AV64" s="219">
        <f>AU64/L172</f>
        <v>-46.935001260436287</v>
      </c>
      <c r="AW64" s="219">
        <f>Jämförelser!C5/L172</f>
        <v>2456.6922716321792</v>
      </c>
      <c r="AY64" s="22">
        <f>Jämförelser!C5+AW85</f>
        <v>1154283.9723362126</v>
      </c>
      <c r="AZ64" s="22">
        <f>AY64-Jämförelser!D5</f>
        <v>-34938.982287779683</v>
      </c>
      <c r="BA64" s="219">
        <f>AZ64/L172</f>
        <v>-73.555752184799331</v>
      </c>
    </row>
    <row r="65" spans="2:53" ht="15.75" thickBot="1" x14ac:dyDescent="0.25">
      <c r="B65" s="418"/>
      <c r="C65" s="9"/>
      <c r="D65" s="9"/>
      <c r="E65" s="9"/>
      <c r="F65" s="9"/>
      <c r="G65" s="9"/>
      <c r="H65" s="9"/>
      <c r="I65" s="9"/>
      <c r="J65" s="569"/>
      <c r="K65" s="569"/>
      <c r="L65" s="569"/>
      <c r="M65" s="569"/>
      <c r="N65" s="569"/>
      <c r="O65" s="9"/>
      <c r="P65" s="9"/>
      <c r="Q65" s="419"/>
      <c r="T65" s="872"/>
      <c r="U65" s="876" t="s">
        <v>9</v>
      </c>
      <c r="V65" s="901">
        <f>'C1. Skattekomplettering (2015)'!O66</f>
        <v>1167125.3369655637</v>
      </c>
      <c r="W65" s="902">
        <f>'C7. HELHET (2015)'!E10</f>
        <v>315297.76</v>
      </c>
      <c r="X65" s="902">
        <f>'C7. HELHET (2015)'!G10</f>
        <v>278585.86</v>
      </c>
      <c r="Y65" s="902">
        <f>'C7. HELHET (2015)'!I10</f>
        <v>272919.44506794709</v>
      </c>
      <c r="Z65" s="902"/>
      <c r="AA65" s="902">
        <f>'C7. HELHET (2015)'!M10+'C7. HELHET (2015)'!N10</f>
        <v>14978.627460000002</v>
      </c>
      <c r="AB65" s="900">
        <f>'C7. HELHET (2015)'!O10</f>
        <v>2048907.029493511</v>
      </c>
      <c r="AC65" s="1164">
        <f t="shared" ref="AC65:AC80" si="35">AVERAGE(AB65,AB44,AB21)</f>
        <v>1971237.3502511114</v>
      </c>
      <c r="AD65" s="1159">
        <f t="shared" ref="AD65:AD80" si="36">AB65*$AE$14</f>
        <v>2136163.0019327709</v>
      </c>
      <c r="AE65" s="909">
        <f t="shared" ref="AE65:AE80" si="37">AVERAGE(AN65,AN44,AN21)</f>
        <v>2216192.0077622063</v>
      </c>
      <c r="AF65" s="962">
        <f t="shared" ref="AF65:AF79" si="38">(AB65-Y65)/AO65</f>
        <v>0.96905934751530975</v>
      </c>
      <c r="AG65" s="952">
        <f>AD65/AN65</f>
        <v>0.94502593232204801</v>
      </c>
      <c r="AH65" s="952">
        <f t="shared" ref="AH65:AH80" si="39">AB65/AN65</f>
        <v>0.9064244039599938</v>
      </c>
      <c r="AI65" s="949" t="s">
        <v>9</v>
      </c>
      <c r="AJ65" s="951">
        <f t="shared" ref="AJ65:AJ80" si="40">(AD65-Y65)/AN65</f>
        <v>0.82428797702987511</v>
      </c>
      <c r="AK65" s="952">
        <f t="shared" ref="AK65:AK80" si="41">(AB65-Y65)/AN65</f>
        <v>0.785686448667821</v>
      </c>
      <c r="AL65" s="949"/>
      <c r="AM65" s="957">
        <v>2333357.399352381</v>
      </c>
      <c r="AN65" s="957">
        <v>2260427.919352381</v>
      </c>
      <c r="AO65" s="980">
        <f>AN65-'Data, inkomst- skkompl, kost'!H297</f>
        <v>1832692.2793523809</v>
      </c>
      <c r="AR65" s="949" t="s">
        <v>9</v>
      </c>
      <c r="AU65" s="22">
        <f>Jämförelser!C6-Jämförelser!D6</f>
        <v>-244954.65751109482</v>
      </c>
      <c r="AV65" s="219">
        <f t="shared" ref="AV65:AV79" si="42">AU65/L173</f>
        <v>-258.66384108880129</v>
      </c>
      <c r="AW65" s="219">
        <f>Jämförelser!C6/L173</f>
        <v>2081.5600319441514</v>
      </c>
      <c r="AY65" s="22">
        <f>Jämförelser!C6+AW86</f>
        <v>2105347.6843606988</v>
      </c>
      <c r="AZ65" s="22">
        <f>AY65-Jämförelser!D6</f>
        <v>-110844.32340150746</v>
      </c>
      <c r="BA65" s="219">
        <f t="shared" ref="BA65:BA79" si="43">AZ65/L173</f>
        <v>-117.0478599804725</v>
      </c>
    </row>
    <row r="66" spans="2:53" ht="17.25" thickBot="1" x14ac:dyDescent="0.3">
      <c r="B66" s="848" t="s">
        <v>504</v>
      </c>
      <c r="C66" s="849"/>
      <c r="D66" s="849"/>
      <c r="E66" s="849"/>
      <c r="F66" s="849"/>
      <c r="G66" s="849"/>
      <c r="H66" s="849"/>
      <c r="I66" s="850"/>
      <c r="J66" s="841"/>
      <c r="K66" s="842"/>
      <c r="L66" s="842"/>
      <c r="M66" s="842"/>
      <c r="N66" s="842"/>
      <c r="O66" s="842"/>
      <c r="P66" s="842"/>
      <c r="Q66" s="843"/>
      <c r="T66" s="872"/>
      <c r="U66" s="876" t="s">
        <v>10</v>
      </c>
      <c r="V66" s="901">
        <f>'C1. Skattekomplettering (2015)'!O67</f>
        <v>2500787.9328619782</v>
      </c>
      <c r="W66" s="902">
        <f>'C7. HELHET (2015)'!E11</f>
        <v>389168.15</v>
      </c>
      <c r="X66" s="902">
        <f>'C7. HELHET (2015)'!G11</f>
        <v>679903.56</v>
      </c>
      <c r="Y66" s="902">
        <f>'C7. HELHET (2015)'!I11</f>
        <v>174972.5964519805</v>
      </c>
      <c r="Z66" s="902"/>
      <c r="AA66" s="902">
        <f>'C7. HELHET (2015)'!M11+'C7. HELHET (2015)'!N11</f>
        <v>38702.445390000001</v>
      </c>
      <c r="AB66" s="900">
        <f>'C7. HELHET (2015)'!O11</f>
        <v>3783534.6847039587</v>
      </c>
      <c r="AC66" s="1164">
        <f t="shared" si="35"/>
        <v>3761731.1103224773</v>
      </c>
      <c r="AD66" s="1159">
        <f t="shared" si="36"/>
        <v>3944662.5413706037</v>
      </c>
      <c r="AE66" s="909">
        <f t="shared" si="37"/>
        <v>3339592.3917247565</v>
      </c>
      <c r="AF66" s="962">
        <f t="shared" si="38"/>
        <v>1.314297871771454</v>
      </c>
      <c r="AG66" s="952">
        <f t="shared" ref="AG66:AG78" si="44">AD66/AN66</f>
        <v>1.1581039856153208</v>
      </c>
      <c r="AH66" s="952">
        <f t="shared" si="39"/>
        <v>1.1107988458112807</v>
      </c>
      <c r="AI66" s="949" t="s">
        <v>10</v>
      </c>
      <c r="AJ66" s="951">
        <f t="shared" si="40"/>
        <v>1.1067342019648054</v>
      </c>
      <c r="AK66" s="952">
        <f t="shared" si="41"/>
        <v>1.0594290621607656</v>
      </c>
      <c r="AL66" s="949"/>
      <c r="AM66" s="957">
        <v>3565463.8632000005</v>
      </c>
      <c r="AN66" s="957">
        <v>3406138.4732000004</v>
      </c>
      <c r="AO66" s="980">
        <f>AN66-'Data, inkomst- skkompl, kost'!H298</f>
        <v>2745619.6694500004</v>
      </c>
      <c r="AR66" s="949" t="s">
        <v>10</v>
      </c>
      <c r="AU66" s="22">
        <f>Jämförelser!C7-Jämförelser!D7</f>
        <v>422138.71859772084</v>
      </c>
      <c r="AV66" s="219">
        <f t="shared" si="42"/>
        <v>167.51536452290509</v>
      </c>
      <c r="AW66" s="219">
        <f>Jämförelser!C7/L174</f>
        <v>1492.7504406041576</v>
      </c>
      <c r="AY66" s="22">
        <f>Jämförelser!C7+AW87</f>
        <v>3350464.1172789549</v>
      </c>
      <c r="AZ66" s="22">
        <f>AY66-Jämförelser!D7</f>
        <v>10871.725554198492</v>
      </c>
      <c r="BA66" s="219">
        <f t="shared" si="43"/>
        <v>4.3141768072216236</v>
      </c>
    </row>
    <row r="67" spans="2:53" ht="16.5" thickTop="1" thickBot="1" x14ac:dyDescent="0.25">
      <c r="B67" s="831"/>
      <c r="C67" s="832"/>
      <c r="D67" s="832"/>
      <c r="E67" s="832"/>
      <c r="F67" s="832"/>
      <c r="G67" s="832"/>
      <c r="H67" s="832"/>
      <c r="I67" s="839"/>
      <c r="J67" s="839"/>
      <c r="K67" s="666"/>
      <c r="L67" s="666"/>
      <c r="M67" s="666"/>
      <c r="N67" s="666"/>
      <c r="O67" s="666"/>
      <c r="P67" s="666"/>
      <c r="Q67" s="844"/>
      <c r="T67" s="872"/>
      <c r="U67" s="876" t="s">
        <v>11</v>
      </c>
      <c r="V67" s="901">
        <f>'C1. Skattekomplettering (2015)'!O68</f>
        <v>520004.3804057911</v>
      </c>
      <c r="W67" s="902">
        <f>'C7. HELHET (2015)'!E12</f>
        <v>253647.36000000002</v>
      </c>
      <c r="X67" s="902">
        <f>'C7. HELHET (2015)'!G12</f>
        <v>194700.24000000002</v>
      </c>
      <c r="Y67" s="902">
        <f>'C7. HELHET (2015)'!I12</f>
        <v>-103449.48001644657</v>
      </c>
      <c r="Z67" s="902">
        <f>'C7. HELHET (2015)'!K12</f>
        <v>386161.21142519999</v>
      </c>
      <c r="AA67" s="902">
        <f>'C7. HELHET (2015)'!M12+'C7. HELHET (2015)'!N12</f>
        <v>8837.0838899999999</v>
      </c>
      <c r="AB67" s="900">
        <f>'C7. HELHET (2015)'!O12</f>
        <v>1259900.7957045445</v>
      </c>
      <c r="AC67" s="1164">
        <f t="shared" si="35"/>
        <v>1319548.6613884377</v>
      </c>
      <c r="AD67" s="1159">
        <f t="shared" si="36"/>
        <v>1313555.6797591776</v>
      </c>
      <c r="AE67" s="909">
        <f t="shared" si="37"/>
        <v>1569581.0951423217</v>
      </c>
      <c r="AF67" s="962">
        <f t="shared" si="38"/>
        <v>0.98003454167482273</v>
      </c>
      <c r="AG67" s="952">
        <f t="shared" si="44"/>
        <v>0.85078091233147968</v>
      </c>
      <c r="AH67" s="952">
        <f t="shared" si="39"/>
        <v>0.8160290156966834</v>
      </c>
      <c r="AI67" s="949" t="s">
        <v>11</v>
      </c>
      <c r="AJ67" s="951">
        <f t="shared" si="40"/>
        <v>0.91778442375076386</v>
      </c>
      <c r="AK67" s="952">
        <f t="shared" si="41"/>
        <v>0.88303252711596758</v>
      </c>
      <c r="AL67" s="949"/>
      <c r="AM67" s="957">
        <v>1577162.8030095238</v>
      </c>
      <c r="AN67" s="957">
        <v>1543941.1730095239</v>
      </c>
      <c r="AO67" s="980">
        <f>AN67-'Data, inkomst- skkompl, kost'!H299</f>
        <v>1391124.718309524</v>
      </c>
      <c r="AP67" s="1" t="s">
        <v>643</v>
      </c>
      <c r="AR67" s="949" t="s">
        <v>11</v>
      </c>
      <c r="AU67" s="22">
        <f>Jämförelser!C8-Jämförelser!D8</f>
        <v>-250032.43375388393</v>
      </c>
      <c r="AV67" s="219">
        <f t="shared" si="42"/>
        <v>-437.11963942986699</v>
      </c>
      <c r="AW67" s="219">
        <f>Jämförelser!C8/L175</f>
        <v>2306.9032541755905</v>
      </c>
      <c r="AY67" s="22">
        <f>Jämförelser!C8+AW88</f>
        <v>1473866.8986831866</v>
      </c>
      <c r="AZ67" s="22">
        <f>AY67-Jämförelser!D8</f>
        <v>-95714.196459135041</v>
      </c>
      <c r="BA67" s="219">
        <f t="shared" si="43"/>
        <v>-167.33251129219414</v>
      </c>
    </row>
    <row r="68" spans="2:53" ht="17.25" thickBot="1" x14ac:dyDescent="0.3">
      <c r="B68" s="831"/>
      <c r="C68" s="880">
        <v>2013</v>
      </c>
      <c r="D68" s="832"/>
      <c r="E68" s="832"/>
      <c r="F68" s="832"/>
      <c r="G68" s="832"/>
      <c r="H68" s="832"/>
      <c r="I68" s="839"/>
      <c r="J68" s="839"/>
      <c r="K68" s="666"/>
      <c r="L68" s="666"/>
      <c r="M68" s="666"/>
      <c r="N68" s="666"/>
      <c r="O68" s="666"/>
      <c r="P68" s="666"/>
      <c r="Q68" s="844"/>
      <c r="T68" s="872"/>
      <c r="U68" s="876" t="s">
        <v>12</v>
      </c>
      <c r="V68" s="901">
        <f>'C1. Skattekomplettering (2015)'!O69</f>
        <v>825838.45685106621</v>
      </c>
      <c r="W68" s="902">
        <f>'C7. HELHET (2015)'!E13</f>
        <v>238234.76</v>
      </c>
      <c r="X68" s="902">
        <f>'C7. HELHET (2015)'!G13</f>
        <v>148500.24</v>
      </c>
      <c r="Y68" s="902">
        <f>'C7. HELHET (2015)'!I13</f>
        <v>311192.85073049221</v>
      </c>
      <c r="Z68" s="902"/>
      <c r="AA68" s="902">
        <f>'C7. HELHET (2015)'!M13+'C7. HELHET (2015)'!N13</f>
        <v>7535.2604400000009</v>
      </c>
      <c r="AB68" s="900">
        <f>'C7. HELHET (2015)'!O13</f>
        <v>1531301.5680215587</v>
      </c>
      <c r="AC68" s="1164">
        <f t="shared" si="35"/>
        <v>1512639.3592334688</v>
      </c>
      <c r="AD68" s="1159">
        <f t="shared" si="36"/>
        <v>1596514.4866616563</v>
      </c>
      <c r="AE68" s="909">
        <f t="shared" si="37"/>
        <v>1749382.7152034992</v>
      </c>
      <c r="AF68" s="962">
        <f t="shared" si="38"/>
        <v>0.8349879897682948</v>
      </c>
      <c r="AG68" s="952">
        <f t="shared" si="44"/>
        <v>0.90508718194811988</v>
      </c>
      <c r="AH68" s="952">
        <f t="shared" si="39"/>
        <v>0.86811703400915763</v>
      </c>
      <c r="AI68" s="949" t="s">
        <v>12</v>
      </c>
      <c r="AJ68" s="951">
        <f t="shared" si="40"/>
        <v>0.72866744842035669</v>
      </c>
      <c r="AK68" s="952">
        <f t="shared" si="41"/>
        <v>0.69169730048139433</v>
      </c>
      <c r="AL68" s="949"/>
      <c r="AM68" s="957">
        <v>1808009.2689142858</v>
      </c>
      <c r="AN68" s="957">
        <v>1763934.4789142858</v>
      </c>
      <c r="AO68" s="980">
        <f>AN68-'Data, inkomst- skkompl, kost'!H300</f>
        <v>1461229.0622642857</v>
      </c>
      <c r="AR68" s="949" t="s">
        <v>12</v>
      </c>
      <c r="AU68" s="22">
        <f>Jämförelser!C9-Jämförelser!D9</f>
        <v>-236743.35597003042</v>
      </c>
      <c r="AV68" s="219">
        <f t="shared" si="42"/>
        <v>-473.48671194006084</v>
      </c>
      <c r="AW68" s="219">
        <f>Jämförelser!C9/L176</f>
        <v>3025.2787184669373</v>
      </c>
      <c r="AY68" s="22">
        <f>Jämförelser!C9+AW89</f>
        <v>1652131.7125865018</v>
      </c>
      <c r="AZ68" s="22">
        <f>AY68-Jämförelser!D9</f>
        <v>-97251.002616997343</v>
      </c>
      <c r="BA68" s="219">
        <f t="shared" si="43"/>
        <v>-194.50200523399468</v>
      </c>
    </row>
    <row r="69" spans="2:53" ht="17.25" thickBot="1" x14ac:dyDescent="0.3">
      <c r="B69" s="851"/>
      <c r="C69" s="880"/>
      <c r="D69" s="1165" t="s">
        <v>711</v>
      </c>
      <c r="E69" s="1042" t="s">
        <v>634</v>
      </c>
      <c r="F69" s="839"/>
      <c r="G69" s="870"/>
      <c r="H69" s="839"/>
      <c r="I69" s="839"/>
      <c r="J69" s="839"/>
      <c r="K69" s="666"/>
      <c r="L69" s="666"/>
      <c r="M69" s="666"/>
      <c r="N69" s="947" t="s">
        <v>519</v>
      </c>
      <c r="O69" s="666"/>
      <c r="P69" s="666"/>
      <c r="Q69" s="844" t="s">
        <v>591</v>
      </c>
      <c r="T69" s="872"/>
      <c r="U69" s="876" t="s">
        <v>13</v>
      </c>
      <c r="V69" s="901">
        <f>'C1. Skattekomplettering (2015)'!O70</f>
        <v>1713201.4102828894</v>
      </c>
      <c r="W69" s="902">
        <f>'C7. HELHET (2015)'!E14</f>
        <v>356141.15</v>
      </c>
      <c r="X69" s="902">
        <f>'C7. HELHET (2015)'!G14</f>
        <v>442967.9800000001</v>
      </c>
      <c r="Y69" s="902">
        <f>'C7. HELHET (2015)'!I14</f>
        <v>172201.99108451381</v>
      </c>
      <c r="Z69" s="902"/>
      <c r="AA69" s="902">
        <f>'C7. HELHET (2015)'!M14+'C7. HELHET (2015)'!N14</f>
        <v>23371.559820000002</v>
      </c>
      <c r="AB69" s="900">
        <f>'C7. HELHET (2015)'!O14</f>
        <v>2707884.0911874031</v>
      </c>
      <c r="AC69" s="1164">
        <f t="shared" si="35"/>
        <v>2611047.9838593812</v>
      </c>
      <c r="AD69" s="1159">
        <f t="shared" si="36"/>
        <v>2823203.6524111088</v>
      </c>
      <c r="AE69" s="909">
        <f t="shared" si="37"/>
        <v>2607974.5406106445</v>
      </c>
      <c r="AF69" s="962">
        <f t="shared" si="38"/>
        <v>1.0780752947202485</v>
      </c>
      <c r="AG69" s="952">
        <f t="shared" si="44"/>
        <v>1.0129748536922225</v>
      </c>
      <c r="AH69" s="952">
        <f t="shared" si="39"/>
        <v>0.9715978118487586</v>
      </c>
      <c r="AI69" s="949" t="s">
        <v>13</v>
      </c>
      <c r="AJ69" s="951">
        <f t="shared" si="40"/>
        <v>0.95118820696010653</v>
      </c>
      <c r="AK69" s="952">
        <f t="shared" si="41"/>
        <v>0.90981116511664262</v>
      </c>
      <c r="AL69" s="949"/>
      <c r="AM69" s="957">
        <v>2893223.6477904757</v>
      </c>
      <c r="AN69" s="957">
        <v>2787042.1877904758</v>
      </c>
      <c r="AO69" s="980">
        <f>AN69-'Data, inkomst- skkompl, kost'!H301</f>
        <v>2352045.4577904758</v>
      </c>
      <c r="AR69" s="949" t="s">
        <v>13</v>
      </c>
      <c r="AU69" s="22">
        <f>Jämförelser!C10-Jämförelser!D10</f>
        <v>3073.4432487366721</v>
      </c>
      <c r="AV69" s="219">
        <f t="shared" si="42"/>
        <v>1.9957423693095273</v>
      </c>
      <c r="AW69" s="219">
        <f>Jämförelser!C10/L177</f>
        <v>1695.485703804793</v>
      </c>
      <c r="AY69" s="22">
        <f>Jämförelser!C10+AW90</f>
        <v>2543036.5794695457</v>
      </c>
      <c r="AZ69" s="22">
        <f>AY69-Jämförelser!D10</f>
        <v>-64937.961141098756</v>
      </c>
      <c r="BA69" s="219">
        <f t="shared" si="43"/>
        <v>-42.167507234479714</v>
      </c>
    </row>
    <row r="70" spans="2:53" ht="16.5" thickBot="1" x14ac:dyDescent="0.3">
      <c r="B70" s="871"/>
      <c r="C70" s="881"/>
      <c r="D70" s="885" t="s">
        <v>181</v>
      </c>
      <c r="E70" s="886" t="s">
        <v>524</v>
      </c>
      <c r="F70" s="887" t="s">
        <v>183</v>
      </c>
      <c r="G70" s="884" t="s">
        <v>705</v>
      </c>
      <c r="H70" s="667" t="s">
        <v>505</v>
      </c>
      <c r="I70" s="667" t="s">
        <v>714</v>
      </c>
      <c r="J70" s="884" t="s">
        <v>531</v>
      </c>
      <c r="K70" s="667" t="s">
        <v>185</v>
      </c>
      <c r="L70" s="884" t="s">
        <v>530</v>
      </c>
      <c r="M70" s="884" t="s">
        <v>520</v>
      </c>
      <c r="N70" s="884" t="s">
        <v>705</v>
      </c>
      <c r="O70" s="884" t="s">
        <v>704</v>
      </c>
      <c r="P70" s="884" t="s">
        <v>522</v>
      </c>
      <c r="Q70" s="844" t="s">
        <v>592</v>
      </c>
      <c r="R70" s="1" t="s">
        <v>593</v>
      </c>
      <c r="T70" s="872"/>
      <c r="U70" s="877" t="s">
        <v>14</v>
      </c>
      <c r="V70" s="901">
        <f>'C1. Skattekomplettering (2015)'!O71</f>
        <v>2899628.3809597194</v>
      </c>
      <c r="W70" s="902">
        <f>'C7. HELHET (2015)'!E15</f>
        <v>468432.95000000007</v>
      </c>
      <c r="X70" s="902">
        <f>'C7. HELHET (2015)'!G15</f>
        <v>1135492.1200000001</v>
      </c>
      <c r="Y70" s="902">
        <f>'C7. HELHET (2015)'!I15</f>
        <v>-259337.47892677097</v>
      </c>
      <c r="Z70" s="903"/>
      <c r="AA70" s="902">
        <f>'C7. HELHET (2015)'!M15+'C7. HELHET (2015)'!N15</f>
        <v>65075.856930000002</v>
      </c>
      <c r="AB70" s="900">
        <f>'C7. HELHET (2015)'!O15</f>
        <v>4309291.8289629482</v>
      </c>
      <c r="AC70" s="1164">
        <f t="shared" si="35"/>
        <v>4359350.8839378646</v>
      </c>
      <c r="AD70" s="1159">
        <f t="shared" si="36"/>
        <v>4492809.8918365324</v>
      </c>
      <c r="AE70" s="909">
        <f t="shared" si="37"/>
        <v>3953605.7346562892</v>
      </c>
      <c r="AF70" s="962">
        <f t="shared" si="38"/>
        <v>1.4495580685165401</v>
      </c>
      <c r="AG70" s="952">
        <f t="shared" si="44"/>
        <v>1.1557359091216368</v>
      </c>
      <c r="AH70" s="952">
        <f t="shared" si="39"/>
        <v>1.108527498273711</v>
      </c>
      <c r="AI70" s="949" t="s">
        <v>14</v>
      </c>
      <c r="AJ70" s="951">
        <f t="shared" si="40"/>
        <v>1.2224481992457636</v>
      </c>
      <c r="AK70" s="952">
        <f t="shared" si="41"/>
        <v>1.1752397883978378</v>
      </c>
      <c r="AL70" s="949"/>
      <c r="AM70" s="958">
        <v>4120809.5532190469</v>
      </c>
      <c r="AN70" s="958">
        <v>3887401.8332190467</v>
      </c>
      <c r="AO70" s="980">
        <f>AN70-'Data, inkomst- skkompl, kost'!H302</f>
        <v>3151739.4212190467</v>
      </c>
      <c r="AP70" s="1" t="s">
        <v>641</v>
      </c>
      <c r="AR70" s="949" t="s">
        <v>14</v>
      </c>
      <c r="AU70" s="22">
        <f>Jämförelser!C11-Jämförelser!D11</f>
        <v>405745.14928157534</v>
      </c>
      <c r="AV70" s="219">
        <f t="shared" si="42"/>
        <v>91.714545497643613</v>
      </c>
      <c r="AW70" s="219">
        <f>Jämförelser!C11/L178</f>
        <v>985.38672783405616</v>
      </c>
      <c r="AY70" s="22">
        <f>Jämförelser!C11+AW91</f>
        <v>3945340.1266235504</v>
      </c>
      <c r="AZ70" s="22">
        <f>AY70-Jämförelser!D11</f>
        <v>-8265.6080327387899</v>
      </c>
      <c r="BA70" s="219">
        <f t="shared" si="43"/>
        <v>-1.8683562460982799</v>
      </c>
    </row>
    <row r="71" spans="2:53" ht="15.75" thickBot="1" x14ac:dyDescent="0.25">
      <c r="B71" s="872"/>
      <c r="C71" s="875" t="s">
        <v>8</v>
      </c>
      <c r="D71" s="996">
        <f>AB20</f>
        <v>1183030.3439159277</v>
      </c>
      <c r="E71" s="996">
        <v>731000</v>
      </c>
      <c r="F71" s="996">
        <v>1020000</v>
      </c>
      <c r="G71" s="997">
        <f>D71/(E71+F71)</f>
        <v>0.67563126437231735</v>
      </c>
      <c r="H71" s="996">
        <v>2555000</v>
      </c>
      <c r="I71" s="996">
        <v>2555000</v>
      </c>
      <c r="J71" s="997">
        <f t="shared" ref="J71:J87" si="45">D71/H71</f>
        <v>0.46302557491817131</v>
      </c>
      <c r="K71" s="996">
        <v>1536000</v>
      </c>
      <c r="L71" s="997">
        <f t="shared" ref="L71:L87" si="46">D71/K71</f>
        <v>0.77020204682026538</v>
      </c>
      <c r="M71" s="998">
        <f t="shared" ref="M71:M87" si="47">(K71+D71)/H71</f>
        <v>1.0641997432156274</v>
      </c>
      <c r="N71" s="998">
        <f>AN20/('Data, inkomst- skkompl, kost'!AF242+'Data, inkomst- skkompl, kost'!AJ242)</f>
        <v>0.69485656963671116</v>
      </c>
      <c r="O71" s="998">
        <f t="shared" ref="O71:O86" si="48">AN20/I71</f>
        <v>0.4762011168038674</v>
      </c>
      <c r="P71" s="998">
        <f>(AN20+K71)/'Data, inkomst- skkompl, kost'!G242</f>
        <v>1.0773752851013232</v>
      </c>
      <c r="Q71" s="1058">
        <f t="shared" ref="Q71:Q87" si="49">J71-O71</f>
        <v>-1.3175541885696085E-2</v>
      </c>
      <c r="R71" s="1059">
        <f t="shared" ref="R71:R87" si="50">M71-P71</f>
        <v>-1.3175541885695807E-2</v>
      </c>
      <c r="T71" s="872"/>
      <c r="U71" s="877" t="s">
        <v>15</v>
      </c>
      <c r="V71" s="901">
        <f>'C1. Skattekomplettering (2015)'!O72</f>
        <v>328123.3709993778</v>
      </c>
      <c r="W71" s="902">
        <f>'C7. HELHET (2015)'!E16</f>
        <v>108989.1</v>
      </c>
      <c r="X71" s="902">
        <f>'C7. HELHET (2015)'!G16</f>
        <v>124012.98000000001</v>
      </c>
      <c r="Y71" s="902">
        <f>'C7. HELHET (2015)'!I16</f>
        <v>-44806.259855102064</v>
      </c>
      <c r="Z71" s="903">
        <f>'C7. HELHET (2015)'!K16</f>
        <v>280701.59625840001</v>
      </c>
      <c r="AA71" s="902">
        <f>'C7. HELHET (2015)'!M16+'C7. HELHET (2015)'!N16</f>
        <v>5528.9207700000006</v>
      </c>
      <c r="AB71" s="900">
        <f>'C7. HELHET (2015)'!O16</f>
        <v>802549.70817267569</v>
      </c>
      <c r="AC71" s="1164">
        <f t="shared" si="35"/>
        <v>837447.46579141344</v>
      </c>
      <c r="AD71" s="1159">
        <f t="shared" si="36"/>
        <v>836727.56700639823</v>
      </c>
      <c r="AE71" s="909">
        <f t="shared" si="37"/>
        <v>849781.00686282944</v>
      </c>
      <c r="AF71" s="962">
        <f t="shared" si="38"/>
        <v>1.1222279369447334</v>
      </c>
      <c r="AG71" s="952">
        <f t="shared" si="44"/>
        <v>0.97980746115448103</v>
      </c>
      <c r="AH71" s="952">
        <f t="shared" si="39"/>
        <v>0.93978520969290125</v>
      </c>
      <c r="AI71" s="949" t="s">
        <v>15</v>
      </c>
      <c r="AJ71" s="951">
        <f t="shared" si="40"/>
        <v>1.0322755636092908</v>
      </c>
      <c r="AK71" s="952">
        <f t="shared" si="41"/>
        <v>0.99225331214771118</v>
      </c>
      <c r="AL71" s="949"/>
      <c r="AM71" s="958">
        <v>872842.63803809532</v>
      </c>
      <c r="AN71" s="958">
        <v>853971.41803809535</v>
      </c>
      <c r="AO71" s="980">
        <f>AN71-'Data, inkomst- skkompl, kost'!H303</f>
        <v>755065.82943809533</v>
      </c>
      <c r="AR71" s="949" t="s">
        <v>15</v>
      </c>
      <c r="AU71" s="22">
        <f>Jämförelser!C12-Jämförelser!D12</f>
        <v>-12333.541071415995</v>
      </c>
      <c r="AV71" s="219">
        <f t="shared" si="42"/>
        <v>-37.374366883078771</v>
      </c>
      <c r="AW71" s="219">
        <f>Jämförelser!C12/L179</f>
        <v>2537.7195933073135</v>
      </c>
      <c r="AY71" s="22">
        <f>Jämförelser!C12+AW92</f>
        <v>825623.48081073817</v>
      </c>
      <c r="AZ71" s="22">
        <f>AY71-Jämförelser!D12</f>
        <v>-24157.526052091271</v>
      </c>
      <c r="BA71" s="219">
        <f t="shared" si="43"/>
        <v>-73.204624400276572</v>
      </c>
    </row>
    <row r="72" spans="2:53" ht="15.75" thickBot="1" x14ac:dyDescent="0.25">
      <c r="B72" s="872"/>
      <c r="C72" s="876" t="s">
        <v>9</v>
      </c>
      <c r="D72" s="999">
        <f t="shared" ref="D72:D87" si="51">AB21</f>
        <v>1866881.254328765</v>
      </c>
      <c r="E72" s="999">
        <v>1189000</v>
      </c>
      <c r="F72" s="999">
        <v>2566000</v>
      </c>
      <c r="G72" s="939">
        <f t="shared" ref="G72:G87" si="52">D72/(E72+F72)</f>
        <v>0.49717210501431824</v>
      </c>
      <c r="H72" s="999">
        <v>4841000</v>
      </c>
      <c r="I72" s="999">
        <v>4841000</v>
      </c>
      <c r="J72" s="939">
        <f t="shared" si="45"/>
        <v>0.38563958982209562</v>
      </c>
      <c r="K72" s="999">
        <v>2643000</v>
      </c>
      <c r="L72" s="939">
        <f t="shared" si="46"/>
        <v>0.70634932059355471</v>
      </c>
      <c r="M72" s="945">
        <f t="shared" si="47"/>
        <v>0.93160116800842074</v>
      </c>
      <c r="N72" s="945">
        <f>AN21/('Data, inkomst- skkompl, kost'!AF243+'Data, inkomst- skkompl, kost'!AJ243)</f>
        <v>0.58580737841124864</v>
      </c>
      <c r="O72" s="945">
        <f t="shared" si="48"/>
        <v>0.45439097416530438</v>
      </c>
      <c r="P72" s="945">
        <f>(AN21+K72)/'Data, inkomst- skkompl, kost'!G243</f>
        <v>1.0003525523516295</v>
      </c>
      <c r="Q72" s="1058">
        <f t="shared" si="49"/>
        <v>-6.8751384343208766E-2</v>
      </c>
      <c r="R72" s="1059">
        <f t="shared" si="50"/>
        <v>-6.875138434320871E-2</v>
      </c>
      <c r="T72" s="872"/>
      <c r="U72" s="878" t="s">
        <v>16</v>
      </c>
      <c r="V72" s="901">
        <f>'C1. Skattekomplettering (2015)'!O73</f>
        <v>312824.92400106165</v>
      </c>
      <c r="W72" s="902">
        <f>'C7. HELHET (2015)'!E17</f>
        <v>128805.3</v>
      </c>
      <c r="X72" s="902">
        <f>'C7. HELHET (2015)'!G17</f>
        <v>75983.180000000008</v>
      </c>
      <c r="Y72" s="902">
        <f>'C7. HELHET (2015)'!I17</f>
        <v>-61327.552294597845</v>
      </c>
      <c r="Z72" s="907">
        <f>'C7. HELHET (2015)'!K17</f>
        <v>230913.08648719999</v>
      </c>
      <c r="AA72" s="902">
        <f>'C7. HELHET (2015)'!M17+'C7. HELHET (2015)'!N17</f>
        <v>3813.5769300000002</v>
      </c>
      <c r="AB72" s="900">
        <f>'C7. HELHET (2015)'!O17</f>
        <v>691012.5151236637</v>
      </c>
      <c r="AC72" s="1164">
        <f t="shared" si="35"/>
        <v>703836.57753221819</v>
      </c>
      <c r="AD72" s="1159">
        <f t="shared" si="36"/>
        <v>720440.38476678694</v>
      </c>
      <c r="AE72" s="909">
        <f t="shared" si="37"/>
        <v>673661.53503027791</v>
      </c>
      <c r="AF72" s="962">
        <f t="shared" si="38"/>
        <v>1.2138695476980166</v>
      </c>
      <c r="AG72" s="952">
        <f t="shared" si="44"/>
        <v>1.0864634786685563</v>
      </c>
      <c r="AH72" s="952">
        <f t="shared" si="39"/>
        <v>1.0420846427533235</v>
      </c>
      <c r="AI72" s="949" t="s">
        <v>16</v>
      </c>
      <c r="AJ72" s="951">
        <f t="shared" si="40"/>
        <v>1.1789487796220632</v>
      </c>
      <c r="AK72" s="952">
        <f t="shared" si="41"/>
        <v>1.1345699437068304</v>
      </c>
      <c r="AL72" s="949"/>
      <c r="AM72" s="959">
        <v>673187.56859047629</v>
      </c>
      <c r="AN72" s="959">
        <v>663105.93859047629</v>
      </c>
      <c r="AO72" s="980">
        <f>AN72-'Data, inkomst- skkompl, kost'!H304</f>
        <v>619786.58979047625</v>
      </c>
      <c r="AR72" s="949" t="s">
        <v>16</v>
      </c>
      <c r="AU72" s="22">
        <f>Jämförelser!C13-Jämförelser!D13</f>
        <v>30175.042501940276</v>
      </c>
      <c r="AV72" s="219">
        <f t="shared" si="42"/>
        <v>120.21929283641543</v>
      </c>
      <c r="AW72" s="219">
        <f>Jämförelser!C13/L180</f>
        <v>2804.1297909650125</v>
      </c>
      <c r="AY72" s="22">
        <f>Jämförelser!C13+AW93</f>
        <v>663493.43702592968</v>
      </c>
      <c r="AZ72" s="22">
        <f>AY72-Jämförelser!D13</f>
        <v>-10168.098004348227</v>
      </c>
      <c r="BA72" s="219">
        <f t="shared" si="43"/>
        <v>-40.510350614933174</v>
      </c>
    </row>
    <row r="73" spans="2:53" ht="15.75" thickBot="1" x14ac:dyDescent="0.25">
      <c r="B73" s="872"/>
      <c r="C73" s="876" t="s">
        <v>10</v>
      </c>
      <c r="D73" s="999">
        <f t="shared" si="51"/>
        <v>3773452.9662988447</v>
      </c>
      <c r="E73" s="999">
        <v>3593000</v>
      </c>
      <c r="F73" s="999">
        <v>5880000</v>
      </c>
      <c r="G73" s="939">
        <f t="shared" si="52"/>
        <v>0.39833769305382083</v>
      </c>
      <c r="H73" s="999">
        <v>11224000</v>
      </c>
      <c r="I73" s="999">
        <v>11224000</v>
      </c>
      <c r="J73" s="939">
        <f t="shared" si="45"/>
        <v>0.33619502550773739</v>
      </c>
      <c r="K73" s="999">
        <v>8184000</v>
      </c>
      <c r="L73" s="939">
        <f t="shared" si="46"/>
        <v>0.46107685316457048</v>
      </c>
      <c r="M73" s="945">
        <f t="shared" si="47"/>
        <v>1.0653468430415933</v>
      </c>
      <c r="N73" s="945">
        <f>AN22/('Data, inkomst- skkompl, kost'!AF244+'Data, inkomst- skkompl, kost'!AJ244)</f>
        <v>0.34755090340697425</v>
      </c>
      <c r="O73" s="945">
        <f t="shared" si="48"/>
        <v>0.29333122843676651</v>
      </c>
      <c r="P73" s="945">
        <f>(AN22+K73)/'Data, inkomst- skkompl, kost'!G244</f>
        <v>1.0224830459706225</v>
      </c>
      <c r="Q73" s="1058">
        <f t="shared" si="49"/>
        <v>4.2863797070970877E-2</v>
      </c>
      <c r="R73" s="1059">
        <f t="shared" si="50"/>
        <v>4.2863797070970877E-2</v>
      </c>
      <c r="T73" s="872"/>
      <c r="U73" s="876" t="s">
        <v>17</v>
      </c>
      <c r="V73" s="901">
        <f>'C1. Skattekomplettering (2015)'!O74</f>
        <v>1496958.3954006545</v>
      </c>
      <c r="W73" s="902">
        <f>'C7. HELHET (2015)'!E18</f>
        <v>374306.00000000006</v>
      </c>
      <c r="X73" s="902">
        <f>'C7. HELHET (2015)'!G18</f>
        <v>454369.72000000003</v>
      </c>
      <c r="Y73" s="902">
        <f>'C7. HELHET (2015)'!I18</f>
        <v>25650.822895077843</v>
      </c>
      <c r="Z73" s="902"/>
      <c r="AA73" s="902">
        <f>'C7. HELHET (2015)'!M18+'C7. HELHET (2015)'!N18</f>
        <v>28486.960200000001</v>
      </c>
      <c r="AB73" s="900">
        <f>'C7. HELHET (2015)'!O18</f>
        <v>2379771.8984957328</v>
      </c>
      <c r="AC73" s="1164">
        <f t="shared" si="35"/>
        <v>2382525.42204036</v>
      </c>
      <c r="AD73" s="1159">
        <f t="shared" si="36"/>
        <v>2481118.2788818646</v>
      </c>
      <c r="AE73" s="909">
        <f t="shared" si="37"/>
        <v>2744175.4767429889</v>
      </c>
      <c r="AF73" s="962">
        <f t="shared" si="38"/>
        <v>1.0315428883077098</v>
      </c>
      <c r="AG73" s="952">
        <f t="shared" si="44"/>
        <v>0.89219728678772348</v>
      </c>
      <c r="AH73" s="952">
        <f t="shared" si="39"/>
        <v>0.85575365313434826</v>
      </c>
      <c r="AI73" s="949" t="s">
        <v>17</v>
      </c>
      <c r="AJ73" s="951">
        <f t="shared" si="40"/>
        <v>0.88297338368497635</v>
      </c>
      <c r="AK73" s="952">
        <f t="shared" si="41"/>
        <v>0.84652975003160125</v>
      </c>
      <c r="AL73" s="949"/>
      <c r="AM73" s="957">
        <v>2883007.5510095241</v>
      </c>
      <c r="AN73" s="957">
        <v>2780907.6710095243</v>
      </c>
      <c r="AO73" s="980">
        <f>AN73-'Data, inkomst- skkompl, kost'!H305</f>
        <v>2282135.9172595246</v>
      </c>
      <c r="AP73" s="1" t="s">
        <v>642</v>
      </c>
      <c r="AR73" s="949" t="s">
        <v>17</v>
      </c>
      <c r="AU73" s="22">
        <f>Jämförelser!C14-Jämförelser!D14</f>
        <v>-361650.05470262887</v>
      </c>
      <c r="AV73" s="219">
        <f t="shared" si="42"/>
        <v>-187.77261407197761</v>
      </c>
      <c r="AW73" s="219">
        <f>Jämförelser!C14/L181</f>
        <v>1237.0329294082867</v>
      </c>
      <c r="AY73" s="22">
        <f>Jämförelser!C14+AW94</f>
        <v>2593807.3500681887</v>
      </c>
      <c r="AZ73" s="22">
        <f>AY73-Jämförelser!D14</f>
        <v>-150368.12667480018</v>
      </c>
      <c r="BA73" s="219">
        <f t="shared" si="43"/>
        <v>-78.07275528286614</v>
      </c>
    </row>
    <row r="74" spans="2:53" ht="15.75" thickBot="1" x14ac:dyDescent="0.25">
      <c r="B74" s="851"/>
      <c r="C74" s="876" t="s">
        <v>11</v>
      </c>
      <c r="D74" s="999">
        <f t="shared" si="51"/>
        <v>1323716.7842437392</v>
      </c>
      <c r="E74" s="999">
        <v>977000</v>
      </c>
      <c r="F74" s="999">
        <v>1509000</v>
      </c>
      <c r="G74" s="939">
        <f t="shared" si="52"/>
        <v>0.53246853750753786</v>
      </c>
      <c r="H74" s="999">
        <v>3152000</v>
      </c>
      <c r="I74" s="999">
        <v>3152000</v>
      </c>
      <c r="J74" s="939">
        <f t="shared" si="45"/>
        <v>0.41996090870677005</v>
      </c>
      <c r="K74" s="999">
        <v>1755000</v>
      </c>
      <c r="L74" s="939">
        <f t="shared" si="46"/>
        <v>0.75425457791666051</v>
      </c>
      <c r="M74" s="945">
        <f t="shared" si="47"/>
        <v>0.97675024880829286</v>
      </c>
      <c r="N74" s="945">
        <f>AN23/('Data, inkomst- skkompl, kost'!AF245+'Data, inkomst- skkompl, kost'!AJ245)</f>
        <v>0.63420172341811787</v>
      </c>
      <c r="O74" s="945">
        <f t="shared" si="48"/>
        <v>0.50019844048776685</v>
      </c>
      <c r="P74" s="945">
        <f>(AN23+K74)/'Data, inkomst- skkompl, kost'!G245</f>
        <v>1.0569877805892898</v>
      </c>
      <c r="Q74" s="1058">
        <f t="shared" si="49"/>
        <v>-8.0237531780996796E-2</v>
      </c>
      <c r="R74" s="1059">
        <f t="shared" si="50"/>
        <v>-8.0237531780996907E-2</v>
      </c>
      <c r="T74" s="872"/>
      <c r="U74" s="876" t="s">
        <v>18</v>
      </c>
      <c r="V74" s="901">
        <f>'C1. Skattekomplettering (2015)'!O75</f>
        <v>333770.48327399831</v>
      </c>
      <c r="W74" s="902">
        <f>'C7. HELHET (2015)'!E19</f>
        <v>244399.8</v>
      </c>
      <c r="X74" s="902">
        <f>'C7. HELHET (2015)'!G19</f>
        <v>122275.02000000002</v>
      </c>
      <c r="Y74" s="902">
        <f>'C7. HELHET (2015)'!I19</f>
        <v>-41880.866335534243</v>
      </c>
      <c r="Z74" s="902"/>
      <c r="AA74" s="902">
        <f>'C7. HELHET (2015)'!M19+'C7. HELHET (2015)'!N19</f>
        <v>6110.9124300000003</v>
      </c>
      <c r="AB74" s="900">
        <f>'C7. HELHET (2015)'!O19</f>
        <v>664675.34936846409</v>
      </c>
      <c r="AC74" s="1164">
        <f t="shared" si="35"/>
        <v>660273.38059496845</v>
      </c>
      <c r="AD74" s="1159">
        <f t="shared" si="36"/>
        <v>692981.60881835571</v>
      </c>
      <c r="AE74" s="909">
        <f t="shared" si="37"/>
        <v>678718.84852217569</v>
      </c>
      <c r="AF74" s="962">
        <f t="shared" si="38"/>
        <v>1.3026358836079344</v>
      </c>
      <c r="AG74" s="952">
        <f t="shared" si="44"/>
        <v>1.0760699039977357</v>
      </c>
      <c r="AH74" s="952">
        <f t="shared" si="39"/>
        <v>1.0321156150221333</v>
      </c>
      <c r="AI74" s="949" t="s">
        <v>18</v>
      </c>
      <c r="AJ74" s="951">
        <f t="shared" si="40"/>
        <v>1.1411030004660048</v>
      </c>
      <c r="AK74" s="952">
        <f t="shared" si="41"/>
        <v>1.0971487114904024</v>
      </c>
      <c r="AL74" s="949"/>
      <c r="AM74" s="957">
        <v>669870.25442857144</v>
      </c>
      <c r="AN74" s="957">
        <v>643993.11442857143</v>
      </c>
      <c r="AO74" s="980">
        <f>AN74-'Data, inkomst- skkompl, kost'!H306</f>
        <v>542404.99942857143</v>
      </c>
      <c r="AP74" s="1" t="s">
        <v>640</v>
      </c>
      <c r="AR74" s="949" t="s">
        <v>18</v>
      </c>
      <c r="AU74" s="22">
        <f>Jämförelser!C15-Jämförelser!D15</f>
        <v>-18445.467927207239</v>
      </c>
      <c r="AV74" s="219">
        <f t="shared" si="42"/>
        <v>-44.662149944811716</v>
      </c>
      <c r="AW74" s="219">
        <f>Jämförelser!C15/L182</f>
        <v>1598.7248924817638</v>
      </c>
      <c r="AY74" s="22">
        <f>Jämförelser!C15+AW95</f>
        <v>657491.87907318771</v>
      </c>
      <c r="AZ74" s="22">
        <f>AY74-Jämförelser!D15</f>
        <v>-21226.969448987977</v>
      </c>
      <c r="BA74" s="219">
        <f t="shared" si="43"/>
        <v>-51.397020457598003</v>
      </c>
    </row>
    <row r="75" spans="2:53" ht="15.75" thickBot="1" x14ac:dyDescent="0.25">
      <c r="B75" s="851"/>
      <c r="C75" s="876" t="s">
        <v>12</v>
      </c>
      <c r="D75" s="999">
        <f t="shared" si="51"/>
        <v>1578868.8640119936</v>
      </c>
      <c r="E75" s="999">
        <v>759000</v>
      </c>
      <c r="F75" s="999">
        <v>1469000</v>
      </c>
      <c r="G75" s="939">
        <f t="shared" si="52"/>
        <v>0.70864850269838131</v>
      </c>
      <c r="H75" s="999">
        <v>2517000</v>
      </c>
      <c r="I75" s="999">
        <v>2517000</v>
      </c>
      <c r="J75" s="939">
        <f t="shared" si="45"/>
        <v>0.62728202781565101</v>
      </c>
      <c r="K75" s="999">
        <v>1083000</v>
      </c>
      <c r="L75" s="939">
        <f t="shared" si="46"/>
        <v>1.45786598708402</v>
      </c>
      <c r="M75" s="945">
        <f t="shared" si="47"/>
        <v>1.0575561636916939</v>
      </c>
      <c r="N75" s="945">
        <f>AN24/('Data, inkomst- skkompl, kost'!AF246+'Data, inkomst- skkompl, kost'!AJ246)</f>
        <v>0.78083348505215955</v>
      </c>
      <c r="O75" s="945">
        <f t="shared" si="48"/>
        <v>0.69117878613278172</v>
      </c>
      <c r="P75" s="945">
        <f>(AN24+K75)/'Data, inkomst- skkompl, kost'!G246</f>
        <v>1.1214529220088247</v>
      </c>
      <c r="Q75" s="1058">
        <f t="shared" si="49"/>
        <v>-6.3896758317130709E-2</v>
      </c>
      <c r="R75" s="1059">
        <f t="shared" si="50"/>
        <v>-6.389675831713082E-2</v>
      </c>
      <c r="T75" s="872"/>
      <c r="U75" s="876" t="s">
        <v>19</v>
      </c>
      <c r="V75" s="901">
        <f>'C1. Skattekomplettering (2015)'!O76</f>
        <v>1556075.3768818614</v>
      </c>
      <c r="W75" s="902">
        <f>'C7. HELHET (2015)'!E20</f>
        <v>362746.55000000005</v>
      </c>
      <c r="X75" s="902">
        <f>'C7. HELHET (2015)'!G20</f>
        <v>529213.72</v>
      </c>
      <c r="Y75" s="902">
        <f>'C7. HELHET (2015)'!I20</f>
        <v>-175870.9951636256</v>
      </c>
      <c r="Z75" s="902"/>
      <c r="AA75" s="902">
        <f>'C7. HELHET (2015)'!M20+'C7. HELHET (2015)'!N20</f>
        <v>27721.181700000001</v>
      </c>
      <c r="AB75" s="900">
        <f>'C7. HELHET (2015)'!O20</f>
        <v>2299885.8334182361</v>
      </c>
      <c r="AC75" s="1164">
        <f t="shared" si="35"/>
        <v>2306002.7444145144</v>
      </c>
      <c r="AD75" s="1159">
        <f t="shared" si="36"/>
        <v>2397830.1383600729</v>
      </c>
      <c r="AE75" s="909">
        <f t="shared" si="37"/>
        <v>2846110.7489955411</v>
      </c>
      <c r="AF75" s="962">
        <f t="shared" si="38"/>
        <v>0.99697510989822191</v>
      </c>
      <c r="AG75" s="952">
        <f t="shared" si="44"/>
        <v>0.81553791694465294</v>
      </c>
      <c r="AH75" s="952">
        <f t="shared" si="39"/>
        <v>0.78222559296014949</v>
      </c>
      <c r="AI75" s="949" t="s">
        <v>19</v>
      </c>
      <c r="AJ75" s="951">
        <f t="shared" si="40"/>
        <v>0.87535427455571413</v>
      </c>
      <c r="AK75" s="952">
        <f t="shared" si="41"/>
        <v>0.84204195057121067</v>
      </c>
      <c r="AL75" s="949"/>
      <c r="AM75" s="957">
        <v>3051841.7077142857</v>
      </c>
      <c r="AN75" s="957">
        <v>2940182.2877142858</v>
      </c>
      <c r="AO75" s="980">
        <f>AN75-'Data, inkomst- skkompl, kost'!H307</f>
        <v>2483268.442714286</v>
      </c>
      <c r="AR75" s="949" t="s">
        <v>19</v>
      </c>
      <c r="AU75" s="22">
        <f>Jämförelser!C16-Jämförelser!D16</f>
        <v>-540108.00458102673</v>
      </c>
      <c r="AV75" s="219">
        <f t="shared" si="42"/>
        <v>-297.9084415780622</v>
      </c>
      <c r="AW75" s="219">
        <f>Jämförelser!C16/L183</f>
        <v>1271.9264999528486</v>
      </c>
      <c r="AY75" s="22">
        <f>Jämförelser!C16+AW96</f>
        <v>2653053.8075020821</v>
      </c>
      <c r="AZ75" s="22">
        <f>AY75-Jämförelser!D16</f>
        <v>-193056.94149345905</v>
      </c>
      <c r="BA75" s="219">
        <f t="shared" si="43"/>
        <v>-106.48479949997741</v>
      </c>
    </row>
    <row r="76" spans="2:53" ht="15.75" thickBot="1" x14ac:dyDescent="0.25">
      <c r="B76" s="851"/>
      <c r="C76" s="876" t="s">
        <v>13</v>
      </c>
      <c r="D76" s="999">
        <f t="shared" si="51"/>
        <v>2566121.3843153464</v>
      </c>
      <c r="E76" s="999">
        <v>2196000</v>
      </c>
      <c r="F76" s="999">
        <v>3629000</v>
      </c>
      <c r="G76" s="939">
        <f t="shared" si="52"/>
        <v>0.4405358599682998</v>
      </c>
      <c r="H76" s="999">
        <v>6805000</v>
      </c>
      <c r="I76" s="999">
        <v>6805000</v>
      </c>
      <c r="J76" s="939">
        <f t="shared" si="45"/>
        <v>0.37709351716610529</v>
      </c>
      <c r="K76" s="999">
        <v>3898000</v>
      </c>
      <c r="L76" s="939">
        <f t="shared" si="46"/>
        <v>0.65831744081973997</v>
      </c>
      <c r="M76" s="945">
        <f t="shared" si="47"/>
        <v>0.94990762444016841</v>
      </c>
      <c r="N76" s="945">
        <f>AN25/('Data, inkomst- skkompl, kost'!AF247+'Data, inkomst- skkompl, kost'!AJ247)</f>
        <v>0.41895595623029325</v>
      </c>
      <c r="O76" s="945">
        <f t="shared" si="48"/>
        <v>0.35862137326105187</v>
      </c>
      <c r="P76" s="945">
        <f>(AN25+K76)/'Data, inkomst- skkompl, kost'!G247</f>
        <v>0.93143548053511505</v>
      </c>
      <c r="Q76" s="1058">
        <f t="shared" si="49"/>
        <v>1.8472143905053418E-2</v>
      </c>
      <c r="R76" s="1059">
        <f t="shared" si="50"/>
        <v>1.8472143905053362E-2</v>
      </c>
      <c r="T76" s="872"/>
      <c r="U76" s="876" t="s">
        <v>20</v>
      </c>
      <c r="V76" s="901">
        <f>'C1. Skattekomplettering (2015)'!O77</f>
        <v>77503.412073792904</v>
      </c>
      <c r="W76" s="902">
        <f>'C7. HELHET (2015)'!E21</f>
        <v>14862.15</v>
      </c>
      <c r="X76" s="902">
        <f>'C7. HELHET (2015)'!G21</f>
        <v>43318.520000000004</v>
      </c>
      <c r="Y76" s="902">
        <f>'C7. HELHET (2015)'!I21</f>
        <v>-31951.841133853544</v>
      </c>
      <c r="Z76" s="902">
        <f>'C7. HELHET (2015)'!K21</f>
        <v>76002.717671599996</v>
      </c>
      <c r="AA76" s="902">
        <f>'C7. HELHET (2015)'!M21+'C7. HELHET (2015)'!N21</f>
        <v>1577.5037100000002</v>
      </c>
      <c r="AB76" s="900">
        <f>'C7. HELHET (2015)'!O21</f>
        <v>181312.46232153935</v>
      </c>
      <c r="AC76" s="1164">
        <f t="shared" si="35"/>
        <v>226066.75259185978</v>
      </c>
      <c r="AD76" s="1159">
        <f t="shared" si="36"/>
        <v>189033.9425973591</v>
      </c>
      <c r="AE76" s="909">
        <f t="shared" si="37"/>
        <v>263009.30079368257</v>
      </c>
      <c r="AF76" s="962">
        <f t="shared" si="38"/>
        <v>0.99960583037266382</v>
      </c>
      <c r="AG76" s="952">
        <f t="shared" si="44"/>
        <v>0.81744307602609789</v>
      </c>
      <c r="AH76" s="952">
        <f t="shared" si="39"/>
        <v>0.78405293189952074</v>
      </c>
      <c r="AI76" s="949" t="s">
        <v>20</v>
      </c>
      <c r="AJ76" s="951">
        <f t="shared" si="40"/>
        <v>0.95561303080923077</v>
      </c>
      <c r="AK76" s="952">
        <f t="shared" si="41"/>
        <v>0.92222288668265362</v>
      </c>
      <c r="AL76" s="949"/>
      <c r="AM76" s="957">
        <v>245325.7929142857</v>
      </c>
      <c r="AN76" s="957">
        <v>231250.28291428569</v>
      </c>
      <c r="AO76" s="980">
        <f>AN76-'Data, inkomst- skkompl, kost'!H308</f>
        <v>213348.3989142857</v>
      </c>
      <c r="AR76" s="949" t="s">
        <v>20</v>
      </c>
      <c r="AU76" s="22">
        <f>Jämförelser!C17-Jämförelser!D17</f>
        <v>-36942.548201822792</v>
      </c>
      <c r="AV76" s="219">
        <f t="shared" si="42"/>
        <v>-369.42548201822791</v>
      </c>
      <c r="AW76" s="219">
        <f>Jämförelser!C17/L184</f>
        <v>2260.6675259185977</v>
      </c>
      <c r="AY76" s="22">
        <f>Jämförelser!C17+AW97</f>
        <v>248084.75456937929</v>
      </c>
      <c r="AZ76" s="22">
        <f>AY76-Jämförelser!D17</f>
        <v>-14924.546224303282</v>
      </c>
      <c r="BA76" s="219">
        <f t="shared" si="43"/>
        <v>-149.24546224303282</v>
      </c>
    </row>
    <row r="77" spans="2:53" ht="15.75" thickBot="1" x14ac:dyDescent="0.25">
      <c r="B77" s="664"/>
      <c r="C77" s="877" t="s">
        <v>14</v>
      </c>
      <c r="D77" s="995">
        <f t="shared" si="51"/>
        <v>4463078.5680338182</v>
      </c>
      <c r="E77" s="995">
        <v>5921000</v>
      </c>
      <c r="F77" s="995">
        <v>9387000</v>
      </c>
      <c r="G77" s="939">
        <f t="shared" si="52"/>
        <v>0.29155203606178587</v>
      </c>
      <c r="H77" s="995">
        <v>17323000</v>
      </c>
      <c r="I77" s="995">
        <v>17323000</v>
      </c>
      <c r="J77" s="1317">
        <f t="shared" si="45"/>
        <v>0.25763889441977822</v>
      </c>
      <c r="K77" s="995">
        <v>14291000</v>
      </c>
      <c r="L77" s="939">
        <f t="shared" si="46"/>
        <v>0.31229994878131817</v>
      </c>
      <c r="M77" s="945">
        <f t="shared" si="47"/>
        <v>1.082611474226971</v>
      </c>
      <c r="N77" s="945">
        <f>AN26/('Data, inkomst- skkompl, kost'!AF248+'Data, inkomst- skkompl, kost'!AJ248)</f>
        <v>0.28110920007511248</v>
      </c>
      <c r="O77" s="945">
        <f t="shared" si="48"/>
        <v>0.24841076226691805</v>
      </c>
      <c r="P77" s="945">
        <f>(AN26+K77)/'Data, inkomst- skkompl, kost'!G248</f>
        <v>1.0733833420741108</v>
      </c>
      <c r="Q77" s="1058">
        <f t="shared" si="49"/>
        <v>9.228132152860169E-3</v>
      </c>
      <c r="R77" s="1059">
        <f t="shared" si="50"/>
        <v>9.2281321528602245E-3</v>
      </c>
      <c r="T77" s="872"/>
      <c r="U77" s="876" t="s">
        <v>21</v>
      </c>
      <c r="V77" s="901">
        <f>'C1. Skattekomplettering (2015)'!O78</f>
        <v>1145750.2576095427</v>
      </c>
      <c r="W77" s="902">
        <f>'C7. HELHET (2015)'!E22</f>
        <v>329829.64000000007</v>
      </c>
      <c r="X77" s="902">
        <f>'C7. HELHET (2015)'!G22</f>
        <v>279914.88</v>
      </c>
      <c r="Y77" s="902">
        <f>'C7. HELHET (2015)'!I22</f>
        <v>322056.24572749092</v>
      </c>
      <c r="Z77" s="902"/>
      <c r="AA77" s="902">
        <f>'C7. HELHET (2015)'!M22+'C7. HELHET (2015)'!N22</f>
        <v>15805.668240000001</v>
      </c>
      <c r="AB77" s="900">
        <f>'C7. HELHET (2015)'!O22</f>
        <v>2093356.6915770338</v>
      </c>
      <c r="AC77" s="1164">
        <f t="shared" si="35"/>
        <v>2116616.0336738764</v>
      </c>
      <c r="AD77" s="1159">
        <f t="shared" si="36"/>
        <v>2182505.6237425595</v>
      </c>
      <c r="AE77" s="909">
        <f t="shared" si="37"/>
        <v>2165111.6623294731</v>
      </c>
      <c r="AF77" s="962">
        <f t="shared" si="38"/>
        <v>1.0161114082970686</v>
      </c>
      <c r="AG77" s="952">
        <f t="shared" si="44"/>
        <v>0.98115918677073677</v>
      </c>
      <c r="AH77" s="952">
        <f t="shared" si="39"/>
        <v>0.94108172129552103</v>
      </c>
      <c r="AI77" s="949" t="s">
        <v>21</v>
      </c>
      <c r="AJ77" s="951">
        <f t="shared" si="40"/>
        <v>0.8363767675572803</v>
      </c>
      <c r="AK77" s="952">
        <f t="shared" si="41"/>
        <v>0.79629930208206456</v>
      </c>
      <c r="AL77" s="949"/>
      <c r="AM77" s="957">
        <v>2284868.1691999999</v>
      </c>
      <c r="AN77" s="957">
        <v>2224415.4191999999</v>
      </c>
      <c r="AO77" s="980">
        <f>AN77-'Data, inkomst- skkompl, kost'!H309</f>
        <v>1743214.80045</v>
      </c>
      <c r="AR77" s="949" t="s">
        <v>21</v>
      </c>
      <c r="AU77" s="22">
        <f>Jämförelser!C18-Jämförelser!D18</f>
        <v>-48495.628655596636</v>
      </c>
      <c r="AV77" s="219">
        <f t="shared" si="42"/>
        <v>-47.128890821765438</v>
      </c>
      <c r="AW77" s="219">
        <f>Jämförelser!C18/L185</f>
        <v>2056.9640754848169</v>
      </c>
      <c r="AY77" s="22">
        <f>Jämförelser!C18+AW98</f>
        <v>2099723.6805795184</v>
      </c>
      <c r="AZ77" s="22">
        <f>AY77-Jämförelser!D18</f>
        <v>-65387.981749954633</v>
      </c>
      <c r="BA77" s="219">
        <f t="shared" si="43"/>
        <v>-63.545171768663394</v>
      </c>
    </row>
    <row r="78" spans="2:53" ht="15.75" thickBot="1" x14ac:dyDescent="0.25">
      <c r="B78" s="664"/>
      <c r="C78" s="877" t="s">
        <v>15</v>
      </c>
      <c r="D78" s="995">
        <f t="shared" si="51"/>
        <v>904049.0142732925</v>
      </c>
      <c r="E78" s="995">
        <v>537000</v>
      </c>
      <c r="F78" s="995">
        <v>898000</v>
      </c>
      <c r="G78" s="939">
        <f t="shared" si="52"/>
        <v>0.62999931308243384</v>
      </c>
      <c r="H78" s="995">
        <v>1911000</v>
      </c>
      <c r="I78" s="995">
        <v>1911000</v>
      </c>
      <c r="J78" s="939">
        <f t="shared" si="45"/>
        <v>0.47307640725970301</v>
      </c>
      <c r="K78" s="995">
        <v>1030000</v>
      </c>
      <c r="L78" s="939">
        <f t="shared" si="46"/>
        <v>0.87771748958572082</v>
      </c>
      <c r="M78" s="945">
        <f t="shared" si="47"/>
        <v>1.0120612319588134</v>
      </c>
      <c r="N78" s="945">
        <f>AN27/('Data, inkomst- skkompl, kost'!AF249+'Data, inkomst- skkompl, kost'!AJ249)</f>
        <v>0.59359165055776519</v>
      </c>
      <c r="O78" s="945">
        <f t="shared" si="48"/>
        <v>0.44573732001590427</v>
      </c>
      <c r="P78" s="945">
        <f>(AN27+K78)/'Data, inkomst- skkompl, kost'!G249</f>
        <v>0.98472214471501474</v>
      </c>
      <c r="Q78" s="1058">
        <f t="shared" si="49"/>
        <v>2.7339087243798743E-2</v>
      </c>
      <c r="R78" s="1059">
        <f t="shared" si="50"/>
        <v>2.7339087243798632E-2</v>
      </c>
      <c r="T78" s="872"/>
      <c r="U78" s="876" t="s">
        <v>22</v>
      </c>
      <c r="V78" s="901">
        <f>'C1. Skattekomplettering (2015)'!O79</f>
        <v>634140.83197454957</v>
      </c>
      <c r="W78" s="902">
        <f>'C7. HELHET (2015)'!E23</f>
        <v>228987.2</v>
      </c>
      <c r="X78" s="902">
        <f>'C7. HELHET (2015)'!G23</f>
        <v>138004.16000000003</v>
      </c>
      <c r="Y78" s="902">
        <f>'C7. HELHET (2015)'!I23</f>
        <v>-73066.19634225691</v>
      </c>
      <c r="Z78" s="902">
        <f>'C7. HELHET (2015)'!K23</f>
        <v>308153.33458199998</v>
      </c>
      <c r="AA78" s="902">
        <f>'C7. HELHET (2015)'!M23+'C7. HELHET (2015)'!N23</f>
        <v>6876.6909300000007</v>
      </c>
      <c r="AB78" s="900">
        <f>'C7. HELHET (2015)'!O23</f>
        <v>1243096.0211442928</v>
      </c>
      <c r="AC78" s="1164">
        <f t="shared" si="35"/>
        <v>1298454.5391274567</v>
      </c>
      <c r="AD78" s="1159">
        <f t="shared" si="36"/>
        <v>1296035.2470822961</v>
      </c>
      <c r="AE78" s="909">
        <f t="shared" si="37"/>
        <v>1408500.8916702408</v>
      </c>
      <c r="AF78" s="962">
        <f t="shared" si="38"/>
        <v>1.0431028620628966</v>
      </c>
      <c r="AG78" s="952">
        <f t="shared" si="44"/>
        <v>0.90194861790683456</v>
      </c>
      <c r="AH78" s="952">
        <f t="shared" si="39"/>
        <v>0.86510667107295514</v>
      </c>
      <c r="AI78" s="949" t="s">
        <v>22</v>
      </c>
      <c r="AJ78" s="951">
        <f t="shared" si="40"/>
        <v>0.95279750874909364</v>
      </c>
      <c r="AK78" s="952">
        <f t="shared" si="41"/>
        <v>0.91595556191521421</v>
      </c>
      <c r="AL78" s="949"/>
      <c r="AM78" s="957">
        <v>1467386.0860000001</v>
      </c>
      <c r="AN78" s="957">
        <v>1436928.0260000001</v>
      </c>
      <c r="AO78" s="980">
        <f>AN78-'Data, inkomst- skkompl, kost'!H310</f>
        <v>1261776.0581</v>
      </c>
      <c r="AR78" s="949" t="s">
        <v>22</v>
      </c>
      <c r="AU78" s="22">
        <f>Jämförelser!C19-Jämförelser!D19</f>
        <v>-110046.35254278407</v>
      </c>
      <c r="AV78" s="219">
        <f t="shared" si="42"/>
        <v>-254.14862019118721</v>
      </c>
      <c r="AW78" s="219">
        <f>Jämförelser!C19/L186</f>
        <v>2998.7402751211471</v>
      </c>
      <c r="AY78" s="22">
        <f>Jämförelser!C19+AW99</f>
        <v>1348314.0434408931</v>
      </c>
      <c r="AZ78" s="22">
        <f>AY78-Jämförelser!D19</f>
        <v>-60186.848229347728</v>
      </c>
      <c r="BA78" s="219">
        <f t="shared" si="43"/>
        <v>-138.99964949041046</v>
      </c>
    </row>
    <row r="79" spans="2:53" ht="15.75" thickBot="1" x14ac:dyDescent="0.25">
      <c r="B79" s="851"/>
      <c r="C79" s="878" t="s">
        <v>16</v>
      </c>
      <c r="D79" s="938">
        <f t="shared" si="51"/>
        <v>752058.70748465892</v>
      </c>
      <c r="E79" s="938">
        <v>504000</v>
      </c>
      <c r="F79" s="938">
        <v>846000</v>
      </c>
      <c r="G79" s="939">
        <f t="shared" si="52"/>
        <v>0.55708052406271036</v>
      </c>
      <c r="H79" s="938">
        <v>1542000</v>
      </c>
      <c r="I79" s="938">
        <v>1542000</v>
      </c>
      <c r="J79" s="939">
        <f t="shared" si="45"/>
        <v>0.48771641211715883</v>
      </c>
      <c r="K79" s="938">
        <v>818000</v>
      </c>
      <c r="L79" s="939">
        <f t="shared" si="46"/>
        <v>0.91938717296413075</v>
      </c>
      <c r="M79" s="945">
        <f t="shared" si="47"/>
        <v>1.0181963083558099</v>
      </c>
      <c r="N79" s="945">
        <f>AN28/('Data, inkomst- skkompl, kost'!AF250+'Data, inkomst- skkompl, kost'!AJ250)</f>
        <v>0.5359348225928573</v>
      </c>
      <c r="O79" s="945">
        <f t="shared" si="48"/>
        <v>0.4692036384567817</v>
      </c>
      <c r="P79" s="945">
        <f>(AN28+K79)/'Data, inkomst- skkompl, kost'!G250</f>
        <v>0.99968353469543292</v>
      </c>
      <c r="Q79" s="1058">
        <f t="shared" si="49"/>
        <v>1.8512773660377124E-2</v>
      </c>
      <c r="R79" s="1059">
        <f t="shared" si="50"/>
        <v>1.8512773660376958E-2</v>
      </c>
      <c r="T79" s="872"/>
      <c r="U79" s="879" t="s">
        <v>23</v>
      </c>
      <c r="V79" s="904">
        <f>'C1. Skattekomplettering (2015)'!O80</f>
        <v>0</v>
      </c>
      <c r="W79" s="905">
        <f>'C7. HELHET (2015)'!E24</f>
        <v>601091.4</v>
      </c>
      <c r="X79" s="905">
        <f>'C7. HELHET (2015)'!G24</f>
        <v>2960559.2800000003</v>
      </c>
      <c r="Y79" s="905">
        <f>'C7. HELHET (2015)'!I24</f>
        <v>2154463.3098465772</v>
      </c>
      <c r="Z79" s="905"/>
      <c r="AA79" s="905">
        <f>'C7. HELHET (2015)'!M24+'C7. HELHET (2015)'!N24</f>
        <v>270934.47537599999</v>
      </c>
      <c r="AB79" s="900">
        <f>'C7. HELHET (2015)'!O24</f>
        <v>5987048.4652225776</v>
      </c>
      <c r="AC79" s="1164">
        <f t="shared" si="35"/>
        <v>5763165.8603479331</v>
      </c>
      <c r="AD79" s="1160">
        <f t="shared" si="36"/>
        <v>6242016.469311622</v>
      </c>
      <c r="AE79" s="909">
        <f t="shared" si="37"/>
        <v>5849395.3162922775</v>
      </c>
      <c r="AF79" s="965">
        <f t="shared" si="38"/>
        <v>0.87311020884979273</v>
      </c>
      <c r="AG79" s="953">
        <f>AD79/AN79</f>
        <v>1.0498210498515501</v>
      </c>
      <c r="AH79" s="953">
        <f t="shared" si="39"/>
        <v>1.0069389493240528</v>
      </c>
      <c r="AI79" s="949" t="s">
        <v>23</v>
      </c>
      <c r="AJ79" s="951">
        <f t="shared" si="40"/>
        <v>0.68747004598449146</v>
      </c>
      <c r="AK79" s="953">
        <f t="shared" si="41"/>
        <v>0.64458794545699416</v>
      </c>
      <c r="AL79" s="949"/>
      <c r="AM79" s="961">
        <v>6530123.3533142861</v>
      </c>
      <c r="AN79" s="961">
        <v>5945790.9233142864</v>
      </c>
      <c r="AO79" s="980">
        <f>AN79-'Data, inkomst- skkompl, kost'!H311</f>
        <v>4389577.7606642861</v>
      </c>
      <c r="AR79" s="949" t="s">
        <v>23</v>
      </c>
      <c r="AU79" s="22">
        <f>Jämförelser!C20-Jämförelser!D20</f>
        <v>-86229.455944344401</v>
      </c>
      <c r="AV79" s="219">
        <f t="shared" si="42"/>
        <v>-7.5686347708544197</v>
      </c>
      <c r="AW79" s="219">
        <f>Jämförelser!C20/L187</f>
        <v>505.85147549793146</v>
      </c>
      <c r="AY79" s="22">
        <f>Jämförelser!C20+AW100</f>
        <v>5682809.4297240563</v>
      </c>
      <c r="AZ79" s="22">
        <f>AY79-Jämförelser!D20</f>
        <v>-166585.88656822126</v>
      </c>
      <c r="BA79" s="219">
        <f t="shared" si="43"/>
        <v>-14.621775350497785</v>
      </c>
    </row>
    <row r="80" spans="2:53" ht="16.5" thickBot="1" x14ac:dyDescent="0.3">
      <c r="B80" s="851"/>
      <c r="C80" s="876" t="s">
        <v>17</v>
      </c>
      <c r="D80" s="999">
        <f t="shared" si="51"/>
        <v>2272768.9033802128</v>
      </c>
      <c r="E80" s="999">
        <v>3367000</v>
      </c>
      <c r="F80" s="999">
        <v>3720000</v>
      </c>
      <c r="G80" s="939">
        <f t="shared" si="52"/>
        <v>0.32069548516723761</v>
      </c>
      <c r="H80" s="999">
        <v>8575000</v>
      </c>
      <c r="I80" s="999">
        <v>8575000</v>
      </c>
      <c r="J80" s="939">
        <f t="shared" si="45"/>
        <v>0.26504593625425221</v>
      </c>
      <c r="K80" s="999">
        <v>5508000</v>
      </c>
      <c r="L80" s="939">
        <f t="shared" si="46"/>
        <v>0.41263051985842641</v>
      </c>
      <c r="M80" s="945">
        <f t="shared" si="47"/>
        <v>0.90737829777028722</v>
      </c>
      <c r="N80" s="945">
        <f>AN29/('Data, inkomst- skkompl, kost'!AF251+'Data, inkomst- skkompl, kost'!AJ251)</f>
        <v>0.37724766505142404</v>
      </c>
      <c r="O80" s="945">
        <f t="shared" si="48"/>
        <v>0.31178474661451216</v>
      </c>
      <c r="P80" s="945">
        <f>(AN29+K80)/'Data, inkomst- skkompl, kost'!G251</f>
        <v>0.95411710813054706</v>
      </c>
      <c r="Q80" s="1058">
        <f t="shared" si="49"/>
        <v>-4.6738810360259953E-2</v>
      </c>
      <c r="R80" s="1059">
        <f t="shared" si="50"/>
        <v>-4.6738810360259841E-2</v>
      </c>
      <c r="T80" s="872"/>
      <c r="U80" s="874" t="s">
        <v>247</v>
      </c>
      <c r="V80" s="906">
        <f>'C1. Skattekomplettering (2015)'!O81</f>
        <v>15920647.261512017</v>
      </c>
      <c r="W80" s="906">
        <f>'C7. HELHET (2015)'!E25</f>
        <v>4622348.830000001</v>
      </c>
      <c r="X80" s="906">
        <f>'C7. HELHET (2015)'!G25</f>
        <v>7752823.1200000001</v>
      </c>
      <c r="Y80" s="906">
        <f>'C7. HELHET (2015)'!I25</f>
        <v>2627565.2199999974</v>
      </c>
      <c r="Z80" s="906">
        <f>'C7. HELHET (2015)'!K25</f>
        <v>1686145.8128201</v>
      </c>
      <c r="AA80" s="906">
        <f>'C7. HELHET (2015)'!M25+'C7. HELHET (2015)'!N25</f>
        <v>532708.19781599997</v>
      </c>
      <c r="AB80" s="900">
        <f>'C7. HELHET (2015)'!O25</f>
        <v>33142238.442148115</v>
      </c>
      <c r="AC80" s="1164">
        <f t="shared" si="35"/>
        <v>32996872.95413262</v>
      </c>
      <c r="AD80" s="1161">
        <f t="shared" si="36"/>
        <v>34553653.505133338</v>
      </c>
      <c r="AE80" s="909">
        <f t="shared" si="37"/>
        <v>34104016.2269632</v>
      </c>
      <c r="AF80" s="964">
        <f t="shared" ref="AF80" si="53">AB80/AO80</f>
        <v>1.1740854888985728</v>
      </c>
      <c r="AG80" s="954">
        <f>AD80/AN80</f>
        <v>1</v>
      </c>
      <c r="AH80" s="954">
        <f t="shared" si="39"/>
        <v>0.95915294274813689</v>
      </c>
      <c r="AI80" s="949"/>
      <c r="AJ80" s="951">
        <f t="shared" si="40"/>
        <v>0.92395694945515261</v>
      </c>
      <c r="AK80" s="954">
        <f t="shared" si="41"/>
        <v>0.88310989220328939</v>
      </c>
      <c r="AL80" s="949"/>
      <c r="AM80" s="960">
        <f>SUM(AM64:AM79)+AO83</f>
        <v>36367086.455133334</v>
      </c>
      <c r="AN80" s="960">
        <f>SUM(AN64:AN79)</f>
        <v>34553653.505133338</v>
      </c>
      <c r="AO80" s="980">
        <f>AN80-'Data, inkomst- skkompl, kost'!H312</f>
        <v>28228130.53693334</v>
      </c>
      <c r="AR80" s="5" t="s">
        <v>24</v>
      </c>
      <c r="AU80" s="217">
        <f>SUM(AU64:AU79)</f>
        <v>-1107143.2728305701</v>
      </c>
      <c r="AV80" s="219">
        <f>AU80/L189</f>
        <v>-38.622175149325685</v>
      </c>
      <c r="AW80" s="219">
        <f>Jämförelser!C21/L189</f>
        <v>1151.0804770157199</v>
      </c>
      <c r="AY80" s="22">
        <f>Jämförelser!C21+AW101</f>
        <v>32996872.95413262</v>
      </c>
      <c r="AZ80" s="22">
        <f>AY80-Jämförelser!D21</f>
        <v>-1107143.2728305794</v>
      </c>
      <c r="BA80" s="219">
        <f>AZ80/L189</f>
        <v>-38.622175149326011</v>
      </c>
    </row>
    <row r="81" spans="2:51" ht="15.75" thickBot="1" x14ac:dyDescent="0.25">
      <c r="B81" s="872"/>
      <c r="C81" s="876" t="s">
        <v>18</v>
      </c>
      <c r="D81" s="999">
        <f t="shared" si="51"/>
        <v>666332.2552461772</v>
      </c>
      <c r="E81" s="999">
        <v>770000</v>
      </c>
      <c r="F81" s="999">
        <v>979000</v>
      </c>
      <c r="G81" s="939">
        <f t="shared" si="52"/>
        <v>0.38097899099266852</v>
      </c>
      <c r="H81" s="999">
        <v>2288000</v>
      </c>
      <c r="I81" s="999">
        <v>2288000</v>
      </c>
      <c r="J81" s="939">
        <f t="shared" si="45"/>
        <v>0.29122913253766486</v>
      </c>
      <c r="K81" s="999">
        <v>1376000</v>
      </c>
      <c r="L81" s="939">
        <f t="shared" si="46"/>
        <v>0.48425309247541948</v>
      </c>
      <c r="M81" s="945">
        <f t="shared" si="47"/>
        <v>0.89262773393626627</v>
      </c>
      <c r="N81" s="945">
        <f>AN30/('Data, inkomst- skkompl, kost'!AF252+'Data, inkomst- skkompl, kost'!AJ252)</f>
        <v>0.40063748149682998</v>
      </c>
      <c r="O81" s="945">
        <f t="shared" si="48"/>
        <v>0.30625653633651906</v>
      </c>
      <c r="P81" s="945">
        <f>(AN30+K81)/'Data, inkomst- skkompl, kost'!G252</f>
        <v>0.90765513773512041</v>
      </c>
      <c r="Q81" s="1058">
        <f t="shared" si="49"/>
        <v>-1.50274037988542E-2</v>
      </c>
      <c r="R81" s="1059">
        <f t="shared" si="50"/>
        <v>-1.5027403798854144E-2</v>
      </c>
      <c r="T81" s="872"/>
      <c r="U81" s="839"/>
      <c r="V81" s="902">
        <f t="shared" ref="V81:AB81" si="54">SUM(V64:V79)</f>
        <v>15920647.261512017</v>
      </c>
      <c r="W81" s="902">
        <f t="shared" si="54"/>
        <v>4622348.830000001</v>
      </c>
      <c r="X81" s="902">
        <f t="shared" si="54"/>
        <v>7752823.1200000001</v>
      </c>
      <c r="Y81" s="902">
        <f t="shared" si="54"/>
        <v>2627565.2199999974</v>
      </c>
      <c r="Z81" s="902">
        <f t="shared" si="54"/>
        <v>1686145.8128201</v>
      </c>
      <c r="AA81" s="902">
        <f t="shared" si="54"/>
        <v>532708.19781599997</v>
      </c>
      <c r="AB81" s="902">
        <f t="shared" si="54"/>
        <v>33142238.442148115</v>
      </c>
      <c r="AC81" s="1164">
        <f t="shared" ref="AC81" si="55">SUM(V81:AA81)</f>
        <v>33142238.442148115</v>
      </c>
      <c r="AD81" s="1161"/>
      <c r="AE81" s="666"/>
      <c r="AF81" s="955"/>
      <c r="AG81" s="954"/>
      <c r="AH81" s="976"/>
      <c r="AI81" s="666"/>
      <c r="AJ81" s="666"/>
      <c r="AK81" s="666"/>
      <c r="AL81" s="666"/>
      <c r="AM81" s="666"/>
      <c r="AN81" s="666"/>
      <c r="AO81" s="844"/>
    </row>
    <row r="82" spans="2:51" ht="15.75" x14ac:dyDescent="0.25">
      <c r="B82" s="872"/>
      <c r="C82" s="876" t="s">
        <v>19</v>
      </c>
      <c r="D82" s="999">
        <f t="shared" si="51"/>
        <v>2363359.3597819796</v>
      </c>
      <c r="E82" s="999">
        <v>2415000</v>
      </c>
      <c r="F82" s="999">
        <v>3966000</v>
      </c>
      <c r="G82" s="939">
        <f t="shared" si="52"/>
        <v>0.37037444911173478</v>
      </c>
      <c r="H82" s="999">
        <v>7858000</v>
      </c>
      <c r="I82" s="999">
        <v>7858000</v>
      </c>
      <c r="J82" s="939">
        <f t="shared" si="45"/>
        <v>0.30075838123975307</v>
      </c>
      <c r="K82" s="999">
        <v>4999000</v>
      </c>
      <c r="L82" s="939">
        <f t="shared" si="46"/>
        <v>0.47276642524144419</v>
      </c>
      <c r="M82" s="945">
        <f t="shared" si="47"/>
        <v>0.93692534484372358</v>
      </c>
      <c r="N82" s="945">
        <f>AN31/('Data, inkomst- skkompl, kost'!AF253+'Data, inkomst- skkompl, kost'!AJ253)</f>
        <v>0.43484600113968619</v>
      </c>
      <c r="O82" s="945">
        <f t="shared" si="48"/>
        <v>0.3531117756773145</v>
      </c>
      <c r="P82" s="945">
        <f>(AN31+K82)/'Data, inkomst- skkompl, kost'!G253</f>
        <v>0.98927873928128507</v>
      </c>
      <c r="Q82" s="1058">
        <f t="shared" si="49"/>
        <v>-5.2353394437561429E-2</v>
      </c>
      <c r="R82" s="1059">
        <f t="shared" si="50"/>
        <v>-5.2353394437561485E-2</v>
      </c>
      <c r="T82" s="872"/>
      <c r="U82" s="839"/>
      <c r="V82" s="839"/>
      <c r="W82" s="917">
        <v>4524148.55</v>
      </c>
      <c r="X82" s="839"/>
      <c r="Y82" s="870"/>
      <c r="Z82" s="839"/>
      <c r="AA82" s="839"/>
      <c r="AB82" s="839"/>
      <c r="AC82" s="666"/>
      <c r="AD82" s="666"/>
      <c r="AE82" s="666"/>
      <c r="AF82" s="666"/>
      <c r="AG82" s="666"/>
      <c r="AH82" s="666"/>
      <c r="AI82" s="666"/>
      <c r="AJ82" s="666"/>
      <c r="AK82" s="666"/>
      <c r="AL82" s="666"/>
      <c r="AM82" s="666"/>
      <c r="AN82" s="666"/>
      <c r="AO82" s="844">
        <v>1813432.95</v>
      </c>
      <c r="AR82" s="5" t="s">
        <v>762</v>
      </c>
      <c r="AS82" s="5">
        <f>Jämförelser!D21/Jämförelser!C21</f>
        <v>1.0335529755916435</v>
      </c>
    </row>
    <row r="83" spans="2:51" ht="15.75" x14ac:dyDescent="0.25">
      <c r="B83" s="851"/>
      <c r="C83" s="876" t="s">
        <v>20</v>
      </c>
      <c r="D83" s="999">
        <f t="shared" si="51"/>
        <v>260999.7304024304</v>
      </c>
      <c r="E83" s="999">
        <v>156000</v>
      </c>
      <c r="F83" s="999">
        <v>313000</v>
      </c>
      <c r="G83" s="939">
        <f t="shared" si="52"/>
        <v>0.55650262345933987</v>
      </c>
      <c r="H83" s="999">
        <v>663000</v>
      </c>
      <c r="I83" s="999">
        <v>663000</v>
      </c>
      <c r="J83" s="939">
        <f t="shared" si="45"/>
        <v>0.39366475173820575</v>
      </c>
      <c r="K83" s="999">
        <v>360000</v>
      </c>
      <c r="L83" s="939">
        <f t="shared" si="46"/>
        <v>0.72499925111786223</v>
      </c>
      <c r="M83" s="945">
        <f t="shared" si="47"/>
        <v>0.93665117707757228</v>
      </c>
      <c r="N83" s="945">
        <f>AN32/('Data, inkomst- skkompl, kost'!AF254+'Data, inkomst- skkompl, kost'!AJ254)</f>
        <v>0.5927274231700681</v>
      </c>
      <c r="O83" s="945">
        <f t="shared" si="48"/>
        <v>0.41928983629979177</v>
      </c>
      <c r="P83" s="945">
        <f>(AN32+K83)/'Data, inkomst- skkompl, kost'!G254</f>
        <v>0.96227626163915836</v>
      </c>
      <c r="Q83" s="1058">
        <f t="shared" si="49"/>
        <v>-2.562508456158602E-2</v>
      </c>
      <c r="R83" s="1059">
        <f t="shared" si="50"/>
        <v>-2.5625084561586076E-2</v>
      </c>
      <c r="T83" s="872"/>
      <c r="U83" s="839"/>
      <c r="V83" s="839"/>
      <c r="W83" s="839"/>
      <c r="X83" s="839"/>
      <c r="Y83" s="870"/>
      <c r="Z83" s="839"/>
      <c r="AA83" s="839"/>
      <c r="AB83" s="839"/>
      <c r="AC83" s="666"/>
      <c r="AD83" s="666"/>
      <c r="AE83" s="666"/>
      <c r="AF83" s="666"/>
      <c r="AG83" s="666"/>
      <c r="AH83" s="666"/>
      <c r="AI83" s="666"/>
      <c r="AJ83" s="666"/>
      <c r="AK83" s="666"/>
      <c r="AL83" s="666"/>
      <c r="AM83" s="666"/>
      <c r="AN83" s="666"/>
      <c r="AO83" s="844">
        <v>180000</v>
      </c>
      <c r="AS83" s="1" t="s">
        <v>758</v>
      </c>
      <c r="AT83" s="1" t="s">
        <v>759</v>
      </c>
      <c r="AV83" s="1" t="s">
        <v>763</v>
      </c>
      <c r="AW83" s="1" t="s">
        <v>765</v>
      </c>
      <c r="AY83" s="5" t="s">
        <v>764</v>
      </c>
    </row>
    <row r="84" spans="2:51" ht="15.75" x14ac:dyDescent="0.25">
      <c r="B84" s="851"/>
      <c r="C84" s="876" t="s">
        <v>21</v>
      </c>
      <c r="D84" s="999">
        <f t="shared" si="51"/>
        <v>2150140.4144398049</v>
      </c>
      <c r="E84" s="999">
        <v>1401000</v>
      </c>
      <c r="F84" s="999">
        <v>3143000</v>
      </c>
      <c r="G84" s="939">
        <f t="shared" si="52"/>
        <v>0.47318230951580215</v>
      </c>
      <c r="H84" s="999">
        <v>5377000</v>
      </c>
      <c r="I84" s="999">
        <v>5377000</v>
      </c>
      <c r="J84" s="939">
        <f t="shared" si="45"/>
        <v>0.39987733205129344</v>
      </c>
      <c r="K84" s="999">
        <v>3036000</v>
      </c>
      <c r="L84" s="939">
        <f t="shared" si="46"/>
        <v>0.70821489276673411</v>
      </c>
      <c r="M84" s="945">
        <f t="shared" si="47"/>
        <v>0.96450444754320341</v>
      </c>
      <c r="N84" s="945">
        <f>AN33/('Data, inkomst- skkompl, kost'!AF255+'Data, inkomst- skkompl, kost'!AJ255)</f>
        <v>0.46464730189005737</v>
      </c>
      <c r="O84" s="945">
        <f t="shared" si="48"/>
        <v>0.39266456012431106</v>
      </c>
      <c r="P84" s="945">
        <f>(AN33+K84)/'Data, inkomst- skkompl, kost'!G255</f>
        <v>0.95729167561622097</v>
      </c>
      <c r="Q84" s="1058">
        <f t="shared" si="49"/>
        <v>7.2127719269823865E-3</v>
      </c>
      <c r="R84" s="1059">
        <f t="shared" si="50"/>
        <v>7.212771926982442E-3</v>
      </c>
      <c r="T84" s="872"/>
      <c r="U84" s="839"/>
      <c r="V84" s="839"/>
      <c r="W84" s="839"/>
      <c r="X84" s="839"/>
      <c r="Y84" s="870"/>
      <c r="Z84" s="839"/>
      <c r="AA84" s="1308" t="s">
        <v>698</v>
      </c>
      <c r="AB84" s="1311">
        <f>IF(K37=2,'C4. Förslag, utjämning (2015)'!K92,'C. NYCKELMOD. UTJ (2015)'!K92)</f>
        <v>2627565.2199999988</v>
      </c>
      <c r="AC84" s="1313">
        <f>AB80+AB84</f>
        <v>35769803.662148118</v>
      </c>
      <c r="AD84" s="666"/>
      <c r="AE84" s="666"/>
      <c r="AF84" s="666"/>
      <c r="AG84" s="666"/>
      <c r="AH84" s="666"/>
      <c r="AI84" s="666"/>
      <c r="AJ84" s="666"/>
      <c r="AK84" s="666"/>
      <c r="AL84" s="666"/>
      <c r="AM84" s="666"/>
      <c r="AN84" s="666"/>
      <c r="AO84" s="844"/>
      <c r="AS84" s="1" t="s">
        <v>757</v>
      </c>
      <c r="AT84" s="1" t="s">
        <v>760</v>
      </c>
      <c r="AU84" s="1" t="s">
        <v>761</v>
      </c>
      <c r="AV84" s="1" t="s">
        <v>761</v>
      </c>
      <c r="AW84" s="1" t="s">
        <v>766</v>
      </c>
      <c r="AY84" s="5" t="s">
        <v>767</v>
      </c>
    </row>
    <row r="85" spans="2:51" ht="15.75" x14ac:dyDescent="0.25">
      <c r="B85" s="851"/>
      <c r="C85" s="876" t="s">
        <v>22</v>
      </c>
      <c r="D85" s="999">
        <f t="shared" si="51"/>
        <v>1254938.8578124351</v>
      </c>
      <c r="E85" s="999">
        <v>680000</v>
      </c>
      <c r="F85" s="999">
        <v>1373000</v>
      </c>
      <c r="G85" s="939">
        <f t="shared" si="52"/>
        <v>0.61127075392714814</v>
      </c>
      <c r="H85" s="999">
        <v>2483000</v>
      </c>
      <c r="I85" s="999">
        <v>2483000</v>
      </c>
      <c r="J85" s="939">
        <f t="shared" si="45"/>
        <v>0.50541234708515315</v>
      </c>
      <c r="K85" s="999">
        <v>1019000</v>
      </c>
      <c r="L85" s="939">
        <f t="shared" si="46"/>
        <v>1.2315396053115164</v>
      </c>
      <c r="M85" s="945">
        <f t="shared" si="47"/>
        <v>0.91580300354910804</v>
      </c>
      <c r="N85" s="945">
        <f>AN34/('Data, inkomst- skkompl, kost'!AF256+'Data, inkomst- skkompl, kost'!AJ256)</f>
        <v>0.66251664832475499</v>
      </c>
      <c r="O85" s="945">
        <f t="shared" si="48"/>
        <v>0.54778360008486593</v>
      </c>
      <c r="P85" s="945">
        <f>(AN34+K85)/'Data, inkomst- skkompl, kost'!G256</f>
        <v>0.95817425654882071</v>
      </c>
      <c r="Q85" s="1058">
        <f t="shared" si="49"/>
        <v>-4.2371252999712783E-2</v>
      </c>
      <c r="R85" s="1059">
        <f t="shared" si="50"/>
        <v>-4.2371252999712672E-2</v>
      </c>
      <c r="T85" s="872"/>
      <c r="U85" s="839"/>
      <c r="V85" s="839"/>
      <c r="W85" s="839"/>
      <c r="X85" s="839"/>
      <c r="Y85" s="870"/>
      <c r="Z85" s="839"/>
      <c r="AA85" s="839"/>
      <c r="AB85" s="839"/>
      <c r="AC85" s="666"/>
      <c r="AD85" s="666"/>
      <c r="AE85" s="666"/>
      <c r="AF85" s="666"/>
      <c r="AG85" s="666"/>
      <c r="AH85" s="666"/>
      <c r="AI85" s="666"/>
      <c r="AJ85" s="666"/>
      <c r="AK85" s="666"/>
      <c r="AL85" s="666"/>
      <c r="AM85" s="666"/>
      <c r="AN85" s="666"/>
      <c r="AO85" s="844"/>
      <c r="AR85" s="949" t="s">
        <v>8</v>
      </c>
      <c r="AS85" s="22">
        <f>Jämförelser!C5*$AS$82</f>
        <v>1206082.7635427555</v>
      </c>
      <c r="AT85" s="22">
        <v>1189222.9546239923</v>
      </c>
      <c r="AU85" s="22">
        <f>AS85-AT85</f>
        <v>16859.808918763185</v>
      </c>
      <c r="AV85" s="22">
        <f>(AS85-AT85)*0.75</f>
        <v>12644.856689072389</v>
      </c>
      <c r="AW85" s="22">
        <f t="shared" ref="AW85:AW99" si="56">IF(AU85&lt;0,ABS(AV85),-AV85)</f>
        <v>-12644.856689072389</v>
      </c>
      <c r="AY85" s="217">
        <f>AS85+AW85</f>
        <v>1193437.9068536831</v>
      </c>
    </row>
    <row r="86" spans="2:51" ht="18.75" thickBot="1" x14ac:dyDescent="0.3">
      <c r="B86" s="872"/>
      <c r="C86" s="876" t="s">
        <v>23</v>
      </c>
      <c r="D86" s="999">
        <f t="shared" si="51"/>
        <v>5623714.5413873866</v>
      </c>
      <c r="E86" s="999">
        <v>9865000</v>
      </c>
      <c r="F86" s="999">
        <v>27636000</v>
      </c>
      <c r="G86" s="939">
        <f t="shared" si="52"/>
        <v>0.149961722124407</v>
      </c>
      <c r="H86" s="999">
        <v>48463000</v>
      </c>
      <c r="I86" s="999">
        <v>48463000</v>
      </c>
      <c r="J86" s="939">
        <f t="shared" si="45"/>
        <v>0.1160414035736002</v>
      </c>
      <c r="K86" s="999">
        <v>40669000</v>
      </c>
      <c r="L86" s="939">
        <f t="shared" si="46"/>
        <v>0.1382801283874053</v>
      </c>
      <c r="M86" s="1000">
        <f t="shared" si="47"/>
        <v>0.95521768238423921</v>
      </c>
      <c r="N86" s="1000">
        <f>AN35/('Data, inkomst- skkompl, kost'!AF257+'Data, inkomst- skkompl, kost'!AJ257)</f>
        <v>0.15242223134216537</v>
      </c>
      <c r="O86" s="1000">
        <f t="shared" si="48"/>
        <v>0.11794536239115498</v>
      </c>
      <c r="P86" s="1000">
        <f>(AN35+K86)/'Data, inkomst- skkompl, kost'!G257</f>
        <v>0.95712164120179399</v>
      </c>
      <c r="Q86" s="1058">
        <f t="shared" si="49"/>
        <v>-1.903958817554785E-3</v>
      </c>
      <c r="R86" s="1059">
        <f t="shared" si="50"/>
        <v>-1.903958817554785E-3</v>
      </c>
      <c r="T86" s="851"/>
      <c r="U86" s="839"/>
      <c r="V86" s="839"/>
      <c r="W86" s="839"/>
      <c r="X86" s="839"/>
      <c r="Y86" s="859"/>
      <c r="Z86" s="839"/>
      <c r="AA86" s="839"/>
      <c r="AB86" s="839"/>
      <c r="AC86" s="666"/>
      <c r="AD86" s="666"/>
      <c r="AE86" s="666"/>
      <c r="AF86" s="666"/>
      <c r="AG86" s="666"/>
      <c r="AH86" s="666"/>
      <c r="AI86" s="666"/>
      <c r="AJ86" s="666"/>
      <c r="AK86" s="666"/>
      <c r="AL86" s="666"/>
      <c r="AM86" s="666"/>
      <c r="AN86" s="666"/>
      <c r="AO86" s="844"/>
      <c r="AR86" s="949" t="s">
        <v>9</v>
      </c>
      <c r="AS86" s="22">
        <f>Jämförelser!C6*$AS$82</f>
        <v>2037378.2289494229</v>
      </c>
      <c r="AT86" s="22">
        <v>2216192.0077622063</v>
      </c>
      <c r="AU86" s="22">
        <f t="shared" ref="AU86:AU101" si="57">AS86-AT86</f>
        <v>-178813.7788127833</v>
      </c>
      <c r="AV86" s="22">
        <f t="shared" ref="AV86:AV100" si="58">(AS86-AT86)*0.75</f>
        <v>-134110.33410958748</v>
      </c>
      <c r="AW86" s="22">
        <f t="shared" si="56"/>
        <v>134110.33410958748</v>
      </c>
      <c r="AY86" s="217">
        <f t="shared" ref="AY86:AY100" si="59">AS86+AW86</f>
        <v>2171488.5630590105</v>
      </c>
    </row>
    <row r="87" spans="2:51" ht="16.5" thickBot="1" x14ac:dyDescent="0.3">
      <c r="B87" s="872"/>
      <c r="C87" s="874" t="s">
        <v>247</v>
      </c>
      <c r="D87" s="937">
        <f t="shared" si="51"/>
        <v>33003511.949356813</v>
      </c>
      <c r="E87" s="937">
        <f>SUM(E71:E86)</f>
        <v>35061000</v>
      </c>
      <c r="F87" s="937">
        <v>68334000</v>
      </c>
      <c r="G87" s="940">
        <f t="shared" si="52"/>
        <v>0.31919833598681574</v>
      </c>
      <c r="H87" s="937">
        <v>127577000</v>
      </c>
      <c r="I87" s="937">
        <v>127577000</v>
      </c>
      <c r="J87" s="941">
        <f t="shared" si="45"/>
        <v>0.25869484271739274</v>
      </c>
      <c r="K87" s="882">
        <f>SUM(K71:K86)</f>
        <v>92205000</v>
      </c>
      <c r="L87" s="940">
        <f t="shared" si="46"/>
        <v>0.35793625019637559</v>
      </c>
      <c r="M87" s="940">
        <f t="shared" si="47"/>
        <v>0.98143483503575735</v>
      </c>
      <c r="N87" s="940">
        <f>AN36/('Data, inkomst- skkompl, kost'!AF258+'Data, inkomst- skkompl, kost'!AJ258)</f>
        <v>0.32843491110552975</v>
      </c>
      <c r="O87" s="940">
        <f>AN36/I87</f>
        <v>0.26618064097569505</v>
      </c>
      <c r="P87" s="940">
        <f>(AN36+K87)/'Data, inkomst- skkompl, kost'!G258</f>
        <v>0.98892063329405966</v>
      </c>
      <c r="Q87" s="1058">
        <f t="shared" si="49"/>
        <v>-7.4857982583023119E-3</v>
      </c>
      <c r="R87" s="1059">
        <f t="shared" si="50"/>
        <v>-7.4857982583023119E-3</v>
      </c>
      <c r="T87" s="835"/>
      <c r="U87" s="836"/>
      <c r="V87" s="836"/>
      <c r="W87" s="836"/>
      <c r="X87" s="836"/>
      <c r="Y87" s="836"/>
      <c r="Z87" s="836"/>
      <c r="AA87" s="840"/>
      <c r="AB87" s="840"/>
      <c r="AC87" s="845"/>
      <c r="AD87" s="845"/>
      <c r="AE87" s="845"/>
      <c r="AF87" s="845"/>
      <c r="AG87" s="845"/>
      <c r="AH87" s="845"/>
      <c r="AI87" s="845"/>
      <c r="AJ87" s="845"/>
      <c r="AK87" s="845"/>
      <c r="AL87" s="845"/>
      <c r="AM87" s="845"/>
      <c r="AN87" s="845"/>
      <c r="AO87" s="846"/>
      <c r="AR87" s="949" t="s">
        <v>10</v>
      </c>
      <c r="AS87" s="22">
        <f>Jämförelser!C7*$AS$82</f>
        <v>3887948.3824494532</v>
      </c>
      <c r="AT87" s="22">
        <v>3339592.3917247565</v>
      </c>
      <c r="AU87" s="22">
        <f t="shared" si="57"/>
        <v>548355.99072469678</v>
      </c>
      <c r="AV87" s="22">
        <f t="shared" si="58"/>
        <v>411266.99304352258</v>
      </c>
      <c r="AW87" s="22">
        <f t="shared" si="56"/>
        <v>-411266.99304352258</v>
      </c>
      <c r="AY87" s="217">
        <f t="shared" si="59"/>
        <v>3476681.3894059304</v>
      </c>
    </row>
    <row r="88" spans="2:51" ht="18.75" thickBot="1" x14ac:dyDescent="0.3">
      <c r="B88" s="872"/>
      <c r="C88" s="839"/>
      <c r="D88" s="1154">
        <f>SUM(D71:D86)</f>
        <v>33003511.949356809</v>
      </c>
      <c r="E88" s="839">
        <v>35061000</v>
      </c>
      <c r="F88" s="839">
        <v>68334000</v>
      </c>
      <c r="G88" s="859"/>
      <c r="H88" s="892">
        <f>H87-'Data, inkomst- skkompl, kost'!G258</f>
        <v>0</v>
      </c>
      <c r="I88" s="839"/>
      <c r="J88" s="839"/>
      <c r="K88" s="666"/>
      <c r="L88" s="666"/>
      <c r="M88" s="666"/>
      <c r="N88" s="839"/>
      <c r="O88" s="666"/>
      <c r="P88" s="666"/>
      <c r="Q88" s="844"/>
      <c r="AR88" s="949" t="s">
        <v>11</v>
      </c>
      <c r="AS88" s="22">
        <f>Jämförelser!C8*$AS$82</f>
        <v>1363823.4454159897</v>
      </c>
      <c r="AT88" s="22">
        <v>1569581.0951423217</v>
      </c>
      <c r="AU88" s="22">
        <f t="shared" si="57"/>
        <v>-205757.64972633193</v>
      </c>
      <c r="AV88" s="22">
        <f t="shared" si="58"/>
        <v>-154318.23729474895</v>
      </c>
      <c r="AW88" s="22">
        <f t="shared" si="56"/>
        <v>154318.23729474895</v>
      </c>
      <c r="AY88" s="217">
        <f t="shared" si="59"/>
        <v>1518141.6827107386</v>
      </c>
    </row>
    <row r="89" spans="2:51" ht="16.5" thickBot="1" x14ac:dyDescent="0.3">
      <c r="B89" s="851"/>
      <c r="C89" s="839"/>
      <c r="D89" s="839"/>
      <c r="E89" s="1328">
        <f>W36/E87</f>
        <v>0.13071033883802519</v>
      </c>
      <c r="F89" s="1328">
        <f>(X36+Y36)/F88</f>
        <v>0.14680257916410572</v>
      </c>
      <c r="G89" s="839"/>
      <c r="H89" s="1042" t="s">
        <v>716</v>
      </c>
      <c r="I89" s="839"/>
      <c r="J89" s="839"/>
      <c r="K89" s="666"/>
      <c r="L89" s="666"/>
      <c r="M89" s="666"/>
      <c r="N89" s="666"/>
      <c r="O89" s="666"/>
      <c r="P89" s="666"/>
      <c r="Q89" s="844"/>
      <c r="X89" s="115"/>
      <c r="Y89" s="898">
        <f>SUM(X64:Y64)</f>
        <v>130820.28826410562</v>
      </c>
      <c r="AN89" s="22">
        <f>AB64-AN64</f>
        <v>-25512.859208119102</v>
      </c>
      <c r="AO89" s="219">
        <f>AN89/L172</f>
        <v>-53.711282543408636</v>
      </c>
      <c r="AR89" s="949" t="s">
        <v>12</v>
      </c>
      <c r="AS89" s="22">
        <f>Jämförelser!C9*$AS$82</f>
        <v>1563392.9107327885</v>
      </c>
      <c r="AT89" s="22">
        <v>1749382.7152034992</v>
      </c>
      <c r="AU89" s="22">
        <f t="shared" si="57"/>
        <v>-185989.80447071069</v>
      </c>
      <c r="AV89" s="22">
        <f t="shared" si="58"/>
        <v>-139492.35335303302</v>
      </c>
      <c r="AW89" s="22">
        <f t="shared" si="56"/>
        <v>139492.35335303302</v>
      </c>
      <c r="AY89" s="217">
        <f t="shared" si="59"/>
        <v>1702885.2640858216</v>
      </c>
    </row>
    <row r="90" spans="2:51" ht="17.25" thickBot="1" x14ac:dyDescent="0.3">
      <c r="B90" s="851"/>
      <c r="C90" s="880">
        <v>2014</v>
      </c>
      <c r="D90" s="1165"/>
      <c r="E90" s="839"/>
      <c r="F90" s="839"/>
      <c r="G90" s="870"/>
      <c r="H90" s="839"/>
      <c r="I90" s="839"/>
      <c r="J90" s="839"/>
      <c r="K90" s="1042" t="s">
        <v>587</v>
      </c>
      <c r="L90" s="666"/>
      <c r="M90" s="666"/>
      <c r="N90" s="947" t="s">
        <v>519</v>
      </c>
      <c r="O90" s="666"/>
      <c r="P90" s="666"/>
      <c r="Q90" s="844" t="s">
        <v>591</v>
      </c>
      <c r="X90" s="115"/>
      <c r="Y90" s="898">
        <f t="shared" ref="Y90:Y104" si="60">SUM(X65:Y65)</f>
        <v>551505.30506794713</v>
      </c>
      <c r="AC90" s="9"/>
      <c r="AD90" s="9"/>
      <c r="AE90" s="9"/>
      <c r="AN90" s="22">
        <f t="shared" ref="AN90:AN105" si="61">AB65-AN65</f>
        <v>-211520.88985887007</v>
      </c>
      <c r="AO90" s="219">
        <f t="shared" ref="AO90:AO106" si="62">AN90/L173</f>
        <v>-223.35891220577622</v>
      </c>
      <c r="AR90" s="949" t="s">
        <v>13</v>
      </c>
      <c r="AS90" s="22">
        <f>Jämförelser!C10*$AS$82</f>
        <v>2698656.4131304249</v>
      </c>
      <c r="AT90" s="22">
        <v>2607974.5406106445</v>
      </c>
      <c r="AU90" s="22">
        <f t="shared" si="57"/>
        <v>90681.872519780416</v>
      </c>
      <c r="AV90" s="22">
        <f t="shared" si="58"/>
        <v>68011.404389835312</v>
      </c>
      <c r="AW90" s="22">
        <f t="shared" si="56"/>
        <v>-68011.404389835312</v>
      </c>
      <c r="AY90" s="217">
        <f t="shared" si="59"/>
        <v>2630645.0087405895</v>
      </c>
    </row>
    <row r="91" spans="2:51" ht="16.5" thickBot="1" x14ac:dyDescent="0.3">
      <c r="B91" s="872"/>
      <c r="C91" s="881"/>
      <c r="D91" s="885" t="s">
        <v>181</v>
      </c>
      <c r="E91" s="886" t="s">
        <v>182</v>
      </c>
      <c r="F91" s="887" t="s">
        <v>183</v>
      </c>
      <c r="G91" s="884" t="s">
        <v>705</v>
      </c>
      <c r="H91" s="667" t="s">
        <v>505</v>
      </c>
      <c r="I91" s="667" t="s">
        <v>714</v>
      </c>
      <c r="J91" s="884" t="s">
        <v>531</v>
      </c>
      <c r="K91" s="667" t="s">
        <v>185</v>
      </c>
      <c r="L91" s="884" t="s">
        <v>530</v>
      </c>
      <c r="M91" s="884" t="s">
        <v>520</v>
      </c>
      <c r="N91" s="884" t="s">
        <v>705</v>
      </c>
      <c r="O91" s="884" t="s">
        <v>704</v>
      </c>
      <c r="P91" s="884" t="s">
        <v>522</v>
      </c>
      <c r="Q91" s="1060" t="s">
        <v>592</v>
      </c>
      <c r="R91" s="115" t="s">
        <v>593</v>
      </c>
      <c r="X91" s="115"/>
      <c r="Y91" s="898">
        <f t="shared" si="60"/>
        <v>854876.15645198058</v>
      </c>
      <c r="AC91" s="9"/>
      <c r="AD91" s="6"/>
      <c r="AE91" s="6"/>
      <c r="AN91" s="22">
        <f t="shared" si="61"/>
        <v>377396.21150395833</v>
      </c>
      <c r="AO91" s="219">
        <f t="shared" si="62"/>
        <v>149.76040139045966</v>
      </c>
      <c r="AR91" s="949" t="s">
        <v>14</v>
      </c>
      <c r="AS91" s="22">
        <f>Jämförelser!C11*$AS$82</f>
        <v>4505620.0777420411</v>
      </c>
      <c r="AT91" s="22">
        <v>3953605.7346562892</v>
      </c>
      <c r="AU91" s="22">
        <f t="shared" si="57"/>
        <v>552014.34308575187</v>
      </c>
      <c r="AV91" s="22">
        <f t="shared" si="58"/>
        <v>414010.7573143139</v>
      </c>
      <c r="AW91" s="22">
        <f t="shared" si="56"/>
        <v>-414010.7573143139</v>
      </c>
      <c r="AY91" s="217">
        <f t="shared" si="59"/>
        <v>4091609.320427727</v>
      </c>
    </row>
    <row r="92" spans="2:51" ht="16.5" thickBot="1" x14ac:dyDescent="0.3">
      <c r="B92" s="872"/>
      <c r="C92" s="875" t="s">
        <v>8</v>
      </c>
      <c r="D92" s="996">
        <f>AB43</f>
        <v>1159046.6439299511</v>
      </c>
      <c r="E92" s="932">
        <v>703000</v>
      </c>
      <c r="F92" s="932">
        <v>952000</v>
      </c>
      <c r="G92" s="1036">
        <f>D92/(E92+F92)</f>
        <v>0.70033029844710037</v>
      </c>
      <c r="H92" s="996">
        <f>IF($K$37=2,'Data, inkomst- skkompl, kost'!H242-'Data, inkomst- skkompl, kost'!N242+'Data, inkomst- skkompl, kost'!W242,'Data, inkomst- skkompl, kost'!H242-'Data, inkomst- skkompl, kost'!N242+'Data, inkomst- skkompl, kost'!X242)</f>
        <v>2398548.1082013217</v>
      </c>
      <c r="I92" s="996">
        <v>2431000</v>
      </c>
      <c r="J92" s="997">
        <f t="shared" ref="J92:J108" si="63">D92/H92</f>
        <v>0.48322843305366248</v>
      </c>
      <c r="K92" s="933">
        <v>1426000</v>
      </c>
      <c r="L92" s="1051">
        <f t="shared" ref="L92:L108" si="64">D92/K92</f>
        <v>0.81279568298033034</v>
      </c>
      <c r="M92" s="942">
        <f t="shared" ref="M92:M108" si="65">(K92+D92)/H92</f>
        <v>1.0777547613453895</v>
      </c>
      <c r="N92" s="998">
        <f>AN43/(E92+F92)</f>
        <v>0.70498649667673718</v>
      </c>
      <c r="O92" s="998">
        <f>AN43/I92</f>
        <v>0.47994761497326205</v>
      </c>
      <c r="P92" s="998">
        <f t="shared" ref="P92:P108" si="66">(AN43+K92)/H92</f>
        <v>1.0809675416284699</v>
      </c>
      <c r="Q92" s="1060">
        <f>G92-N92</f>
        <v>-4.6561982296368098E-3</v>
      </c>
      <c r="R92" s="115">
        <f t="shared" ref="R92:R108" si="67">M92-P92</f>
        <v>-3.2127802830803631E-3</v>
      </c>
      <c r="S92" s="7"/>
      <c r="X92" s="115"/>
      <c r="Y92" s="898">
        <f t="shared" si="60"/>
        <v>91250.759983553449</v>
      </c>
      <c r="AC92" s="9"/>
      <c r="AD92" s="1077"/>
      <c r="AE92" s="1077"/>
      <c r="AN92" s="22">
        <f t="shared" si="61"/>
        <v>-284040.37730497937</v>
      </c>
      <c r="AO92" s="219">
        <f t="shared" si="62"/>
        <v>-496.57408619751635</v>
      </c>
      <c r="AR92" s="949" t="s">
        <v>15</v>
      </c>
      <c r="AS92" s="22">
        <f>Jämförelser!C12*$AS$82</f>
        <v>865546.32017039647</v>
      </c>
      <c r="AT92" s="22">
        <v>849781.00686282944</v>
      </c>
      <c r="AU92" s="22">
        <f t="shared" si="57"/>
        <v>15765.313307567034</v>
      </c>
      <c r="AV92" s="22">
        <f t="shared" si="58"/>
        <v>11823.984980675275</v>
      </c>
      <c r="AW92" s="22">
        <f t="shared" si="56"/>
        <v>-11823.984980675275</v>
      </c>
      <c r="AY92" s="217">
        <f t="shared" si="59"/>
        <v>853722.3351897212</v>
      </c>
    </row>
    <row r="93" spans="2:51" ht="16.5" thickBot="1" x14ac:dyDescent="0.3">
      <c r="B93" s="872"/>
      <c r="C93" s="876" t="s">
        <v>9</v>
      </c>
      <c r="D93" s="999">
        <f t="shared" ref="D93:D108" si="68">AB44</f>
        <v>1997923.7669310586</v>
      </c>
      <c r="E93" s="934">
        <v>1190000</v>
      </c>
      <c r="F93" s="934">
        <v>2778000</v>
      </c>
      <c r="G93" s="1037">
        <f t="shared" ref="G93:G108" si="69">D93/(E93+F93)</f>
        <v>0.50350901384351276</v>
      </c>
      <c r="H93" s="999">
        <f>IF($K$37=2,'Data, inkomst- skkompl, kost'!H243-'Data, inkomst- skkompl, kost'!N243+'Data, inkomst- skkompl, kost'!W243,'Data, inkomst- skkompl, kost'!H243-'Data, inkomst- skkompl, kost'!N243+'Data, inkomst- skkompl, kost'!X243)</f>
        <v>4773474.6231687525</v>
      </c>
      <c r="I93" s="999">
        <v>4903000</v>
      </c>
      <c r="J93" s="939">
        <f t="shared" si="63"/>
        <v>0.41854705945933918</v>
      </c>
      <c r="K93" s="934">
        <v>2935000</v>
      </c>
      <c r="L93" s="1052">
        <f t="shared" si="64"/>
        <v>0.68072360031722612</v>
      </c>
      <c r="M93" s="943">
        <f t="shared" si="65"/>
        <v>1.03340316150177</v>
      </c>
      <c r="N93" s="945">
        <f t="shared" ref="N93:N108" si="70">AN44/(E93+F93)</f>
        <v>0.55152252973790317</v>
      </c>
      <c r="O93" s="945">
        <f t="shared" ref="O93:O108" si="71">AN44/I93</f>
        <v>0.44634741953905765</v>
      </c>
      <c r="P93" s="945">
        <f t="shared" si="66"/>
        <v>1.0733148916582971</v>
      </c>
      <c r="Q93" s="1060">
        <f t="shared" ref="Q93:Q108" si="72">G93-N93</f>
        <v>-4.8013515894390402E-2</v>
      </c>
      <c r="R93" s="115">
        <f t="shared" si="67"/>
        <v>-3.9911730156527048E-2</v>
      </c>
      <c r="S93" s="7"/>
      <c r="X93" s="115"/>
      <c r="Y93" s="898">
        <f t="shared" si="60"/>
        <v>459693.0907304922</v>
      </c>
      <c r="AC93" s="9"/>
      <c r="AD93" s="1077"/>
      <c r="AE93" s="1077"/>
      <c r="AN93" s="22">
        <f t="shared" si="61"/>
        <v>-232632.91089272709</v>
      </c>
      <c r="AO93" s="219">
        <f t="shared" si="62"/>
        <v>-465.26582178545419</v>
      </c>
      <c r="AR93" s="949" t="s">
        <v>16</v>
      </c>
      <c r="AS93" s="22">
        <f>Jämförelser!C13*$AS$82</f>
        <v>727452.38903866254</v>
      </c>
      <c r="AT93" s="22">
        <v>673661.53503027791</v>
      </c>
      <c r="AU93" s="22">
        <f t="shared" si="57"/>
        <v>53790.854008384631</v>
      </c>
      <c r="AV93" s="22">
        <f t="shared" si="58"/>
        <v>40343.140506288473</v>
      </c>
      <c r="AW93" s="22">
        <f t="shared" si="56"/>
        <v>-40343.140506288473</v>
      </c>
      <c r="AY93" s="217">
        <f t="shared" si="59"/>
        <v>687109.24853237404</v>
      </c>
    </row>
    <row r="94" spans="2:51" ht="16.5" thickBot="1" x14ac:dyDescent="0.3">
      <c r="B94" s="872"/>
      <c r="C94" s="876" t="s">
        <v>10</v>
      </c>
      <c r="D94" s="999">
        <f t="shared" si="68"/>
        <v>3728205.6799646285</v>
      </c>
      <c r="E94" s="934">
        <v>3606000</v>
      </c>
      <c r="F94" s="934">
        <v>5750000</v>
      </c>
      <c r="G94" s="1037">
        <f t="shared" si="69"/>
        <v>0.39848286446821596</v>
      </c>
      <c r="H94" s="999">
        <f>IF($K$37=2,'Data, inkomst- skkompl, kost'!H244-'Data, inkomst- skkompl, kost'!N244+'Data, inkomst- skkompl, kost'!W244,'Data, inkomst- skkompl, kost'!H244-'Data, inkomst- skkompl, kost'!N244+'Data, inkomst- skkompl, kost'!X244)</f>
        <v>10846399.652758725</v>
      </c>
      <c r="I94" s="999">
        <v>11050000</v>
      </c>
      <c r="J94" s="939">
        <f t="shared" si="63"/>
        <v>0.34372748555474619</v>
      </c>
      <c r="K94" s="934">
        <v>8772000</v>
      </c>
      <c r="L94" s="1052">
        <f t="shared" si="64"/>
        <v>0.42501204741958831</v>
      </c>
      <c r="M94" s="943">
        <f t="shared" si="65"/>
        <v>1.1524751143376195</v>
      </c>
      <c r="N94" s="945">
        <f t="shared" si="70"/>
        <v>0.35488338969645156</v>
      </c>
      <c r="O94" s="945">
        <f t="shared" si="71"/>
        <v>0.30047864199095031</v>
      </c>
      <c r="P94" s="945">
        <f t="shared" si="66"/>
        <v>1.1148666268188256</v>
      </c>
      <c r="Q94" s="1060">
        <f t="shared" si="72"/>
        <v>4.3599474771764402E-2</v>
      </c>
      <c r="R94" s="115">
        <f t="shared" si="67"/>
        <v>3.7608487518793865E-2</v>
      </c>
      <c r="S94" s="7"/>
      <c r="X94" s="115"/>
      <c r="Y94" s="898">
        <f t="shared" si="60"/>
        <v>615169.97108451393</v>
      </c>
      <c r="AC94" s="9"/>
      <c r="AD94" s="1077"/>
      <c r="AE94" s="1077"/>
      <c r="AN94" s="22">
        <f t="shared" si="61"/>
        <v>-79158.096603072714</v>
      </c>
      <c r="AO94" s="219">
        <f t="shared" si="62"/>
        <v>-51.401361430566695</v>
      </c>
      <c r="AR94" s="949" t="s">
        <v>17</v>
      </c>
      <c r="AS94" s="22">
        <f>Jämförelser!C14*$AS$82</f>
        <v>2462466.2393725505</v>
      </c>
      <c r="AT94" s="22">
        <v>2744175.4767429889</v>
      </c>
      <c r="AU94" s="22">
        <f t="shared" si="57"/>
        <v>-281709.23737043841</v>
      </c>
      <c r="AV94" s="22">
        <f t="shared" si="58"/>
        <v>-211281.92802782881</v>
      </c>
      <c r="AW94" s="22">
        <f t="shared" si="56"/>
        <v>211281.92802782881</v>
      </c>
      <c r="AY94" s="217">
        <f t="shared" si="59"/>
        <v>2673748.1674003792</v>
      </c>
    </row>
    <row r="95" spans="2:51" ht="16.5" thickBot="1" x14ac:dyDescent="0.3">
      <c r="B95" s="872"/>
      <c r="C95" s="876" t="s">
        <v>11</v>
      </c>
      <c r="D95" s="999">
        <f t="shared" si="68"/>
        <v>1375028.4042170295</v>
      </c>
      <c r="E95" s="934">
        <v>987000</v>
      </c>
      <c r="F95" s="934">
        <v>1466000</v>
      </c>
      <c r="G95" s="1038">
        <f t="shared" si="69"/>
        <v>0.56054969597106785</v>
      </c>
      <c r="H95" s="999">
        <f>IF($K$37=2,'Data, inkomst- skkompl, kost'!H245-'Data, inkomst- skkompl, kost'!N245+'Data, inkomst- skkompl, kost'!W245,'Data, inkomst- skkompl, kost'!H245-'Data, inkomst- skkompl, kost'!N245+'Data, inkomst- skkompl, kost'!X245)</f>
        <v>3131259.0082851928</v>
      </c>
      <c r="I95" s="999">
        <v>3152000</v>
      </c>
      <c r="J95" s="939">
        <f t="shared" si="63"/>
        <v>0.43912956436333</v>
      </c>
      <c r="K95" s="934">
        <v>1862000</v>
      </c>
      <c r="L95" s="1052">
        <f t="shared" si="64"/>
        <v>0.73846853072880203</v>
      </c>
      <c r="M95" s="943">
        <f t="shared" si="65"/>
        <v>1.0337785522219576</v>
      </c>
      <c r="N95" s="945">
        <f t="shared" si="70"/>
        <v>0.64744257154504703</v>
      </c>
      <c r="O95" s="945">
        <f t="shared" si="71"/>
        <v>0.50386314340101535</v>
      </c>
      <c r="P95" s="945">
        <f t="shared" si="66"/>
        <v>1.1018496454208879</v>
      </c>
      <c r="Q95" s="1060">
        <f t="shared" si="72"/>
        <v>-8.6892875573979178E-2</v>
      </c>
      <c r="R95" s="115">
        <f t="shared" si="67"/>
        <v>-6.8071093198930344E-2</v>
      </c>
      <c r="S95" s="7"/>
      <c r="X95" s="115"/>
      <c r="Y95" s="898">
        <f t="shared" si="60"/>
        <v>876154.64107322914</v>
      </c>
      <c r="AC95" s="9"/>
      <c r="AD95" s="1077"/>
      <c r="AE95" s="1077"/>
      <c r="AN95" s="22">
        <f t="shared" si="61"/>
        <v>421889.99574390147</v>
      </c>
      <c r="AO95" s="219">
        <f t="shared" si="62"/>
        <v>95.363923088585324</v>
      </c>
      <c r="AR95" s="949" t="s">
        <v>18</v>
      </c>
      <c r="AS95" s="22">
        <f>Jämförelser!C15*$AS$82</f>
        <v>682427.51721788337</v>
      </c>
      <c r="AT95" s="22">
        <v>678718.84852217569</v>
      </c>
      <c r="AU95" s="22">
        <f t="shared" si="57"/>
        <v>3708.668695707689</v>
      </c>
      <c r="AV95" s="22">
        <f t="shared" si="58"/>
        <v>2781.5015217807668</v>
      </c>
      <c r="AW95" s="22">
        <f t="shared" si="56"/>
        <v>-2781.5015217807668</v>
      </c>
      <c r="AY95" s="217">
        <f t="shared" si="59"/>
        <v>679646.01569610264</v>
      </c>
    </row>
    <row r="96" spans="2:51" ht="16.5" thickBot="1" x14ac:dyDescent="0.3">
      <c r="B96" s="851"/>
      <c r="C96" s="876" t="s">
        <v>12</v>
      </c>
      <c r="D96" s="999">
        <f t="shared" si="68"/>
        <v>1427747.6456668538</v>
      </c>
      <c r="E96" s="934">
        <v>815000</v>
      </c>
      <c r="F96" s="934">
        <v>1658000</v>
      </c>
      <c r="G96" s="1038">
        <f t="shared" si="69"/>
        <v>0.57733426836508439</v>
      </c>
      <c r="H96" s="999">
        <f>IF($K$37=2,'Data, inkomst- skkompl, kost'!H246-'Data, inkomst- skkompl, kost'!N246+'Data, inkomst- skkompl, kost'!W246,'Data, inkomst- skkompl, kost'!H246-'Data, inkomst- skkompl, kost'!N246+'Data, inkomst- skkompl, kost'!X246)</f>
        <v>2644288.1318732998</v>
      </c>
      <c r="I96" s="999">
        <v>2736000</v>
      </c>
      <c r="J96" s="939">
        <f t="shared" si="63"/>
        <v>0.5399364874263497</v>
      </c>
      <c r="K96" s="934">
        <v>1112000</v>
      </c>
      <c r="L96" s="1052">
        <f t="shared" si="64"/>
        <v>1.2839457245205519</v>
      </c>
      <c r="M96" s="943">
        <f t="shared" si="65"/>
        <v>0.96046554649383598</v>
      </c>
      <c r="N96" s="945">
        <f t="shared" si="70"/>
        <v>0.70542525758188435</v>
      </c>
      <c r="O96" s="945">
        <f t="shared" si="71"/>
        <v>0.63761573903508773</v>
      </c>
      <c r="P96" s="945">
        <f t="shared" si="66"/>
        <v>1.0802592302890799</v>
      </c>
      <c r="Q96" s="1060">
        <f t="shared" si="72"/>
        <v>-0.12809098921679996</v>
      </c>
      <c r="R96" s="115">
        <f t="shared" si="67"/>
        <v>-0.11979368379524391</v>
      </c>
      <c r="S96" s="7"/>
      <c r="X96" s="115"/>
      <c r="Y96" s="898">
        <f t="shared" si="60"/>
        <v>79206.720144897947</v>
      </c>
      <c r="AC96" s="9"/>
      <c r="AD96" s="1077"/>
      <c r="AE96" s="1077"/>
      <c r="AN96" s="22">
        <f t="shared" si="61"/>
        <v>-51421.70986541966</v>
      </c>
      <c r="AO96" s="219">
        <f t="shared" si="62"/>
        <v>-155.82336322854442</v>
      </c>
      <c r="AR96" s="949" t="s">
        <v>19</v>
      </c>
      <c r="AS96" s="22">
        <f>Jämförelser!C16*$AS$82</f>
        <v>2383375.9982121177</v>
      </c>
      <c r="AT96" s="22">
        <v>2846110.7489955411</v>
      </c>
      <c r="AU96" s="22">
        <f t="shared" si="57"/>
        <v>-462734.75078342343</v>
      </c>
      <c r="AV96" s="22">
        <f t="shared" si="58"/>
        <v>-347051.06308756757</v>
      </c>
      <c r="AW96" s="22">
        <f t="shared" si="56"/>
        <v>347051.06308756757</v>
      </c>
      <c r="AY96" s="217">
        <f t="shared" si="59"/>
        <v>2730427.0612996854</v>
      </c>
    </row>
    <row r="97" spans="2:52" ht="16.5" thickBot="1" x14ac:dyDescent="0.3">
      <c r="B97" s="851"/>
      <c r="C97" s="876" t="s">
        <v>13</v>
      </c>
      <c r="D97" s="999">
        <f t="shared" si="68"/>
        <v>2559138.4760753936</v>
      </c>
      <c r="E97" s="934">
        <v>2206000</v>
      </c>
      <c r="F97" s="934">
        <v>3786000</v>
      </c>
      <c r="G97" s="1038">
        <f t="shared" si="69"/>
        <v>0.42709253606064645</v>
      </c>
      <c r="H97" s="999">
        <f>IF($K$37=2,'Data, inkomst- skkompl, kost'!H247-'Data, inkomst- skkompl, kost'!N247+'Data, inkomst- skkompl, kost'!W247,'Data, inkomst- skkompl, kost'!H247-'Data, inkomst- skkompl, kost'!N247+'Data, inkomst- skkompl, kost'!X247)</f>
        <v>6712137.6737186164</v>
      </c>
      <c r="I97" s="999">
        <v>6849000</v>
      </c>
      <c r="J97" s="939">
        <f t="shared" si="63"/>
        <v>0.38127026000907333</v>
      </c>
      <c r="K97" s="934">
        <v>4385000</v>
      </c>
      <c r="L97" s="1052">
        <f t="shared" si="64"/>
        <v>0.58361196717796893</v>
      </c>
      <c r="M97" s="943">
        <f t="shared" si="65"/>
        <v>1.0345643688545272</v>
      </c>
      <c r="N97" s="945">
        <f t="shared" si="70"/>
        <v>0.43332159362483313</v>
      </c>
      <c r="O97" s="945">
        <f t="shared" si="71"/>
        <v>0.37910103504161191</v>
      </c>
      <c r="P97" s="945">
        <f t="shared" si="66"/>
        <v>1.0401251178646003</v>
      </c>
      <c r="Q97" s="1060">
        <f t="shared" si="72"/>
        <v>-6.2290575641866797E-3</v>
      </c>
      <c r="R97" s="115">
        <f t="shared" si="67"/>
        <v>-5.560749010073085E-3</v>
      </c>
      <c r="S97" s="7"/>
      <c r="X97" s="115"/>
      <c r="Y97" s="898">
        <f t="shared" si="60"/>
        <v>14655.627705402163</v>
      </c>
      <c r="AC97" s="9"/>
      <c r="AD97" s="1077"/>
      <c r="AE97" s="1077"/>
      <c r="AN97" s="22">
        <f t="shared" si="61"/>
        <v>27906.576533187414</v>
      </c>
      <c r="AO97" s="219">
        <f t="shared" si="62"/>
        <v>111.18157981349567</v>
      </c>
      <c r="AR97" s="949" t="s">
        <v>20</v>
      </c>
      <c r="AS97" s="22">
        <f>Jämförelser!C17*$AS$82</f>
        <v>233651.96482365657</v>
      </c>
      <c r="AT97" s="22">
        <v>263009.30079368257</v>
      </c>
      <c r="AU97" s="22">
        <f t="shared" si="57"/>
        <v>-29357.335970026004</v>
      </c>
      <c r="AV97" s="22">
        <f t="shared" si="58"/>
        <v>-22018.001977519503</v>
      </c>
      <c r="AW97" s="22">
        <f t="shared" si="56"/>
        <v>22018.001977519503</v>
      </c>
      <c r="AY97" s="217">
        <f t="shared" si="59"/>
        <v>255669.96680117608</v>
      </c>
    </row>
    <row r="98" spans="2:52" ht="16.5" thickBot="1" x14ac:dyDescent="0.3">
      <c r="B98" s="872"/>
      <c r="C98" s="877" t="s">
        <v>14</v>
      </c>
      <c r="D98" s="995">
        <f t="shared" si="68"/>
        <v>4305682.2548168255</v>
      </c>
      <c r="E98" s="935">
        <v>6338000</v>
      </c>
      <c r="F98" s="935">
        <v>9903000</v>
      </c>
      <c r="G98" s="1038">
        <f t="shared" si="69"/>
        <v>0.26511189303717908</v>
      </c>
      <c r="H98" s="995">
        <f>IF($K$37=2,'Data, inkomst- skkompl, kost'!H248-'Data, inkomst- skkompl, kost'!N248+'Data, inkomst- skkompl, kost'!W248,'Data, inkomst- skkompl, kost'!H248-'Data, inkomst- skkompl, kost'!N248+'Data, inkomst- skkompl, kost'!X248)</f>
        <v>17918927.549636692</v>
      </c>
      <c r="I98" s="995">
        <v>18222000</v>
      </c>
      <c r="J98" s="939">
        <f t="shared" si="63"/>
        <v>0.24028682759555683</v>
      </c>
      <c r="K98" s="935">
        <v>15743000</v>
      </c>
      <c r="L98" s="1053">
        <f t="shared" si="64"/>
        <v>0.27349820585763995</v>
      </c>
      <c r="M98" s="944">
        <f t="shared" si="65"/>
        <v>1.1188550318807062</v>
      </c>
      <c r="N98" s="945">
        <f t="shared" si="70"/>
        <v>0.22598335915276149</v>
      </c>
      <c r="O98" s="945">
        <f t="shared" si="71"/>
        <v>0.20141563692240147</v>
      </c>
      <c r="P98" s="945">
        <f t="shared" si="66"/>
        <v>1.0833904921052937</v>
      </c>
      <c r="Q98" s="1060">
        <f t="shared" si="72"/>
        <v>3.9128533884417588E-2</v>
      </c>
      <c r="R98" s="115">
        <f t="shared" si="67"/>
        <v>3.5464539775412529E-2</v>
      </c>
      <c r="S98" s="7"/>
      <c r="X98" s="115"/>
      <c r="Y98" s="898">
        <f t="shared" si="60"/>
        <v>480020.54289507784</v>
      </c>
      <c r="AC98" s="9"/>
      <c r="AD98" s="1077"/>
      <c r="AE98" s="1077"/>
      <c r="AN98" s="22">
        <f t="shared" si="61"/>
        <v>-401135.77251379145</v>
      </c>
      <c r="AO98" s="219">
        <f t="shared" si="62"/>
        <v>-208.27402518888445</v>
      </c>
      <c r="AR98" s="949" t="s">
        <v>21</v>
      </c>
      <c r="AS98" s="22">
        <f>Jämförelser!C18*$AS$82</f>
        <v>2187634.7997886171</v>
      </c>
      <c r="AT98" s="22">
        <v>2165111.6623294731</v>
      </c>
      <c r="AU98" s="22">
        <f t="shared" si="57"/>
        <v>22523.137459143996</v>
      </c>
      <c r="AV98" s="22">
        <f t="shared" si="58"/>
        <v>16892.353094357997</v>
      </c>
      <c r="AW98" s="22">
        <f t="shared" si="56"/>
        <v>-16892.353094357997</v>
      </c>
      <c r="AY98" s="217">
        <f t="shared" si="59"/>
        <v>2170742.4466942591</v>
      </c>
    </row>
    <row r="99" spans="2:52" ht="16.5" thickBot="1" x14ac:dyDescent="0.3">
      <c r="B99" s="851"/>
      <c r="C99" s="877" t="s">
        <v>15</v>
      </c>
      <c r="D99" s="995">
        <f t="shared" si="68"/>
        <v>805743.67492827203</v>
      </c>
      <c r="E99" s="935">
        <v>501000</v>
      </c>
      <c r="F99" s="935">
        <v>842000</v>
      </c>
      <c r="G99" s="1038">
        <f t="shared" si="69"/>
        <v>0.59995806025932397</v>
      </c>
      <c r="H99" s="995">
        <f>IF($K$37=2,'Data, inkomst- skkompl, kost'!H249-'Data, inkomst- skkompl, kost'!N249+'Data, inkomst- skkompl, kost'!W249,'Data, inkomst- skkompl, kost'!H249-'Data, inkomst- skkompl, kost'!N249+'Data, inkomst- skkompl, kost'!X249)</f>
        <v>1799185.0059179948</v>
      </c>
      <c r="I99" s="995">
        <v>1814000</v>
      </c>
      <c r="J99" s="939">
        <f t="shared" si="63"/>
        <v>0.44783814464769783</v>
      </c>
      <c r="K99" s="935">
        <v>1081000</v>
      </c>
      <c r="L99" s="1053">
        <f t="shared" si="64"/>
        <v>0.74536880196879929</v>
      </c>
      <c r="M99" s="944">
        <f t="shared" si="65"/>
        <v>1.0486657396111427</v>
      </c>
      <c r="N99" s="945">
        <f t="shared" si="70"/>
        <v>0.62812180491437075</v>
      </c>
      <c r="O99" s="945">
        <f t="shared" si="71"/>
        <v>0.46503174421168686</v>
      </c>
      <c r="P99" s="945">
        <f t="shared" si="66"/>
        <v>1.0696885410169541</v>
      </c>
      <c r="Q99" s="1060">
        <f t="shared" si="72"/>
        <v>-2.8163744655046785E-2</v>
      </c>
      <c r="R99" s="115">
        <f t="shared" si="67"/>
        <v>-2.1022801405811364E-2</v>
      </c>
      <c r="S99" s="7"/>
      <c r="X99" s="115"/>
      <c r="Y99" s="898">
        <f t="shared" si="60"/>
        <v>80394.153664465775</v>
      </c>
      <c r="AC99" s="9"/>
      <c r="AD99" s="1077"/>
      <c r="AE99" s="1077"/>
      <c r="AN99" s="22">
        <f t="shared" si="61"/>
        <v>20682.23493989266</v>
      </c>
      <c r="AO99" s="219">
        <f t="shared" si="62"/>
        <v>50.078050701919274</v>
      </c>
      <c r="AR99" s="949" t="s">
        <v>22</v>
      </c>
      <c r="AS99" s="22">
        <f>Jämförelser!C19*$AS$82</f>
        <v>1342021.5525856591</v>
      </c>
      <c r="AT99" s="22">
        <v>1408500.8916702408</v>
      </c>
      <c r="AU99" s="22">
        <f t="shared" si="57"/>
        <v>-66479.339084581705</v>
      </c>
      <c r="AV99" s="22">
        <f t="shared" si="58"/>
        <v>-49859.504313436279</v>
      </c>
      <c r="AW99" s="22">
        <f t="shared" si="56"/>
        <v>49859.504313436279</v>
      </c>
      <c r="AY99" s="217">
        <f t="shared" si="59"/>
        <v>1391881.0568990954</v>
      </c>
    </row>
    <row r="100" spans="2:52" ht="16.5" thickBot="1" x14ac:dyDescent="0.3">
      <c r="B100" s="851"/>
      <c r="C100" s="878" t="s">
        <v>16</v>
      </c>
      <c r="D100" s="938">
        <f t="shared" si="68"/>
        <v>668438.5099883317</v>
      </c>
      <c r="E100" s="936">
        <v>495000</v>
      </c>
      <c r="F100" s="936">
        <v>853000</v>
      </c>
      <c r="G100" s="1038">
        <f t="shared" si="69"/>
        <v>0.49587426556997899</v>
      </c>
      <c r="H100" s="938">
        <f>IF($K$37=2,'Data, inkomst- skkompl, kost'!H250-'Data, inkomst- skkompl, kost'!N250+'Data, inkomst- skkompl, kost'!W250,'Data, inkomst- skkompl, kost'!H250-'Data, inkomst- skkompl, kost'!N250+'Data, inkomst- skkompl, kost'!X250)</f>
        <v>1459767.1445479984</v>
      </c>
      <c r="I100" s="938">
        <v>1464000</v>
      </c>
      <c r="J100" s="939">
        <f t="shared" si="63"/>
        <v>0.45790762758625225</v>
      </c>
      <c r="K100" s="936">
        <v>804000</v>
      </c>
      <c r="L100" s="1054">
        <f t="shared" si="64"/>
        <v>0.83139118157752701</v>
      </c>
      <c r="M100" s="945">
        <f t="shared" si="65"/>
        <v>1.008680401862488</v>
      </c>
      <c r="N100" s="945">
        <f t="shared" si="70"/>
        <v>0.47059840949554893</v>
      </c>
      <c r="O100" s="945">
        <f t="shared" si="71"/>
        <v>0.43331055737704915</v>
      </c>
      <c r="P100" s="945">
        <f t="shared" si="66"/>
        <v>0.9853397929745672</v>
      </c>
      <c r="Q100" s="1060">
        <f t="shared" si="72"/>
        <v>2.5275856074430059E-2</v>
      </c>
      <c r="R100" s="115">
        <f t="shared" si="67"/>
        <v>2.3340608887920777E-2</v>
      </c>
      <c r="S100" s="7"/>
      <c r="X100" s="115"/>
      <c r="Y100" s="898">
        <f t="shared" si="60"/>
        <v>353342.7248363744</v>
      </c>
      <c r="AC100" s="9"/>
      <c r="AD100" s="1077"/>
      <c r="AE100" s="1077"/>
      <c r="AN100" s="22">
        <f t="shared" si="61"/>
        <v>-640296.45429604966</v>
      </c>
      <c r="AO100" s="219">
        <f t="shared" si="62"/>
        <v>-353.1695831748757</v>
      </c>
      <c r="AR100" s="949" t="s">
        <v>23</v>
      </c>
      <c r="AS100" s="22">
        <f>Jämförelser!C20*$AS$82</f>
        <v>5956537.2237907806</v>
      </c>
      <c r="AT100" s="22">
        <v>5849395.3162922775</v>
      </c>
      <c r="AU100" s="22">
        <f t="shared" si="57"/>
        <v>107141.9074985031</v>
      </c>
      <c r="AV100" s="22">
        <f t="shared" si="58"/>
        <v>80356.430623877328</v>
      </c>
      <c r="AW100" s="22">
        <f>IF(AU100&lt;0,ABS(AV100),-AV100)</f>
        <v>-80356.430623877328</v>
      </c>
      <c r="AY100" s="217">
        <f t="shared" si="59"/>
        <v>5876180.7931669038</v>
      </c>
    </row>
    <row r="101" spans="2:52" ht="16.5" thickBot="1" x14ac:dyDescent="0.3">
      <c r="B101" s="851"/>
      <c r="C101" s="876" t="s">
        <v>17</v>
      </c>
      <c r="D101" s="999">
        <f t="shared" si="68"/>
        <v>2495035.4642451336</v>
      </c>
      <c r="E101" s="934">
        <v>3406000</v>
      </c>
      <c r="F101" s="934">
        <v>3974000</v>
      </c>
      <c r="G101" s="1038">
        <f t="shared" si="69"/>
        <v>0.33808068621207771</v>
      </c>
      <c r="H101" s="999">
        <f>IF($K$37=2,'Data, inkomst- skkompl, kost'!H251-'Data, inkomst- skkompl, kost'!N251+'Data, inkomst- skkompl, kost'!W251,'Data, inkomst- skkompl, kost'!H251-'Data, inkomst- skkompl, kost'!N251+'Data, inkomst- skkompl, kost'!X251)</f>
        <v>8744267.9205499422</v>
      </c>
      <c r="I101" s="999">
        <v>8903000</v>
      </c>
      <c r="J101" s="939">
        <f t="shared" si="63"/>
        <v>0.28533383090670633</v>
      </c>
      <c r="K101" s="934">
        <v>6355000</v>
      </c>
      <c r="L101" s="1052">
        <f t="shared" si="64"/>
        <v>0.39260982914950959</v>
      </c>
      <c r="M101" s="943">
        <f t="shared" si="65"/>
        <v>1.0120956430722607</v>
      </c>
      <c r="N101" s="945">
        <f t="shared" si="70"/>
        <v>0.37643151178861795</v>
      </c>
      <c r="O101" s="945">
        <f t="shared" si="71"/>
        <v>0.31203690407727736</v>
      </c>
      <c r="P101" s="945">
        <f t="shared" si="66"/>
        <v>1.0444630288072883</v>
      </c>
      <c r="Q101" s="1060">
        <f t="shared" si="72"/>
        <v>-3.8350825576540237E-2</v>
      </c>
      <c r="R101" s="115">
        <f t="shared" si="67"/>
        <v>-3.236738573502751E-2</v>
      </c>
      <c r="S101" s="7"/>
      <c r="X101" s="115"/>
      <c r="Y101" s="898">
        <f t="shared" si="60"/>
        <v>11366.67886614646</v>
      </c>
      <c r="AC101" s="9"/>
      <c r="AD101" s="1077"/>
      <c r="AE101" s="1077"/>
      <c r="AN101" s="22">
        <f t="shared" si="61"/>
        <v>-49937.820592746342</v>
      </c>
      <c r="AO101" s="219">
        <f t="shared" si="62"/>
        <v>-499.3782059274634</v>
      </c>
      <c r="AR101" s="5" t="s">
        <v>24</v>
      </c>
      <c r="AS101" s="22">
        <f>Jämförelser!C21*$AS$82</f>
        <v>34104016.2269632</v>
      </c>
      <c r="AT101" s="217">
        <v>34104016.2269632</v>
      </c>
      <c r="AU101" s="22">
        <f t="shared" si="57"/>
        <v>0</v>
      </c>
      <c r="AV101" s="217">
        <f>SUM(AV85:AV100)</f>
        <v>2.35741026699543E-9</v>
      </c>
      <c r="AW101" s="217">
        <f>SUM(AW85:AW100)</f>
        <v>-2.35741026699543E-9</v>
      </c>
      <c r="AX101" s="217"/>
      <c r="AY101" s="217">
        <f t="shared" ref="AY101" si="73">SUM(AY85:AY100)</f>
        <v>34104016.2269632</v>
      </c>
    </row>
    <row r="102" spans="2:52" ht="15.75" thickBot="1" x14ac:dyDescent="0.25">
      <c r="B102" s="872"/>
      <c r="C102" s="876" t="s">
        <v>18</v>
      </c>
      <c r="D102" s="999">
        <f t="shared" si="68"/>
        <v>649812.53717026406</v>
      </c>
      <c r="E102" s="934">
        <v>704000</v>
      </c>
      <c r="F102" s="934">
        <v>1088000</v>
      </c>
      <c r="G102" s="1039">
        <f t="shared" si="69"/>
        <v>0.36261860333162055</v>
      </c>
      <c r="H102" s="999">
        <f>IF($K$37=2,'Data, inkomst- skkompl, kost'!H252-'Data, inkomst- skkompl, kost'!N252+'Data, inkomst- skkompl, kost'!W252,'Data, inkomst- skkompl, kost'!H252-'Data, inkomst- skkompl, kost'!N252+'Data, inkomst- skkompl, kost'!X252)</f>
        <v>2266553.5323765259</v>
      </c>
      <c r="I102" s="999">
        <v>2288000</v>
      </c>
      <c r="J102" s="939">
        <f t="shared" si="63"/>
        <v>0.28669631133261736</v>
      </c>
      <c r="K102" s="934">
        <v>1557000</v>
      </c>
      <c r="L102" s="1052">
        <f t="shared" si="64"/>
        <v>0.41734909259490305</v>
      </c>
      <c r="M102" s="943">
        <f t="shared" si="65"/>
        <v>0.97364236301817131</v>
      </c>
      <c r="N102" s="945">
        <f t="shared" si="70"/>
        <v>0.38585294419642857</v>
      </c>
      <c r="O102" s="945">
        <f t="shared" si="71"/>
        <v>0.30220650174825175</v>
      </c>
      <c r="P102" s="945">
        <f t="shared" si="66"/>
        <v>0.99201207643326972</v>
      </c>
      <c r="Q102" s="1060">
        <f t="shared" si="72"/>
        <v>-2.3234340864808023E-2</v>
      </c>
      <c r="R102" s="115">
        <f t="shared" si="67"/>
        <v>-1.836971341509841E-2</v>
      </c>
      <c r="S102" s="7"/>
      <c r="X102" s="115"/>
      <c r="Y102" s="898">
        <f t="shared" si="60"/>
        <v>601971.12572749099</v>
      </c>
      <c r="AC102" s="9"/>
      <c r="AD102" s="1077"/>
      <c r="AE102" s="1077"/>
      <c r="AN102" s="22">
        <f t="shared" si="61"/>
        <v>-131058.72762296605</v>
      </c>
      <c r="AO102" s="219">
        <f t="shared" si="62"/>
        <v>-127.36513860346555</v>
      </c>
    </row>
    <row r="103" spans="2:52" ht="16.5" thickBot="1" x14ac:dyDescent="0.3">
      <c r="B103" s="872"/>
      <c r="C103" s="876" t="s">
        <v>19</v>
      </c>
      <c r="D103" s="999">
        <f t="shared" si="68"/>
        <v>2254763.0400433275</v>
      </c>
      <c r="E103" s="934">
        <v>2515000</v>
      </c>
      <c r="F103" s="934">
        <v>4268000</v>
      </c>
      <c r="G103" s="1037">
        <f t="shared" si="69"/>
        <v>0.33241383459285384</v>
      </c>
      <c r="H103" s="999">
        <f>IF($K$37=2,'Data, inkomst- skkompl, kost'!H253-'Data, inkomst- skkompl, kost'!N253+'Data, inkomst- skkompl, kost'!W253,'Data, inkomst- skkompl, kost'!H253-'Data, inkomst- skkompl, kost'!N253+'Data, inkomst- skkompl, kost'!X253)</f>
        <v>8015822.4209692972</v>
      </c>
      <c r="I103" s="999">
        <v>8116000</v>
      </c>
      <c r="J103" s="939">
        <f t="shared" si="63"/>
        <v>0.28128904579334169</v>
      </c>
      <c r="K103" s="934">
        <v>5893000</v>
      </c>
      <c r="L103" s="1052">
        <f t="shared" si="64"/>
        <v>0.38261717971208681</v>
      </c>
      <c r="M103" s="943">
        <f t="shared" si="65"/>
        <v>1.0164600227081972</v>
      </c>
      <c r="N103" s="945">
        <f t="shared" si="70"/>
        <v>0.41624614860681108</v>
      </c>
      <c r="O103" s="945">
        <f t="shared" si="71"/>
        <v>0.3478804369147363</v>
      </c>
      <c r="P103" s="945">
        <f t="shared" si="66"/>
        <v>1.0873990425733493</v>
      </c>
      <c r="Q103" s="1060">
        <f t="shared" si="72"/>
        <v>-8.3832314013957243E-2</v>
      </c>
      <c r="R103" s="115">
        <f t="shared" si="67"/>
        <v>-7.0939019865152053E-2</v>
      </c>
      <c r="S103" s="7"/>
      <c r="X103" s="115"/>
      <c r="Y103" s="898">
        <f t="shared" si="60"/>
        <v>64937.963657743123</v>
      </c>
      <c r="AC103" s="9"/>
      <c r="AD103" s="1077"/>
      <c r="AE103" s="1077"/>
      <c r="AN103" s="22">
        <f t="shared" si="61"/>
        <v>-193832.00485570729</v>
      </c>
      <c r="AO103" s="219">
        <f t="shared" si="62"/>
        <v>-447.64897195313461</v>
      </c>
      <c r="AS103" s="1" t="s">
        <v>771</v>
      </c>
      <c r="AT103" s="1" t="s">
        <v>772</v>
      </c>
      <c r="AU103" s="5" t="s">
        <v>769</v>
      </c>
      <c r="AV103" s="1" t="s">
        <v>770</v>
      </c>
      <c r="AW103" s="1" t="s">
        <v>732</v>
      </c>
      <c r="AX103" s="1" t="s">
        <v>773</v>
      </c>
      <c r="AY103" s="1" t="s">
        <v>774</v>
      </c>
      <c r="AZ103" s="1" t="s">
        <v>775</v>
      </c>
    </row>
    <row r="104" spans="2:52" x14ac:dyDescent="0.2">
      <c r="B104" s="851"/>
      <c r="C104" s="876" t="s">
        <v>20</v>
      </c>
      <c r="D104" s="999">
        <f t="shared" si="68"/>
        <v>235888.06505160956</v>
      </c>
      <c r="E104" s="934">
        <v>87000</v>
      </c>
      <c r="F104" s="934">
        <v>285000</v>
      </c>
      <c r="G104" s="1038">
        <f t="shared" si="69"/>
        <v>0.63410770175163866</v>
      </c>
      <c r="H104" s="999">
        <f>IF($K$37=2,'Data, inkomst- skkompl, kost'!H254-'Data, inkomst- skkompl, kost'!N254+'Data, inkomst- skkompl, kost'!W254,'Data, inkomst- skkompl, kost'!H254-'Data, inkomst- skkompl, kost'!N254+'Data, inkomst- skkompl, kost'!X254)</f>
        <v>577717.80963653326</v>
      </c>
      <c r="I104" s="999">
        <v>578000</v>
      </c>
      <c r="J104" s="939">
        <f t="shared" si="63"/>
        <v>0.4083101838248967</v>
      </c>
      <c r="K104" s="934">
        <v>411000</v>
      </c>
      <c r="L104" s="1052">
        <f t="shared" si="64"/>
        <v>0.57393689793578972</v>
      </c>
      <c r="M104" s="943">
        <f t="shared" si="65"/>
        <v>1.1197301766732692</v>
      </c>
      <c r="N104" s="945">
        <f t="shared" si="70"/>
        <v>0.75211951075268824</v>
      </c>
      <c r="O104" s="945">
        <f t="shared" si="71"/>
        <v>0.48406307612456756</v>
      </c>
      <c r="P104" s="945">
        <f t="shared" si="66"/>
        <v>1.1957195130172711</v>
      </c>
      <c r="Q104" s="1060">
        <f t="shared" si="72"/>
        <v>-0.11801180900104957</v>
      </c>
      <c r="R104" s="115">
        <f t="shared" si="67"/>
        <v>-7.5989336344001845E-2</v>
      </c>
      <c r="S104" s="7"/>
      <c r="X104" s="115"/>
      <c r="Y104" s="898">
        <f t="shared" si="60"/>
        <v>5115022.5898465775</v>
      </c>
      <c r="AC104" s="9"/>
      <c r="AD104" s="1077"/>
      <c r="AE104" s="1077"/>
      <c r="AN104" s="22">
        <f t="shared" si="61"/>
        <v>41257.541908291169</v>
      </c>
      <c r="AO104" s="219">
        <f t="shared" si="62"/>
        <v>3.6213062326245211</v>
      </c>
      <c r="AR104" s="949" t="s">
        <v>8</v>
      </c>
      <c r="AS104" s="22">
        <f>AS85</f>
        <v>1206082.7635427555</v>
      </c>
      <c r="AT104" s="22">
        <v>1189222.9546239923</v>
      </c>
      <c r="AU104" s="1">
        <v>2435862</v>
      </c>
      <c r="AV104" s="22">
        <f>AU104-AS104</f>
        <v>1229779.2364572445</v>
      </c>
      <c r="AW104" s="219">
        <f>AV104/L172</f>
        <v>2589.008918857357</v>
      </c>
      <c r="AX104" s="22">
        <f>AU104-AT104</f>
        <v>1246639.0453760077</v>
      </c>
      <c r="AY104" s="219">
        <f>AX104/L172</f>
        <v>2624.5032534231741</v>
      </c>
      <c r="AZ104" s="219">
        <f>AY104-AW104</f>
        <v>35.494334565817098</v>
      </c>
    </row>
    <row r="105" spans="2:52" x14ac:dyDescent="0.2">
      <c r="B105" s="851"/>
      <c r="C105" s="876" t="s">
        <v>21</v>
      </c>
      <c r="D105" s="999">
        <f t="shared" si="68"/>
        <v>2106350.9950047904</v>
      </c>
      <c r="E105" s="934">
        <v>1432000</v>
      </c>
      <c r="F105" s="934">
        <v>3073000</v>
      </c>
      <c r="G105" s="1038">
        <f t="shared" si="69"/>
        <v>0.46755848945722317</v>
      </c>
      <c r="H105" s="999">
        <f>IF($K$37=2,'Data, inkomst- skkompl, kost'!H255-'Data, inkomst- skkompl, kost'!N255+'Data, inkomst- skkompl, kost'!W255,'Data, inkomst- skkompl, kost'!H255-'Data, inkomst- skkompl, kost'!N255+'Data, inkomst- skkompl, kost'!X255)</f>
        <v>5088028.1555452785</v>
      </c>
      <c r="I105" s="999">
        <v>5239000</v>
      </c>
      <c r="J105" s="939">
        <f t="shared" si="63"/>
        <v>0.41398178834941118</v>
      </c>
      <c r="K105" s="934">
        <v>3473000</v>
      </c>
      <c r="L105" s="1052">
        <f t="shared" si="64"/>
        <v>0.60649323207739425</v>
      </c>
      <c r="M105" s="943">
        <f t="shared" si="65"/>
        <v>1.096564489118252</v>
      </c>
      <c r="N105" s="945">
        <f t="shared" si="70"/>
        <v>0.47937008390677016</v>
      </c>
      <c r="O105" s="945">
        <f t="shared" si="71"/>
        <v>0.41220886199656415</v>
      </c>
      <c r="P105" s="945">
        <f t="shared" si="66"/>
        <v>1.1070226138315</v>
      </c>
      <c r="Q105" s="1060">
        <f t="shared" si="72"/>
        <v>-1.1811594449546992E-2</v>
      </c>
      <c r="R105" s="115">
        <f t="shared" si="67"/>
        <v>-1.0458124713248029E-2</v>
      </c>
      <c r="S105" s="7"/>
      <c r="X105" s="115"/>
      <c r="AC105" s="9"/>
      <c r="AD105" s="1077"/>
      <c r="AE105" s="1077"/>
      <c r="AN105" s="22">
        <f t="shared" si="61"/>
        <v>-1411415.0629852228</v>
      </c>
      <c r="AO105" s="219">
        <f>AN105/L189</f>
        <v>-49.236554210047537</v>
      </c>
      <c r="AR105" s="949" t="s">
        <v>9</v>
      </c>
      <c r="AS105" s="22">
        <f t="shared" ref="AS105:AS120" si="74">AS86</f>
        <v>2037378.2289494229</v>
      </c>
      <c r="AT105" s="22">
        <v>2216192.0077622063</v>
      </c>
      <c r="AU105" s="1">
        <v>4912806</v>
      </c>
      <c r="AV105" s="22">
        <f t="shared" ref="AV105:AV120" si="75">AU105-AS105</f>
        <v>2875427.7710505771</v>
      </c>
      <c r="AW105" s="219">
        <f t="shared" ref="AW105:AW119" si="76">AV105/L173</f>
        <v>3036.3545628833972</v>
      </c>
      <c r="AX105" s="22">
        <f t="shared" ref="AX105:AX120" si="77">AU105-AT105</f>
        <v>2696613.9922377937</v>
      </c>
      <c r="AY105" s="219">
        <f t="shared" ref="AY105:AY119" si="78">AX105/L173</f>
        <v>2847.5332547389585</v>
      </c>
      <c r="AZ105" s="219">
        <f t="shared" ref="AZ105:AZ120" si="79">AY105-AW105</f>
        <v>-188.82130814443872</v>
      </c>
    </row>
    <row r="106" spans="2:52" x14ac:dyDescent="0.2">
      <c r="B106" s="872"/>
      <c r="C106" s="876" t="s">
        <v>22</v>
      </c>
      <c r="D106" s="999">
        <f t="shared" si="68"/>
        <v>1397328.7384256423</v>
      </c>
      <c r="E106" s="934">
        <v>737000</v>
      </c>
      <c r="F106" s="934">
        <v>1305000</v>
      </c>
      <c r="G106" s="1038">
        <f t="shared" si="69"/>
        <v>0.6842941911976701</v>
      </c>
      <c r="H106" s="999">
        <f>IF($K$37=2,'Data, inkomst- skkompl, kost'!H256-'Data, inkomst- skkompl, kost'!N256+'Data, inkomst- skkompl, kost'!W256,'Data, inkomst- skkompl, kost'!H256-'Data, inkomst- skkompl, kost'!N256+'Data, inkomst- skkompl, kost'!X256)</f>
        <v>2500724.7191891954</v>
      </c>
      <c r="I106" s="999">
        <v>2513000</v>
      </c>
      <c r="J106" s="939">
        <f t="shared" si="63"/>
        <v>0.55876951497432115</v>
      </c>
      <c r="K106" s="934">
        <v>1261000</v>
      </c>
      <c r="L106" s="1052">
        <f t="shared" si="64"/>
        <v>1.108111608584966</v>
      </c>
      <c r="M106" s="943">
        <f t="shared" si="65"/>
        <v>1.0630233380056109</v>
      </c>
      <c r="N106" s="945">
        <f t="shared" si="70"/>
        <v>0.6995239813907933</v>
      </c>
      <c r="O106" s="945">
        <f t="shared" si="71"/>
        <v>0.56841542777556708</v>
      </c>
      <c r="P106" s="945">
        <f t="shared" si="66"/>
        <v>1.0754594255668362</v>
      </c>
      <c r="Q106" s="1060">
        <f t="shared" si="72"/>
        <v>-1.5229790193123205E-2</v>
      </c>
      <c r="R106" s="115">
        <f t="shared" si="67"/>
        <v>-1.2436087561225273E-2</v>
      </c>
      <c r="S106" s="7"/>
      <c r="AC106" s="9"/>
      <c r="AD106" s="1077"/>
      <c r="AE106" s="1077"/>
      <c r="AN106" s="22"/>
      <c r="AO106" s="219">
        <f t="shared" si="62"/>
        <v>0</v>
      </c>
      <c r="AR106" s="949" t="s">
        <v>10</v>
      </c>
      <c r="AS106" s="22">
        <f t="shared" si="74"/>
        <v>3887948.3824494532</v>
      </c>
      <c r="AT106" s="22">
        <v>3339592.3917247565</v>
      </c>
      <c r="AU106" s="1">
        <v>11072100</v>
      </c>
      <c r="AV106" s="22">
        <f t="shared" si="75"/>
        <v>7184151.6175505463</v>
      </c>
      <c r="AW106" s="219">
        <f t="shared" si="76"/>
        <v>2850.8538164883121</v>
      </c>
      <c r="AX106" s="22">
        <f t="shared" si="77"/>
        <v>7732507.608275244</v>
      </c>
      <c r="AY106" s="219">
        <f t="shared" si="78"/>
        <v>3068.4554001092238</v>
      </c>
      <c r="AZ106" s="219">
        <f t="shared" si="79"/>
        <v>217.6015836209117</v>
      </c>
    </row>
    <row r="107" spans="2:52" ht="15.75" thickBot="1" x14ac:dyDescent="0.25">
      <c r="B107" s="851"/>
      <c r="C107" s="876" t="s">
        <v>23</v>
      </c>
      <c r="D107" s="999">
        <f t="shared" si="68"/>
        <v>5678734.5744338334</v>
      </c>
      <c r="E107" s="934">
        <v>10088000</v>
      </c>
      <c r="F107" s="934">
        <v>28583000</v>
      </c>
      <c r="G107" s="1040">
        <f t="shared" si="69"/>
        <v>0.14684736816823546</v>
      </c>
      <c r="H107" s="999">
        <f>IF($K$37=2,'Data, inkomst- skkompl, kost'!H257-'Data, inkomst- skkompl, kost'!N257+'Data, inkomst- skkompl, kost'!W257,'Data, inkomst- skkompl, kost'!H257-'Data, inkomst- skkompl, kost'!N257+'Data, inkomst- skkompl, kost'!X257)</f>
        <v>46987319.007344581</v>
      </c>
      <c r="I107" s="999">
        <v>48317000</v>
      </c>
      <c r="J107" s="939">
        <f t="shared" si="63"/>
        <v>0.12085674804187468</v>
      </c>
      <c r="K107" s="934">
        <v>52558000</v>
      </c>
      <c r="L107" s="1055">
        <f t="shared" si="64"/>
        <v>0.10804700662951089</v>
      </c>
      <c r="M107" s="946">
        <f t="shared" si="65"/>
        <v>1.2394138632453335</v>
      </c>
      <c r="N107" s="1000">
        <f t="shared" si="70"/>
        <v>0.1522176547800678</v>
      </c>
      <c r="O107" s="1000">
        <f t="shared" si="71"/>
        <v>0.12182894070410002</v>
      </c>
      <c r="P107" s="1000">
        <f t="shared" si="66"/>
        <v>1.2438336590105208</v>
      </c>
      <c r="Q107" s="1060">
        <f t="shared" si="72"/>
        <v>-5.3702866118323367E-3</v>
      </c>
      <c r="R107" s="115">
        <f t="shared" si="67"/>
        <v>-4.419795765187251E-3</v>
      </c>
      <c r="S107" s="7"/>
      <c r="AC107" s="9"/>
      <c r="AD107" s="1077"/>
      <c r="AE107" s="1077"/>
      <c r="AN107" s="22"/>
      <c r="AR107" s="949" t="s">
        <v>11</v>
      </c>
      <c r="AS107" s="22">
        <f t="shared" si="74"/>
        <v>1363823.4454159897</v>
      </c>
      <c r="AT107" s="22">
        <v>1569581.0951423217</v>
      </c>
      <c r="AU107" s="1">
        <v>3158304</v>
      </c>
      <c r="AV107" s="22">
        <f t="shared" si="75"/>
        <v>1794480.5545840103</v>
      </c>
      <c r="AW107" s="219">
        <f t="shared" si="76"/>
        <v>3137.2037667552627</v>
      </c>
      <c r="AX107" s="22">
        <f t="shared" si="77"/>
        <v>1588722.9048576783</v>
      </c>
      <c r="AY107" s="219">
        <f t="shared" si="78"/>
        <v>2777.4875959050319</v>
      </c>
      <c r="AZ107" s="219">
        <f t="shared" si="79"/>
        <v>-359.71617085023081</v>
      </c>
    </row>
    <row r="108" spans="2:52" ht="16.5" thickBot="1" x14ac:dyDescent="0.3">
      <c r="B108" s="851"/>
      <c r="C108" s="874" t="s">
        <v>247</v>
      </c>
      <c r="D108" s="937">
        <f t="shared" si="68"/>
        <v>32844868.470892943</v>
      </c>
      <c r="E108" s="937">
        <f>SUM(E92:E107)</f>
        <v>35810000</v>
      </c>
      <c r="F108" s="937">
        <f>SUM(F92:F107)</f>
        <v>70564000</v>
      </c>
      <c r="G108" s="1041">
        <f t="shared" si="69"/>
        <v>0.30876782363070809</v>
      </c>
      <c r="H108" s="937">
        <f>IF($K$37=2,'Data, inkomst- skkompl, kost'!H258-'Data, inkomst- skkompl, kost'!N258+'Data, inkomst- skkompl, kost'!W258,'Data, inkomst- skkompl, kost'!H258-'Data, inkomst- skkompl, kost'!N258+'Data, inkomst- skkompl, kost'!X258)</f>
        <v>125864420.46371995</v>
      </c>
      <c r="I108" s="937">
        <v>128575000</v>
      </c>
      <c r="J108" s="941">
        <f t="shared" si="63"/>
        <v>0.26095435350103868</v>
      </c>
      <c r="K108" s="937">
        <f>SUM(K92:K107)</f>
        <v>109628000</v>
      </c>
      <c r="L108" s="1056">
        <f t="shared" si="64"/>
        <v>0.29960291596027422</v>
      </c>
      <c r="M108" s="940">
        <f t="shared" si="65"/>
        <v>1.1319550667772735</v>
      </c>
      <c r="N108" s="940">
        <f t="shared" si="70"/>
        <v>0.31774557262112924</v>
      </c>
      <c r="O108" s="940">
        <f t="shared" si="71"/>
        <v>0.26288055642232161</v>
      </c>
      <c r="P108" s="940">
        <f t="shared" si="66"/>
        <v>1.1395425888711945</v>
      </c>
      <c r="Q108" s="1060">
        <f t="shared" si="72"/>
        <v>-8.9777489904211416E-3</v>
      </c>
      <c r="R108" s="115">
        <f t="shared" si="67"/>
        <v>-7.5875220939209953E-3</v>
      </c>
      <c r="S108" s="7"/>
      <c r="AC108" s="9"/>
      <c r="AD108" s="9"/>
      <c r="AE108" s="9"/>
      <c r="AN108" s="22"/>
      <c r="AR108" s="949" t="s">
        <v>12</v>
      </c>
      <c r="AS108" s="22">
        <f t="shared" si="74"/>
        <v>1563392.9107327885</v>
      </c>
      <c r="AT108" s="22">
        <v>1749382.7152034992</v>
      </c>
      <c r="AU108" s="1">
        <v>2741472</v>
      </c>
      <c r="AV108" s="22">
        <f t="shared" si="75"/>
        <v>1178079.0892672115</v>
      </c>
      <c r="AW108" s="219">
        <f t="shared" si="76"/>
        <v>2356.1581785344229</v>
      </c>
      <c r="AX108" s="22">
        <f t="shared" si="77"/>
        <v>992089.28479650081</v>
      </c>
      <c r="AY108" s="219">
        <f t="shared" si="78"/>
        <v>1984.1785695930016</v>
      </c>
      <c r="AZ108" s="219">
        <f t="shared" si="79"/>
        <v>-371.97960894142125</v>
      </c>
    </row>
    <row r="109" spans="2:52" ht="18" x14ac:dyDescent="0.2">
      <c r="B109" s="851"/>
      <c r="C109" s="873"/>
      <c r="D109" s="1156">
        <f>SUM(D92:D107)</f>
        <v>32844868.470892943</v>
      </c>
      <c r="E109" s="839">
        <v>35810</v>
      </c>
      <c r="F109" s="839">
        <v>70564</v>
      </c>
      <c r="G109" s="859"/>
      <c r="H109" s="892">
        <f>H108-'Data, inkomst- skkompl, kost'!H258</f>
        <v>-2710579.5362800509</v>
      </c>
      <c r="I109" s="839"/>
      <c r="J109" s="839">
        <v>109628</v>
      </c>
      <c r="K109" s="666"/>
      <c r="L109" s="666"/>
      <c r="M109" s="666"/>
      <c r="N109" s="666"/>
      <c r="O109" s="666"/>
      <c r="P109" s="666"/>
      <c r="Q109" s="844"/>
      <c r="AD109" s="9"/>
      <c r="AE109" s="9"/>
      <c r="AF109" s="9"/>
      <c r="AN109" s="22"/>
      <c r="AR109" s="949" t="s">
        <v>13</v>
      </c>
      <c r="AS109" s="22">
        <f t="shared" si="74"/>
        <v>2698656.4131304249</v>
      </c>
      <c r="AT109" s="22">
        <v>2607974.5406106445</v>
      </c>
      <c r="AU109" s="1">
        <v>6862698</v>
      </c>
      <c r="AV109" s="22">
        <f t="shared" si="75"/>
        <v>4164041.5868695751</v>
      </c>
      <c r="AW109" s="219">
        <f t="shared" si="76"/>
        <v>2703.923108356867</v>
      </c>
      <c r="AX109" s="22">
        <f t="shared" si="77"/>
        <v>4254723.459389355</v>
      </c>
      <c r="AY109" s="219">
        <f t="shared" si="78"/>
        <v>2762.8074411619186</v>
      </c>
      <c r="AZ109" s="219">
        <f t="shared" si="79"/>
        <v>58.884332805051599</v>
      </c>
    </row>
    <row r="110" spans="2:52" ht="20.25" thickBot="1" x14ac:dyDescent="0.35">
      <c r="B110" s="872"/>
      <c r="C110" s="839"/>
      <c r="D110" s="839"/>
      <c r="E110" s="839"/>
      <c r="F110" s="839"/>
      <c r="G110" s="870"/>
      <c r="H110" s="1042" t="s">
        <v>716</v>
      </c>
      <c r="I110" s="839"/>
      <c r="J110" s="839"/>
      <c r="K110" s="666"/>
      <c r="L110" s="666"/>
      <c r="M110" s="666"/>
      <c r="N110" s="666"/>
      <c r="O110" s="666"/>
      <c r="P110" s="666"/>
      <c r="Q110" s="844"/>
      <c r="Z110" s="120" t="s">
        <v>734</v>
      </c>
      <c r="AB110" s="1" t="s">
        <v>747</v>
      </c>
      <c r="AE110" s="5" t="s">
        <v>740</v>
      </c>
      <c r="AF110" s="5" t="s">
        <v>740</v>
      </c>
      <c r="AR110" s="949" t="s">
        <v>14</v>
      </c>
      <c r="AS110" s="22">
        <f t="shared" si="74"/>
        <v>4505620.0777420411</v>
      </c>
      <c r="AT110" s="22">
        <v>3953605.7346562892</v>
      </c>
      <c r="AU110" s="1">
        <v>18258444</v>
      </c>
      <c r="AV110" s="22">
        <f t="shared" si="75"/>
        <v>13752823.92225796</v>
      </c>
      <c r="AW110" s="219">
        <f t="shared" si="76"/>
        <v>3108.6853350492675</v>
      </c>
      <c r="AX110" s="22">
        <f t="shared" si="77"/>
        <v>14304838.265343711</v>
      </c>
      <c r="AY110" s="219">
        <f t="shared" si="78"/>
        <v>3233.4625373742565</v>
      </c>
      <c r="AZ110" s="219">
        <f t="shared" si="79"/>
        <v>124.77720232498905</v>
      </c>
    </row>
    <row r="111" spans="2:52" ht="18" thickTop="1" thickBot="1" x14ac:dyDescent="0.3">
      <c r="B111" s="872"/>
      <c r="C111" s="880">
        <v>2015</v>
      </c>
      <c r="D111" s="1165" t="s">
        <v>612</v>
      </c>
      <c r="E111" s="1042" t="s">
        <v>588</v>
      </c>
      <c r="F111" s="839"/>
      <c r="G111" s="870"/>
      <c r="H111" s="1042" t="s">
        <v>589</v>
      </c>
      <c r="I111" s="839"/>
      <c r="J111" s="839"/>
      <c r="K111" s="1070" t="s">
        <v>590</v>
      </c>
      <c r="L111" s="666"/>
      <c r="M111" s="666"/>
      <c r="N111" s="947" t="s">
        <v>519</v>
      </c>
      <c r="O111" s="666"/>
      <c r="P111" s="666"/>
      <c r="Q111" s="844" t="s">
        <v>591</v>
      </c>
      <c r="Z111" s="5" t="s">
        <v>735</v>
      </c>
      <c r="AA111" s="5"/>
      <c r="AB111" s="1" t="s">
        <v>748</v>
      </c>
      <c r="AC111" s="5"/>
      <c r="AD111" s="5"/>
      <c r="AE111" s="5" t="s">
        <v>745</v>
      </c>
      <c r="AF111" s="5" t="s">
        <v>746</v>
      </c>
      <c r="AK111" s="1" t="s">
        <v>753</v>
      </c>
      <c r="AM111" s="1" t="s">
        <v>752</v>
      </c>
      <c r="AN111" s="1" t="s">
        <v>751</v>
      </c>
      <c r="AR111" s="949" t="s">
        <v>15</v>
      </c>
      <c r="AS111" s="22">
        <f t="shared" si="74"/>
        <v>865546.32017039647</v>
      </c>
      <c r="AT111" s="22">
        <v>849781.00686282944</v>
      </c>
      <c r="AU111" s="1">
        <v>1817628</v>
      </c>
      <c r="AV111" s="22">
        <f t="shared" si="75"/>
        <v>952081.67982960353</v>
      </c>
      <c r="AW111" s="219">
        <f t="shared" si="76"/>
        <v>2885.0959994836471</v>
      </c>
      <c r="AX111" s="22">
        <f t="shared" si="77"/>
        <v>967846.99313717056</v>
      </c>
      <c r="AY111" s="219">
        <f t="shared" si="78"/>
        <v>2932.869676173244</v>
      </c>
      <c r="AZ111" s="219">
        <f t="shared" si="79"/>
        <v>47.773676689596869</v>
      </c>
    </row>
    <row r="112" spans="2:52" ht="16.5" thickBot="1" x14ac:dyDescent="0.3">
      <c r="B112" s="872"/>
      <c r="C112" s="881"/>
      <c r="D112" s="885" t="s">
        <v>181</v>
      </c>
      <c r="E112" s="886" t="s">
        <v>182</v>
      </c>
      <c r="F112" s="887" t="s">
        <v>183</v>
      </c>
      <c r="G112" s="884" t="s">
        <v>705</v>
      </c>
      <c r="H112" s="667" t="s">
        <v>505</v>
      </c>
      <c r="I112" s="667" t="s">
        <v>715</v>
      </c>
      <c r="J112" s="884" t="s">
        <v>531</v>
      </c>
      <c r="K112" s="1071" t="s">
        <v>185</v>
      </c>
      <c r="L112" s="884" t="s">
        <v>530</v>
      </c>
      <c r="M112" s="884" t="s">
        <v>520</v>
      </c>
      <c r="N112" s="884" t="s">
        <v>705</v>
      </c>
      <c r="O112" s="884" t="s">
        <v>704</v>
      </c>
      <c r="P112" s="884" t="s">
        <v>522</v>
      </c>
      <c r="Q112" s="1060" t="s">
        <v>592</v>
      </c>
      <c r="R112" s="115" t="s">
        <v>593</v>
      </c>
      <c r="Z112" s="5" t="s">
        <v>731</v>
      </c>
      <c r="AA112" s="5" t="s">
        <v>732</v>
      </c>
      <c r="AB112" s="1" t="s">
        <v>749</v>
      </c>
      <c r="AC112" s="5" t="s">
        <v>733</v>
      </c>
      <c r="AD112" s="5"/>
      <c r="AE112" s="5" t="s">
        <v>744</v>
      </c>
      <c r="AF112" s="5" t="s">
        <v>744</v>
      </c>
      <c r="AH112" s="1" t="s">
        <v>755</v>
      </c>
      <c r="AI112" s="1" t="s">
        <v>754</v>
      </c>
      <c r="AJ112" s="1" t="s">
        <v>318</v>
      </c>
      <c r="AK112" s="1" t="s">
        <v>751</v>
      </c>
      <c r="AL112" s="25" t="s">
        <v>752</v>
      </c>
      <c r="AM112" s="1" t="s">
        <v>756</v>
      </c>
      <c r="AR112" s="949" t="s">
        <v>16</v>
      </c>
      <c r="AS112" s="22">
        <f t="shared" si="74"/>
        <v>727452.38903866254</v>
      </c>
      <c r="AT112" s="22">
        <v>673661.53503027791</v>
      </c>
      <c r="AU112" s="1">
        <v>1466928</v>
      </c>
      <c r="AV112" s="22">
        <f t="shared" si="75"/>
        <v>739475.61096133746</v>
      </c>
      <c r="AW112" s="219">
        <f t="shared" si="76"/>
        <v>2946.1179719575198</v>
      </c>
      <c r="AX112" s="22">
        <f t="shared" si="77"/>
        <v>793266.46496972209</v>
      </c>
      <c r="AY112" s="219">
        <f t="shared" si="78"/>
        <v>3160.4241632259846</v>
      </c>
      <c r="AZ112" s="219">
        <f t="shared" si="79"/>
        <v>214.30619126846477</v>
      </c>
    </row>
    <row r="113" spans="2:52" x14ac:dyDescent="0.2">
      <c r="B113" s="872"/>
      <c r="C113" s="875" t="s">
        <v>8</v>
      </c>
      <c r="D113" s="996">
        <f>AB64</f>
        <v>1158709.4992299762</v>
      </c>
      <c r="E113" s="966">
        <f>E92*$O$30</f>
        <v>704406</v>
      </c>
      <c r="F113" s="966">
        <f>F92*$O$30</f>
        <v>953904</v>
      </c>
      <c r="G113" s="1044">
        <f>D113/(E113+F113)</f>
        <v>0.69872912738268245</v>
      </c>
      <c r="H113" s="996">
        <f>IF($K$37=2,'Data, inkomst- skkompl, kost'!I242-'Data, inkomst- skkompl, kost'!Q242+'Data, inkomst- skkompl, kost'!Z242,'Data, inkomst- skkompl, kost'!I242-'Data, inkomst- skkompl, kost'!Q242+'Data, inkomst- skkompl, kost'!AA242)</f>
        <v>2403345.2044177242</v>
      </c>
      <c r="I113" s="996">
        <v>2435862</v>
      </c>
      <c r="J113" s="997">
        <f t="shared" ref="J113:J129" si="80">D113/H113</f>
        <v>0.48212362381404344</v>
      </c>
      <c r="K113" s="1072">
        <f t="shared" ref="K113:K129" si="81">K92*$O$30</f>
        <v>1428852</v>
      </c>
      <c r="L113" s="1051">
        <f t="shared" ref="L113:L129" si="82">D113/K113</f>
        <v>0.81093738135928439</v>
      </c>
      <c r="M113" s="942">
        <f t="shared" ref="M113:M129" si="83">(K113+D113)/H113</f>
        <v>1.0766499521057704</v>
      </c>
      <c r="N113" s="998">
        <f>AN64/(E113+F113)</f>
        <v>0.71411398257147052</v>
      </c>
      <c r="O113" s="998">
        <f>AN64/I113</f>
        <v>0.48616151425577281</v>
      </c>
      <c r="P113" s="998">
        <f t="shared" ref="P113:P129" si="84">(AN64+K113)/H113</f>
        <v>1.0872655137659193</v>
      </c>
      <c r="Q113" s="1060">
        <f>G113-N113</f>
        <v>-1.5384855188788071E-2</v>
      </c>
      <c r="R113" s="115">
        <f t="shared" ref="R113:R129" si="85">M113-P113</f>
        <v>-1.0615561660148876E-2</v>
      </c>
      <c r="Y113" s="875" t="s">
        <v>8</v>
      </c>
      <c r="Z113" s="22">
        <f>AJ113-AB64</f>
        <v>1277152.5007700238</v>
      </c>
      <c r="AA113" s="22">
        <f t="shared" ref="AA113:AA128" si="86">Z113/L172</f>
        <v>2688.7421068842605</v>
      </c>
      <c r="AB113" s="1059">
        <f>R71</f>
        <v>-1.3175541885695807E-2</v>
      </c>
      <c r="AC113" s="1329">
        <f>Z113/('Data, inkomst- skkompl, kost'!N97*1000)*100</f>
        <v>15.264753335042904</v>
      </c>
      <c r="AE113" s="22">
        <f t="shared" ref="AE113:AE128" si="87">(AD64-AN64)/L172</f>
        <v>50.173962433853333</v>
      </c>
      <c r="AF113" s="1331">
        <f t="shared" ref="AF113:AF129" si="88">AH20</f>
        <v>0.97233198028991041</v>
      </c>
      <c r="AG113" s="1330"/>
      <c r="AH113" s="219">
        <f>AN64</f>
        <v>1184222.3584380953</v>
      </c>
      <c r="AI113" s="219">
        <f>AB64</f>
        <v>1158709.4992299762</v>
      </c>
      <c r="AJ113" s="1">
        <v>2435862</v>
      </c>
      <c r="AK113" s="1">
        <v>2635.0308243408522</v>
      </c>
      <c r="AL113" s="219">
        <v>2748.5002909094746</v>
      </c>
      <c r="AM113" s="22">
        <f>(AI113+K113-AJ113)/L172</f>
        <v>319.36736679994942</v>
      </c>
      <c r="AN113" s="22">
        <f>(AH113+K113-AJ113)/L172</f>
        <v>373.07864934335805</v>
      </c>
      <c r="AR113" s="949" t="s">
        <v>17</v>
      </c>
      <c r="AS113" s="22">
        <f t="shared" si="74"/>
        <v>2462466.2393725505</v>
      </c>
      <c r="AT113" s="22">
        <v>2744175.4767429889</v>
      </c>
      <c r="AU113" s="1">
        <v>8920806</v>
      </c>
      <c r="AV113" s="22">
        <f t="shared" si="75"/>
        <v>6458339.7606274495</v>
      </c>
      <c r="AW113" s="219">
        <f t="shared" si="76"/>
        <v>3353.2397511045947</v>
      </c>
      <c r="AX113" s="22">
        <f t="shared" si="77"/>
        <v>6176630.5232570115</v>
      </c>
      <c r="AY113" s="219">
        <f t="shared" si="78"/>
        <v>3206.9732727191131</v>
      </c>
      <c r="AZ113" s="219">
        <f t="shared" si="79"/>
        <v>-146.26647838548161</v>
      </c>
    </row>
    <row r="114" spans="2:52" x14ac:dyDescent="0.2">
      <c r="B114" s="872"/>
      <c r="C114" s="876" t="s">
        <v>9</v>
      </c>
      <c r="D114" s="999">
        <f t="shared" ref="D114:D129" si="89">AB65</f>
        <v>2048907.029493511</v>
      </c>
      <c r="E114" s="967">
        <f t="shared" ref="E114:F129" si="90">E93*$O$30</f>
        <v>1192380</v>
      </c>
      <c r="F114" s="967">
        <f t="shared" si="90"/>
        <v>2783556</v>
      </c>
      <c r="G114" s="1045">
        <f t="shared" ref="G114:G129" si="91">D114/(E114+F114)</f>
        <v>0.51532696439115488</v>
      </c>
      <c r="H114" s="999">
        <f>IF($K$37=2,'Data, inkomst- skkompl, kost'!I243-'Data, inkomst- skkompl, kost'!Q243+'Data, inkomst- skkompl, kost'!Z243,'Data, inkomst- skkompl, kost'!I243-'Data, inkomst- skkompl, kost'!Q243+'Data, inkomst- skkompl, kost'!AA243)</f>
        <v>4783021.5724150902</v>
      </c>
      <c r="I114" s="999">
        <v>4912806</v>
      </c>
      <c r="J114" s="939">
        <f t="shared" si="80"/>
        <v>0.42837085270743547</v>
      </c>
      <c r="K114" s="1073">
        <f t="shared" si="81"/>
        <v>2940870</v>
      </c>
      <c r="L114" s="1052">
        <f t="shared" si="82"/>
        <v>0.69670098627056309</v>
      </c>
      <c r="M114" s="943">
        <f t="shared" si="83"/>
        <v>1.043226954749866</v>
      </c>
      <c r="N114" s="945">
        <f>AN65/(E114+F114)</f>
        <v>0.56852723971220387</v>
      </c>
      <c r="O114" s="945">
        <f t="shared" ref="O114:O129" si="92">AN65/I114</f>
        <v>0.46010933860453296</v>
      </c>
      <c r="P114" s="945">
        <f t="shared" si="84"/>
        <v>1.0874502321606905</v>
      </c>
      <c r="Q114" s="1060">
        <f t="shared" ref="Q114:Q129" si="93">G114-N114</f>
        <v>-5.3200275321048984E-2</v>
      </c>
      <c r="R114" s="115">
        <f t="shared" si="85"/>
        <v>-4.4223277410824435E-2</v>
      </c>
      <c r="Y114" s="876" t="s">
        <v>9</v>
      </c>
      <c r="Z114" s="22">
        <f t="shared" ref="Z114:Z129" si="94">AJ114-AB65</f>
        <v>2863898.9705064893</v>
      </c>
      <c r="AA114" s="22">
        <f t="shared" si="86"/>
        <v>3024.1805390776021</v>
      </c>
      <c r="AB114" s="1059">
        <f t="shared" ref="AB114:AB129" si="95">R72</f>
        <v>-6.875138434320871E-2</v>
      </c>
      <c r="AC114" s="1329">
        <f>Z114/('Data, inkomst- skkompl, kost'!N98*1000)*100</f>
        <v>20.982493014449854</v>
      </c>
      <c r="AE114" s="22">
        <f t="shared" si="87"/>
        <v>-131.21955376938763</v>
      </c>
      <c r="AF114" s="1331">
        <f t="shared" si="88"/>
        <v>0.84869553258732322</v>
      </c>
      <c r="AH114" s="219">
        <f t="shared" ref="AH114:AH129" si="96">AN65</f>
        <v>2260427.919352381</v>
      </c>
      <c r="AI114" s="219">
        <f t="shared" ref="AI114:AI129" si="97">AB65</f>
        <v>2048907.029493511</v>
      </c>
      <c r="AJ114" s="1">
        <v>4912806</v>
      </c>
      <c r="AK114" s="1">
        <v>2800.8216268718256</v>
      </c>
      <c r="AL114" s="219">
        <v>3003.1273473595675</v>
      </c>
      <c r="AM114" s="22">
        <f t="shared" ref="AM114:AM128" si="98">(AI114+K114-AJ114)/L173</f>
        <v>81.27880622334817</v>
      </c>
      <c r="AN114" s="22">
        <f t="shared" ref="AN114:AN128" si="99">(AH114+K114-AJ114)/L173</f>
        <v>304.63771842912416</v>
      </c>
      <c r="AR114" s="949" t="s">
        <v>18</v>
      </c>
      <c r="AS114" s="22">
        <f t="shared" si="74"/>
        <v>682427.51721788337</v>
      </c>
      <c r="AT114" s="22">
        <v>678718.84852217569</v>
      </c>
      <c r="AU114" s="1">
        <v>2292576</v>
      </c>
      <c r="AV114" s="22">
        <f t="shared" si="75"/>
        <v>1610148.4827821166</v>
      </c>
      <c r="AW114" s="219">
        <f t="shared" si="76"/>
        <v>3898.6646072206213</v>
      </c>
      <c r="AX114" s="22">
        <f t="shared" si="77"/>
        <v>1613857.1514778244</v>
      </c>
      <c r="AY114" s="219">
        <f t="shared" si="78"/>
        <v>3907.6444345710033</v>
      </c>
      <c r="AZ114" s="219">
        <f t="shared" si="79"/>
        <v>8.9798273503820383</v>
      </c>
    </row>
    <row r="115" spans="2:52" x14ac:dyDescent="0.2">
      <c r="B115" s="872"/>
      <c r="C115" s="876" t="s">
        <v>10</v>
      </c>
      <c r="D115" s="999">
        <f t="shared" si="89"/>
        <v>3783534.6847039587</v>
      </c>
      <c r="E115" s="967">
        <f t="shared" si="90"/>
        <v>3613212</v>
      </c>
      <c r="F115" s="967">
        <f t="shared" si="90"/>
        <v>5761500</v>
      </c>
      <c r="G115" s="1045">
        <f t="shared" si="91"/>
        <v>0.40358943130241853</v>
      </c>
      <c r="H115" s="999">
        <f>IF($K$37=2,'Data, inkomst- skkompl, kost'!I244-'Data, inkomst- skkompl, kost'!Q244+'Data, inkomst- skkompl, kost'!Z244,'Data, inkomst- skkompl, kost'!I244-'Data, inkomst- skkompl, kost'!Q244+'Data, inkomst- skkompl, kost'!AA244)</f>
        <v>10868092.452064244</v>
      </c>
      <c r="I115" s="999">
        <v>11072100</v>
      </c>
      <c r="J115" s="939">
        <f t="shared" si="80"/>
        <v>0.34813236098164851</v>
      </c>
      <c r="K115" s="1073">
        <f t="shared" si="81"/>
        <v>8789544</v>
      </c>
      <c r="L115" s="1052">
        <f t="shared" si="82"/>
        <v>0.43045858632756817</v>
      </c>
      <c r="M115" s="943">
        <f t="shared" si="83"/>
        <v>1.1568799897645219</v>
      </c>
      <c r="N115" s="945">
        <f t="shared" ref="N115:N129" si="100">AN66/(E115+F115)</f>
        <v>0.363332598718766</v>
      </c>
      <c r="O115" s="945">
        <f t="shared" si="92"/>
        <v>0.30763256050794341</v>
      </c>
      <c r="P115" s="945">
        <f t="shared" si="84"/>
        <v>1.1221548332415592</v>
      </c>
      <c r="Q115" s="1060">
        <f t="shared" si="93"/>
        <v>4.0256832583652535E-2</v>
      </c>
      <c r="R115" s="115">
        <f t="shared" si="85"/>
        <v>3.4725156522962708E-2</v>
      </c>
      <c r="Y115" s="876" t="s">
        <v>10</v>
      </c>
      <c r="Z115" s="22">
        <f t="shared" si="94"/>
        <v>7288565.3152960408</v>
      </c>
      <c r="AA115" s="22">
        <f t="shared" si="86"/>
        <v>2892.287823530175</v>
      </c>
      <c r="AB115" s="1059">
        <f t="shared" si="95"/>
        <v>4.2863797070970877E-2</v>
      </c>
      <c r="AC115" s="1329">
        <f>Z115/('Data, inkomst- skkompl, kost'!N99*1000)*100</f>
        <v>17.448038881751955</v>
      </c>
      <c r="AE115" s="22">
        <f t="shared" si="87"/>
        <v>213.70002705182674</v>
      </c>
      <c r="AF115" s="1331">
        <f t="shared" si="88"/>
        <v>1.1461276295040337</v>
      </c>
      <c r="AH115" s="219">
        <f t="shared" si="96"/>
        <v>3406138.4732000004</v>
      </c>
      <c r="AI115" s="219">
        <f t="shared" si="97"/>
        <v>3783534.6847039587</v>
      </c>
      <c r="AJ115" s="1">
        <v>11072100</v>
      </c>
      <c r="AK115" s="1">
        <v>3042.0482249206348</v>
      </c>
      <c r="AL115" s="219">
        <v>2876.3650014228997</v>
      </c>
      <c r="AM115" s="22">
        <f t="shared" si="98"/>
        <v>595.62646218411078</v>
      </c>
      <c r="AN115" s="22">
        <f t="shared" si="99"/>
        <v>445.86606079365112</v>
      </c>
      <c r="AR115" s="949" t="s">
        <v>19</v>
      </c>
      <c r="AS115" s="22">
        <f t="shared" si="74"/>
        <v>2383375.9982121177</v>
      </c>
      <c r="AT115" s="22">
        <v>2846110.7489955411</v>
      </c>
      <c r="AU115" s="1">
        <v>8132232</v>
      </c>
      <c r="AV115" s="22">
        <f t="shared" si="75"/>
        <v>5748856.0017878823</v>
      </c>
      <c r="AW115" s="219">
        <f t="shared" si="76"/>
        <v>3170.9078884654618</v>
      </c>
      <c r="AX115" s="22">
        <f t="shared" si="77"/>
        <v>5286121.2510044593</v>
      </c>
      <c r="AY115" s="219">
        <f t="shared" si="78"/>
        <v>2915.6763656946823</v>
      </c>
      <c r="AZ115" s="219">
        <f t="shared" si="79"/>
        <v>-255.23152277077952</v>
      </c>
    </row>
    <row r="116" spans="2:52" x14ac:dyDescent="0.2">
      <c r="B116" s="872"/>
      <c r="C116" s="876" t="s">
        <v>11</v>
      </c>
      <c r="D116" s="999">
        <f t="shared" si="89"/>
        <v>1259900.7957045445</v>
      </c>
      <c r="E116" s="967">
        <f t="shared" si="90"/>
        <v>988974</v>
      </c>
      <c r="F116" s="967">
        <f t="shared" si="90"/>
        <v>1468932</v>
      </c>
      <c r="G116" s="1046">
        <f t="shared" si="91"/>
        <v>0.51259112256715456</v>
      </c>
      <c r="H116" s="999">
        <f>IF($K$37=2,'Data, inkomst- skkompl, kost'!I245-'Data, inkomst- skkompl, kost'!Q245+'Data, inkomst- skkompl, kost'!Z245,'Data, inkomst- skkompl, kost'!I245-'Data, inkomst- skkompl, kost'!Q245+'Data, inkomst- skkompl, kost'!AA245)</f>
        <v>3137521.5263017626</v>
      </c>
      <c r="I116" s="999">
        <v>3158304</v>
      </c>
      <c r="J116" s="939">
        <f t="shared" si="80"/>
        <v>0.40155925151200667</v>
      </c>
      <c r="K116" s="1073">
        <f t="shared" si="81"/>
        <v>1865724</v>
      </c>
      <c r="L116" s="1052">
        <f t="shared" si="82"/>
        <v>0.6752878752187057</v>
      </c>
      <c r="M116" s="943">
        <f t="shared" si="83"/>
        <v>0.99620823937063441</v>
      </c>
      <c r="N116" s="945">
        <f t="shared" si="100"/>
        <v>0.62815305915259734</v>
      </c>
      <c r="O116" s="945">
        <f t="shared" si="92"/>
        <v>0.4888513496514344</v>
      </c>
      <c r="P116" s="945">
        <f t="shared" si="84"/>
        <v>1.0867384157929718</v>
      </c>
      <c r="Q116" s="1060">
        <f t="shared" si="93"/>
        <v>-0.11556193658544278</v>
      </c>
      <c r="R116" s="115">
        <f t="shared" si="85"/>
        <v>-9.0530176422337405E-2</v>
      </c>
      <c r="Y116" s="876" t="s">
        <v>11</v>
      </c>
      <c r="Z116" s="22">
        <f t="shared" si="94"/>
        <v>1898403.2042954555</v>
      </c>
      <c r="AA116" s="22">
        <f t="shared" si="86"/>
        <v>3318.8867207962508</v>
      </c>
      <c r="AB116" s="1059">
        <f t="shared" si="95"/>
        <v>-8.0237531780996907E-2</v>
      </c>
      <c r="AC116" s="1329">
        <f>Z116/('Data, inkomst- skkompl, kost'!N100*1000)*100</f>
        <v>21.117398325505498</v>
      </c>
      <c r="AE116" s="22">
        <f t="shared" si="87"/>
        <v>-402.77184134675923</v>
      </c>
      <c r="AF116" s="1331">
        <f t="shared" si="88"/>
        <v>0.83958860067065899</v>
      </c>
      <c r="AH116" s="219">
        <f t="shared" si="96"/>
        <v>1543941.1730095239</v>
      </c>
      <c r="AI116" s="219">
        <f t="shared" si="97"/>
        <v>1259900.7957045445</v>
      </c>
      <c r="AJ116" s="1">
        <v>3158304</v>
      </c>
      <c r="AK116" s="1">
        <v>2822.3126345987343</v>
      </c>
      <c r="AL116" s="219">
        <v>3310.5705036656755</v>
      </c>
      <c r="AM116" s="22">
        <f t="shared" si="98"/>
        <v>-57.131476041006081</v>
      </c>
      <c r="AN116" s="22">
        <f t="shared" si="99"/>
        <v>439.44261015651068</v>
      </c>
      <c r="AR116" s="949" t="s">
        <v>20</v>
      </c>
      <c r="AS116" s="22">
        <f t="shared" si="74"/>
        <v>233651.96482365657</v>
      </c>
      <c r="AT116" s="22">
        <v>263009.30079368257</v>
      </c>
      <c r="AU116" s="1">
        <v>579156</v>
      </c>
      <c r="AV116" s="22">
        <f t="shared" si="75"/>
        <v>345504.0351763434</v>
      </c>
      <c r="AW116" s="219">
        <f t="shared" si="76"/>
        <v>3455.040351763434</v>
      </c>
      <c r="AX116" s="22">
        <f t="shared" si="77"/>
        <v>316146.69920631743</v>
      </c>
      <c r="AY116" s="219">
        <f t="shared" si="78"/>
        <v>3161.4669920631741</v>
      </c>
      <c r="AZ116" s="219">
        <f t="shared" si="79"/>
        <v>-293.57335970025997</v>
      </c>
    </row>
    <row r="117" spans="2:52" x14ac:dyDescent="0.2">
      <c r="B117" s="872"/>
      <c r="C117" s="876" t="s">
        <v>12</v>
      </c>
      <c r="D117" s="999">
        <f t="shared" si="89"/>
        <v>1531301.5680215587</v>
      </c>
      <c r="E117" s="967">
        <f t="shared" si="90"/>
        <v>816630</v>
      </c>
      <c r="F117" s="967">
        <f t="shared" si="90"/>
        <v>1661316</v>
      </c>
      <c r="G117" s="1046">
        <f t="shared" si="91"/>
        <v>0.61797213015197217</v>
      </c>
      <c r="H117" s="999">
        <f>IF($K$37=2,'Data, inkomst- skkompl, kost'!I246-'Data, inkomst- skkompl, kost'!Q246+'Data, inkomst- skkompl, kost'!Z246,'Data, inkomst- skkompl, kost'!I246-'Data, inkomst- skkompl, kost'!Q246+'Data, inkomst- skkompl, kost'!AA246)</f>
        <v>2649576.7081370465</v>
      </c>
      <c r="I117" s="999">
        <v>2741472</v>
      </c>
      <c r="J117" s="939">
        <f t="shared" si="80"/>
        <v>0.57794196458582159</v>
      </c>
      <c r="K117" s="1073">
        <f t="shared" si="81"/>
        <v>1114224</v>
      </c>
      <c r="L117" s="1052">
        <f t="shared" si="82"/>
        <v>1.3743211131886934</v>
      </c>
      <c r="M117" s="943">
        <f t="shared" si="83"/>
        <v>0.99847102365330787</v>
      </c>
      <c r="N117" s="945">
        <f t="shared" si="100"/>
        <v>0.71185347820908351</v>
      </c>
      <c r="O117" s="945">
        <f t="shared" si="92"/>
        <v>0.6434260422555057</v>
      </c>
      <c r="P117" s="945">
        <f t="shared" si="84"/>
        <v>1.0862710523062977</v>
      </c>
      <c r="Q117" s="1060">
        <f t="shared" si="93"/>
        <v>-9.3881348057111347E-2</v>
      </c>
      <c r="R117" s="115">
        <f t="shared" si="85"/>
        <v>-8.7800028652989859E-2</v>
      </c>
      <c r="Y117" s="876" t="s">
        <v>12</v>
      </c>
      <c r="Z117" s="22">
        <f t="shared" si="94"/>
        <v>1210170.4319784413</v>
      </c>
      <c r="AA117" s="22">
        <f t="shared" si="86"/>
        <v>2420.3408639568825</v>
      </c>
      <c r="AB117" s="1059">
        <f t="shared" si="95"/>
        <v>-6.389675831713082E-2</v>
      </c>
      <c r="AC117" s="1329">
        <f>Z117/('Data, inkomst- skkompl, kost'!N101*1000)*100</f>
        <v>19.892029489904264</v>
      </c>
      <c r="AE117" s="22">
        <f t="shared" si="87"/>
        <v>-334.83998450525894</v>
      </c>
      <c r="AF117" s="1331">
        <f t="shared" si="88"/>
        <v>0.90755393597271727</v>
      </c>
      <c r="AH117" s="219">
        <f t="shared" si="96"/>
        <v>1763934.4789142858</v>
      </c>
      <c r="AI117" s="219">
        <f t="shared" si="97"/>
        <v>1531301.5680215587</v>
      </c>
      <c r="AJ117" s="1">
        <v>2741472</v>
      </c>
      <c r="AK117" s="1">
        <v>1955.0750421714285</v>
      </c>
      <c r="AL117" s="219">
        <v>2400.5838846519664</v>
      </c>
      <c r="AM117" s="22">
        <f t="shared" si="98"/>
        <v>-191.89286395688262</v>
      </c>
      <c r="AN117" s="22">
        <f t="shared" si="99"/>
        <v>273.372957828572</v>
      </c>
      <c r="AR117" s="949" t="s">
        <v>21</v>
      </c>
      <c r="AS117" s="22">
        <f t="shared" si="74"/>
        <v>2187634.7997886171</v>
      </c>
      <c r="AT117" s="22">
        <v>2165111.6623294731</v>
      </c>
      <c r="AU117" s="1">
        <v>5249478</v>
      </c>
      <c r="AV117" s="22">
        <f t="shared" si="75"/>
        <v>3061843.2002113829</v>
      </c>
      <c r="AW117" s="219">
        <f t="shared" si="76"/>
        <v>2975.5521867943467</v>
      </c>
      <c r="AX117" s="22">
        <f t="shared" si="77"/>
        <v>3084366.3376705269</v>
      </c>
      <c r="AY117" s="219">
        <f t="shared" si="78"/>
        <v>2997.4405613902109</v>
      </c>
      <c r="AZ117" s="219">
        <f t="shared" si="79"/>
        <v>21.888374595864207</v>
      </c>
    </row>
    <row r="118" spans="2:52" x14ac:dyDescent="0.2">
      <c r="B118" s="872"/>
      <c r="C118" s="876" t="s">
        <v>13</v>
      </c>
      <c r="D118" s="999">
        <f t="shared" si="89"/>
        <v>2707884.0911874031</v>
      </c>
      <c r="E118" s="967">
        <f t="shared" si="90"/>
        <v>2210412</v>
      </c>
      <c r="F118" s="967">
        <f t="shared" si="90"/>
        <v>3793572</v>
      </c>
      <c r="G118" s="1046">
        <f t="shared" si="91"/>
        <v>0.45101454154231641</v>
      </c>
      <c r="H118" s="999">
        <f>IF($K$37=2,'Data, inkomst- skkompl, kost'!I247-'Data, inkomst- skkompl, kost'!Q247+'Data, inkomst- skkompl, kost'!Z247,'Data, inkomst- skkompl, kost'!I247-'Data, inkomst- skkompl, kost'!Q247+'Data, inkomst- skkompl, kost'!AA247)</f>
        <v>6725561.9490660541</v>
      </c>
      <c r="I118" s="999">
        <v>6862698</v>
      </c>
      <c r="J118" s="939">
        <f t="shared" si="80"/>
        <v>0.40262570052803298</v>
      </c>
      <c r="K118" s="1073">
        <f t="shared" si="81"/>
        <v>4393770</v>
      </c>
      <c r="L118" s="1052">
        <f t="shared" si="82"/>
        <v>0.61630082848838308</v>
      </c>
      <c r="M118" s="943">
        <f t="shared" si="83"/>
        <v>1.0559198093734865</v>
      </c>
      <c r="N118" s="945">
        <f t="shared" si="100"/>
        <v>0.46419880329302604</v>
      </c>
      <c r="O118" s="945">
        <f t="shared" si="92"/>
        <v>0.40611464875628739</v>
      </c>
      <c r="P118" s="945">
        <f t="shared" si="84"/>
        <v>1.0676895465646019</v>
      </c>
      <c r="Q118" s="1060">
        <f t="shared" si="93"/>
        <v>-1.3184261750709636E-2</v>
      </c>
      <c r="R118" s="115">
        <f t="shared" si="85"/>
        <v>-1.1769737191115404E-2</v>
      </c>
      <c r="Y118" s="876" t="s">
        <v>13</v>
      </c>
      <c r="Z118" s="22">
        <f t="shared" si="94"/>
        <v>4154813.9088125969</v>
      </c>
      <c r="AA118" s="22">
        <f t="shared" si="86"/>
        <v>2697.9311096185693</v>
      </c>
      <c r="AB118" s="1059">
        <f t="shared" si="95"/>
        <v>1.8472143905053362E-2</v>
      </c>
      <c r="AC118" s="1329">
        <f>Z118/('Data, inkomst- skkompl, kost'!N102*1000)*100</f>
        <v>17.215548564389302</v>
      </c>
      <c r="AE118" s="22">
        <f t="shared" si="87"/>
        <v>23.481470532878603</v>
      </c>
      <c r="AF118" s="1331">
        <f t="shared" si="88"/>
        <v>1.0515087646257126</v>
      </c>
      <c r="AH118" s="219">
        <f t="shared" si="96"/>
        <v>2787042.1877904758</v>
      </c>
      <c r="AI118" s="219">
        <f t="shared" si="97"/>
        <v>2707884.0911874031</v>
      </c>
      <c r="AJ118" s="1">
        <v>6862698</v>
      </c>
      <c r="AK118" s="1">
        <v>2646.5297481880029</v>
      </c>
      <c r="AL118" s="219">
        <v>2679.7271362074603</v>
      </c>
      <c r="AM118" s="22">
        <f t="shared" si="98"/>
        <v>155.16629297883287</v>
      </c>
      <c r="AN118" s="22">
        <f t="shared" si="99"/>
        <v>206.56765440939986</v>
      </c>
      <c r="AR118" s="949" t="s">
        <v>22</v>
      </c>
      <c r="AS118" s="22">
        <f t="shared" si="74"/>
        <v>1342021.5525856591</v>
      </c>
      <c r="AT118" s="22">
        <v>1408500.8916702408</v>
      </c>
      <c r="AU118" s="1">
        <v>2518026</v>
      </c>
      <c r="AV118" s="22">
        <f t="shared" si="75"/>
        <v>1176004.4474143409</v>
      </c>
      <c r="AW118" s="219">
        <f t="shared" si="76"/>
        <v>2715.9456060377388</v>
      </c>
      <c r="AX118" s="22">
        <f t="shared" si="77"/>
        <v>1109525.1083297592</v>
      </c>
      <c r="AY118" s="219">
        <f t="shared" si="78"/>
        <v>2562.4136451033701</v>
      </c>
      <c r="AZ118" s="219">
        <f t="shared" si="79"/>
        <v>-153.53196093436873</v>
      </c>
    </row>
    <row r="119" spans="2:52" x14ac:dyDescent="0.2">
      <c r="B119" s="872"/>
      <c r="C119" s="877" t="s">
        <v>14</v>
      </c>
      <c r="D119" s="995">
        <f t="shared" si="89"/>
        <v>4309291.8289629482</v>
      </c>
      <c r="E119" s="967">
        <f t="shared" si="90"/>
        <v>6350676</v>
      </c>
      <c r="F119" s="967">
        <f t="shared" si="90"/>
        <v>9922806</v>
      </c>
      <c r="G119" s="1046">
        <f t="shared" si="91"/>
        <v>0.26480453470025334</v>
      </c>
      <c r="H119" s="995">
        <f>IF($K$37=2,'Data, inkomst- skkompl, kost'!I248-'Data, inkomst- skkompl, kost'!Q248+'Data, inkomst- skkompl, kost'!Z248,'Data, inkomst- skkompl, kost'!I248-'Data, inkomst- skkompl, kost'!Q248+'Data, inkomst- skkompl, kost'!AA248)</f>
        <v>17954765.404735964</v>
      </c>
      <c r="I119" s="995">
        <v>18258444</v>
      </c>
      <c r="J119" s="939">
        <f t="shared" si="80"/>
        <v>0.24000825027913078</v>
      </c>
      <c r="K119" s="1074">
        <f t="shared" si="81"/>
        <v>15774486</v>
      </c>
      <c r="L119" s="1053">
        <f t="shared" si="82"/>
        <v>0.27318112482162321</v>
      </c>
      <c r="M119" s="944">
        <f t="shared" si="83"/>
        <v>1.1185764545642802</v>
      </c>
      <c r="N119" s="945">
        <f t="shared" si="100"/>
        <v>0.23887953624301467</v>
      </c>
      <c r="O119" s="945">
        <f t="shared" si="92"/>
        <v>0.21290980946783017</v>
      </c>
      <c r="P119" s="945">
        <f t="shared" si="84"/>
        <v>1.0950790717673644</v>
      </c>
      <c r="Q119" s="1060">
        <f t="shared" si="93"/>
        <v>2.5924998457238668E-2</v>
      </c>
      <c r="R119" s="115">
        <f t="shared" si="85"/>
        <v>2.3497382796915822E-2</v>
      </c>
      <c r="Y119" s="877" t="s">
        <v>14</v>
      </c>
      <c r="Z119" s="22">
        <f t="shared" si="94"/>
        <v>13949152.171037052</v>
      </c>
      <c r="AA119" s="22">
        <f t="shared" si="86"/>
        <v>3153.0633298004186</v>
      </c>
      <c r="AB119" s="1059">
        <f t="shared" si="95"/>
        <v>9.2281321528602245E-3</v>
      </c>
      <c r="AC119" s="1329">
        <f>Z119/('Data, inkomst- skkompl, kost'!N103*1000)*100</f>
        <v>16.157091545588205</v>
      </c>
      <c r="AE119" s="22">
        <f t="shared" si="87"/>
        <v>136.84630619744252</v>
      </c>
      <c r="AF119" s="1331">
        <f t="shared" si="88"/>
        <v>1.0371486809534625</v>
      </c>
      <c r="AH119" s="219">
        <f t="shared" si="96"/>
        <v>3887401.8332190467</v>
      </c>
      <c r="AI119" s="219">
        <f t="shared" si="97"/>
        <v>4309291.8289629482</v>
      </c>
      <c r="AJ119" s="1">
        <v>18258444</v>
      </c>
      <c r="AK119" s="1">
        <v>3248.4272528890037</v>
      </c>
      <c r="AL119" s="219">
        <v>3129.7501191337542</v>
      </c>
      <c r="AM119" s="22">
        <f t="shared" si="98"/>
        <v>412.59806260464472</v>
      </c>
      <c r="AN119" s="22">
        <f t="shared" si="99"/>
        <v>317.2341395160596</v>
      </c>
      <c r="AR119" s="949" t="s">
        <v>23</v>
      </c>
      <c r="AS119" s="22">
        <f t="shared" si="74"/>
        <v>5956537.2237907806</v>
      </c>
      <c r="AT119" s="22">
        <v>5849395.3162922775</v>
      </c>
      <c r="AU119" s="1">
        <v>48413634</v>
      </c>
      <c r="AV119" s="22">
        <f t="shared" si="75"/>
        <v>42457096.77620922</v>
      </c>
      <c r="AW119" s="219">
        <f t="shared" si="76"/>
        <v>3726.5949948397456</v>
      </c>
      <c r="AX119" s="22">
        <f t="shared" si="77"/>
        <v>42564238.683707722</v>
      </c>
      <c r="AY119" s="219">
        <f t="shared" si="78"/>
        <v>3735.9991822792699</v>
      </c>
      <c r="AZ119" s="219">
        <f t="shared" si="79"/>
        <v>9.4041874395243212</v>
      </c>
    </row>
    <row r="120" spans="2:52" ht="15.75" x14ac:dyDescent="0.25">
      <c r="B120" s="872"/>
      <c r="C120" s="877" t="s">
        <v>15</v>
      </c>
      <c r="D120" s="995">
        <f t="shared" si="89"/>
        <v>802549.70817267569</v>
      </c>
      <c r="E120" s="967">
        <f t="shared" si="90"/>
        <v>502002</v>
      </c>
      <c r="F120" s="967">
        <f t="shared" si="90"/>
        <v>843684</v>
      </c>
      <c r="G120" s="1046">
        <f t="shared" si="91"/>
        <v>0.59638705327444563</v>
      </c>
      <c r="H120" s="995">
        <f>IF($K$37=2,'Data, inkomst- skkompl, kost'!I249-'Data, inkomst- skkompl, kost'!Q249+'Data, inkomst- skkompl, kost'!Z249,'Data, inkomst- skkompl, kost'!I249-'Data, inkomst- skkompl, kost'!Q249+'Data, inkomst- skkompl, kost'!AA249)</f>
        <v>1802783.3759298306</v>
      </c>
      <c r="I120" s="995">
        <v>1817628</v>
      </c>
      <c r="J120" s="939">
        <f t="shared" si="80"/>
        <v>0.44517256975411179</v>
      </c>
      <c r="K120" s="1074">
        <f t="shared" si="81"/>
        <v>1083162</v>
      </c>
      <c r="L120" s="1053">
        <f t="shared" si="82"/>
        <v>0.74093229652875159</v>
      </c>
      <c r="M120" s="944">
        <f t="shared" si="83"/>
        <v>1.0460001647175567</v>
      </c>
      <c r="N120" s="945">
        <f t="shared" si="100"/>
        <v>0.63459931814561155</v>
      </c>
      <c r="O120" s="945">
        <f t="shared" si="92"/>
        <v>0.46982738934374657</v>
      </c>
      <c r="P120" s="945">
        <f t="shared" si="84"/>
        <v>1.0745236748364015</v>
      </c>
      <c r="Q120" s="1060">
        <f t="shared" si="93"/>
        <v>-3.8212264871165913E-2</v>
      </c>
      <c r="R120" s="115">
        <f t="shared" si="85"/>
        <v>-2.8523510118844797E-2</v>
      </c>
      <c r="Y120" s="877" t="s">
        <v>15</v>
      </c>
      <c r="Z120" s="22">
        <f t="shared" si="94"/>
        <v>1015078.2918273243</v>
      </c>
      <c r="AA120" s="22">
        <f t="shared" si="86"/>
        <v>3075.9948237191647</v>
      </c>
      <c r="AB120" s="1059">
        <f t="shared" si="95"/>
        <v>2.7339087243798632E-2</v>
      </c>
      <c r="AC120" s="1329">
        <f>Z120/('Data, inkomst- skkompl, kost'!N104*1000)*100</f>
        <v>17.952168723494971</v>
      </c>
      <c r="AE120" s="22">
        <f t="shared" si="87"/>
        <v>-52.254094035445824</v>
      </c>
      <c r="AF120" s="1331">
        <f t="shared" si="88"/>
        <v>1.0613345260002534</v>
      </c>
      <c r="AH120" s="219">
        <f t="shared" si="96"/>
        <v>853971.41803809535</v>
      </c>
      <c r="AI120" s="219">
        <f t="shared" si="97"/>
        <v>802549.70817267569</v>
      </c>
      <c r="AJ120" s="1">
        <v>1817628</v>
      </c>
      <c r="AK120" s="1">
        <v>2920.1714604906201</v>
      </c>
      <c r="AL120" s="219">
        <v>3117.6475593997829</v>
      </c>
      <c r="AM120" s="22">
        <f t="shared" si="98"/>
        <v>206.31426718992634</v>
      </c>
      <c r="AN120" s="22">
        <f t="shared" si="99"/>
        <v>362.13763041847074</v>
      </c>
      <c r="AR120" s="5" t="s">
        <v>24</v>
      </c>
      <c r="AS120" s="22">
        <f t="shared" si="74"/>
        <v>34104016.2269632</v>
      </c>
      <c r="AT120" s="22">
        <v>34104016.2269632</v>
      </c>
      <c r="AU120" s="1">
        <v>128832150</v>
      </c>
      <c r="AV120" s="22">
        <f t="shared" si="75"/>
        <v>94728133.773036808</v>
      </c>
      <c r="AW120" s="219">
        <f>AV120/L189</f>
        <v>3304.5466327020445</v>
      </c>
      <c r="AX120" s="22">
        <f t="shared" si="77"/>
        <v>94728133.773036808</v>
      </c>
      <c r="AY120" s="219">
        <f>AX120/L189</f>
        <v>3304.5466327020445</v>
      </c>
      <c r="AZ120" s="219">
        <f t="shared" si="79"/>
        <v>0</v>
      </c>
    </row>
    <row r="121" spans="2:52" x14ac:dyDescent="0.2">
      <c r="B121" s="872"/>
      <c r="C121" s="878" t="s">
        <v>16</v>
      </c>
      <c r="D121" s="938">
        <f t="shared" si="89"/>
        <v>691012.5151236637</v>
      </c>
      <c r="E121" s="967">
        <f t="shared" si="90"/>
        <v>495990</v>
      </c>
      <c r="F121" s="967">
        <f t="shared" si="90"/>
        <v>854706</v>
      </c>
      <c r="G121" s="1046">
        <f t="shared" si="91"/>
        <v>0.51159736544985968</v>
      </c>
      <c r="H121" s="938">
        <f>IF($K$37=2,'Data, inkomst- skkompl, kost'!I250-'Data, inkomst- skkompl, kost'!Q250+'Data, inkomst- skkompl, kost'!Z250,'Data, inkomst- skkompl, kost'!I250-'Data, inkomst- skkompl, kost'!Q250+'Data, inkomst- skkompl, kost'!AA250)</f>
        <v>1462686.6788370945</v>
      </c>
      <c r="I121" s="938">
        <v>1466928</v>
      </c>
      <c r="J121" s="939">
        <f t="shared" si="80"/>
        <v>0.47242688753619577</v>
      </c>
      <c r="K121" s="1075">
        <f t="shared" si="81"/>
        <v>805608</v>
      </c>
      <c r="L121" s="1054">
        <f t="shared" si="82"/>
        <v>0.8577527967990185</v>
      </c>
      <c r="M121" s="945">
        <f t="shared" si="83"/>
        <v>1.0231996618124315</v>
      </c>
      <c r="N121" s="945">
        <f t="shared" si="100"/>
        <v>0.49093647911186256</v>
      </c>
      <c r="O121" s="945">
        <f t="shared" si="92"/>
        <v>0.4520371406029991</v>
      </c>
      <c r="P121" s="945">
        <f t="shared" si="84"/>
        <v>1.0041206772718911</v>
      </c>
      <c r="Q121" s="1060">
        <f t="shared" si="93"/>
        <v>2.066088633799712E-2</v>
      </c>
      <c r="R121" s="115">
        <f t="shared" si="85"/>
        <v>1.9078984540540356E-2</v>
      </c>
      <c r="Y121" s="878" t="s">
        <v>16</v>
      </c>
      <c r="Z121" s="22">
        <f t="shared" si="94"/>
        <v>775915.4848763363</v>
      </c>
      <c r="AA121" s="22">
        <f t="shared" si="86"/>
        <v>3091.2967524953638</v>
      </c>
      <c r="AB121" s="1059">
        <f t="shared" si="95"/>
        <v>1.8512773660376958E-2</v>
      </c>
      <c r="AC121" s="1329">
        <f>Z121/('Data, inkomst- skkompl, kost'!N105*1000)*100</f>
        <v>20.111202044113192</v>
      </c>
      <c r="AE121" s="22">
        <f t="shared" si="87"/>
        <v>228.42408835183528</v>
      </c>
      <c r="AF121" s="1331">
        <f t="shared" si="88"/>
        <v>1.0394557333810666</v>
      </c>
      <c r="AH121" s="219">
        <f t="shared" si="96"/>
        <v>663105.93859047629</v>
      </c>
      <c r="AI121" s="219">
        <f t="shared" si="97"/>
        <v>691012.5151236637</v>
      </c>
      <c r="AJ121" s="1">
        <v>1466928</v>
      </c>
      <c r="AK121" s="1">
        <v>3202.4783323088595</v>
      </c>
      <c r="AL121" s="219">
        <v>3161.0047901073231</v>
      </c>
      <c r="AM121" s="22">
        <f t="shared" si="98"/>
        <v>118.29687300264423</v>
      </c>
      <c r="AN121" s="22">
        <f t="shared" si="99"/>
        <v>7.1152931891485629</v>
      </c>
    </row>
    <row r="122" spans="2:52" ht="15.75" x14ac:dyDescent="0.25">
      <c r="B122" s="872"/>
      <c r="C122" s="876" t="s">
        <v>17</v>
      </c>
      <c r="D122" s="999">
        <f t="shared" si="89"/>
        <v>2379771.8984957328</v>
      </c>
      <c r="E122" s="967">
        <f t="shared" si="90"/>
        <v>3412812</v>
      </c>
      <c r="F122" s="967">
        <f t="shared" si="90"/>
        <v>3981948</v>
      </c>
      <c r="G122" s="1046">
        <f t="shared" si="91"/>
        <v>0.32181867951031984</v>
      </c>
      <c r="H122" s="999">
        <f>IF($K$37=2,'Data, inkomst- skkompl, kost'!I251-'Data, inkomst- skkompl, kost'!Q251+'Data, inkomst- skkompl, kost'!Z251,'Data, inkomst- skkompl, kost'!I251-'Data, inkomst- skkompl, kost'!Q251+'Data, inkomst- skkompl, kost'!AA251)</f>
        <v>8761756.4563910421</v>
      </c>
      <c r="I122" s="999">
        <v>8920806</v>
      </c>
      <c r="J122" s="939">
        <f t="shared" si="80"/>
        <v>0.27160899875958872</v>
      </c>
      <c r="K122" s="1073">
        <f t="shared" si="81"/>
        <v>6367710</v>
      </c>
      <c r="L122" s="1052">
        <f t="shared" si="82"/>
        <v>0.3737249181410166</v>
      </c>
      <c r="M122" s="943">
        <f t="shared" si="83"/>
        <v>0.99837081092514324</v>
      </c>
      <c r="N122" s="945">
        <f t="shared" si="100"/>
        <v>0.37606462833270105</v>
      </c>
      <c r="O122" s="945">
        <f t="shared" si="92"/>
        <v>0.31173278188198739</v>
      </c>
      <c r="P122" s="945">
        <f t="shared" si="84"/>
        <v>1.0441533859727743</v>
      </c>
      <c r="Q122" s="1060">
        <f t="shared" si="93"/>
        <v>-5.4245948822381207E-2</v>
      </c>
      <c r="R122" s="115">
        <f t="shared" si="85"/>
        <v>-4.5782575047631058E-2</v>
      </c>
      <c r="Y122" s="876" t="s">
        <v>17</v>
      </c>
      <c r="Z122" s="22">
        <f t="shared" si="94"/>
        <v>6541034.1015042672</v>
      </c>
      <c r="AA122" s="22">
        <f t="shared" si="86"/>
        <v>3396.1755459523715</v>
      </c>
      <c r="AB122" s="1059">
        <f t="shared" si="95"/>
        <v>-4.6738810360259841E-2</v>
      </c>
      <c r="AC122" s="1329">
        <f>Z122/('Data, inkomst- skkompl, kost'!N106*1000)*100</f>
        <v>17.963510481344429</v>
      </c>
      <c r="AE122" s="22">
        <f t="shared" si="87"/>
        <v>-155.65388999359274</v>
      </c>
      <c r="AF122" s="1331">
        <f t="shared" si="88"/>
        <v>0.85009269738892201</v>
      </c>
      <c r="AH122" s="219">
        <f t="shared" si="96"/>
        <v>2780907.6710095243</v>
      </c>
      <c r="AI122" s="219">
        <f t="shared" si="97"/>
        <v>2379771.8984957328</v>
      </c>
      <c r="AJ122" s="1">
        <v>8920806</v>
      </c>
      <c r="AK122" s="1">
        <v>3187.901520763487</v>
      </c>
      <c r="AL122" s="219">
        <v>3379.3002716900291</v>
      </c>
      <c r="AM122" s="22">
        <f t="shared" si="98"/>
        <v>-89.991745329317894</v>
      </c>
      <c r="AN122" s="22">
        <f t="shared" si="99"/>
        <v>118.28227985956583</v>
      </c>
      <c r="AS122" s="1" t="s">
        <v>782</v>
      </c>
      <c r="AT122" s="1" t="s">
        <v>772</v>
      </c>
      <c r="AU122" s="5" t="s">
        <v>769</v>
      </c>
      <c r="AV122" s="1" t="s">
        <v>770</v>
      </c>
      <c r="AW122" s="1" t="s">
        <v>732</v>
      </c>
      <c r="AX122" s="1" t="s">
        <v>773</v>
      </c>
      <c r="AY122" s="1" t="s">
        <v>774</v>
      </c>
      <c r="AZ122" s="1" t="s">
        <v>775</v>
      </c>
    </row>
    <row r="123" spans="2:52" x14ac:dyDescent="0.2">
      <c r="B123" s="872"/>
      <c r="C123" s="876" t="s">
        <v>18</v>
      </c>
      <c r="D123" s="999">
        <f t="shared" si="89"/>
        <v>664675.34936846409</v>
      </c>
      <c r="E123" s="967">
        <f t="shared" si="90"/>
        <v>705408</v>
      </c>
      <c r="F123" s="967">
        <f t="shared" si="90"/>
        <v>1090176</v>
      </c>
      <c r="G123" s="1047">
        <f t="shared" si="91"/>
        <v>0.37017223887518719</v>
      </c>
      <c r="H123" s="999">
        <f>IF($K$37=2,'Data, inkomst- skkompl, kost'!I252-'Data, inkomst- skkompl, kost'!Q252+'Data, inkomst- skkompl, kost'!Z252,'Data, inkomst- skkompl, kost'!I252-'Data, inkomst- skkompl, kost'!Q252+'Data, inkomst- skkompl, kost'!AA252)</f>
        <v>2271086.6394412783</v>
      </c>
      <c r="I123" s="999">
        <v>2292576</v>
      </c>
      <c r="J123" s="939">
        <f t="shared" si="80"/>
        <v>0.29266842480830424</v>
      </c>
      <c r="K123" s="1073">
        <f t="shared" si="81"/>
        <v>1560114</v>
      </c>
      <c r="L123" s="1052">
        <f t="shared" si="82"/>
        <v>0.42604280800535349</v>
      </c>
      <c r="M123" s="943">
        <f t="shared" si="83"/>
        <v>0.97961447649385847</v>
      </c>
      <c r="N123" s="945">
        <f t="shared" si="100"/>
        <v>0.35865384990541876</v>
      </c>
      <c r="O123" s="945">
        <f t="shared" si="92"/>
        <v>0.28090371461123709</v>
      </c>
      <c r="P123" s="945">
        <f t="shared" si="84"/>
        <v>0.97050771914664391</v>
      </c>
      <c r="Q123" s="1060">
        <f t="shared" si="93"/>
        <v>1.1518388969768423E-2</v>
      </c>
      <c r="R123" s="115">
        <f t="shared" si="85"/>
        <v>9.1067573472145558E-3</v>
      </c>
      <c r="Y123" s="876" t="s">
        <v>18</v>
      </c>
      <c r="Z123" s="22">
        <f t="shared" si="94"/>
        <v>1627900.6506315358</v>
      </c>
      <c r="AA123" s="22">
        <f t="shared" si="86"/>
        <v>3941.6480644831377</v>
      </c>
      <c r="AB123" s="1059">
        <f t="shared" si="95"/>
        <v>-1.5027403798854144E-2</v>
      </c>
      <c r="AC123" s="1329">
        <f>Z123/('Data, inkomst- skkompl, kost'!N107*1000)*100</f>
        <v>21.65782861737242</v>
      </c>
      <c r="AE123" s="22">
        <f t="shared" si="87"/>
        <v>118.61620917623314</v>
      </c>
      <c r="AF123" s="1331">
        <f t="shared" si="88"/>
        <v>0.95093197363682758</v>
      </c>
      <c r="AH123" s="219">
        <f t="shared" si="96"/>
        <v>643993.11442857143</v>
      </c>
      <c r="AI123" s="219">
        <f t="shared" si="97"/>
        <v>664675.34936846409</v>
      </c>
      <c r="AJ123" s="1">
        <v>2292576</v>
      </c>
      <c r="AK123" s="1">
        <v>3991.7261151850571</v>
      </c>
      <c r="AL123" s="219">
        <v>3917.6813119066187</v>
      </c>
      <c r="AM123" s="22">
        <f t="shared" si="98"/>
        <v>-164.13232598434817</v>
      </c>
      <c r="AN123" s="22">
        <f t="shared" si="99"/>
        <v>-214.21037668626772</v>
      </c>
      <c r="AR123" s="949" t="s">
        <v>8</v>
      </c>
      <c r="AS123" s="22">
        <v>1159603.5049378506</v>
      </c>
      <c r="AT123" s="22">
        <v>1189222.9546239923</v>
      </c>
      <c r="AU123" s="1">
        <v>2435862</v>
      </c>
      <c r="AV123" s="22">
        <f>AU123-AS123</f>
        <v>1276258.4950621494</v>
      </c>
      <c r="AW123" s="22">
        <f>AV123/L172</f>
        <v>2686.8599896045248</v>
      </c>
      <c r="AX123" s="22">
        <f>AU123-AT123</f>
        <v>1246639.0453760077</v>
      </c>
      <c r="AY123" s="22">
        <f>AX123/L172</f>
        <v>2624.5032534231741</v>
      </c>
      <c r="AZ123" s="219">
        <f>AY123-AW123</f>
        <v>-62.356736181350698</v>
      </c>
    </row>
    <row r="124" spans="2:52" x14ac:dyDescent="0.2">
      <c r="B124" s="872"/>
      <c r="C124" s="876" t="s">
        <v>19</v>
      </c>
      <c r="D124" s="999">
        <f t="shared" si="89"/>
        <v>2299885.8334182361</v>
      </c>
      <c r="E124" s="967">
        <f t="shared" si="90"/>
        <v>2520030</v>
      </c>
      <c r="F124" s="967">
        <f t="shared" si="90"/>
        <v>4276536</v>
      </c>
      <c r="G124" s="1045">
        <f t="shared" si="91"/>
        <v>0.33838939155718284</v>
      </c>
      <c r="H124" s="999">
        <f>IF($K$37=2,'Data, inkomst- skkompl, kost'!I253-'Data, inkomst- skkompl, kost'!Q253+'Data, inkomst- skkompl, kost'!Z253,'Data, inkomst- skkompl, kost'!I253-'Data, inkomst- skkompl, kost'!Q253+'Data, inkomst- skkompl, kost'!AA253)</f>
        <v>8031854.0658112355</v>
      </c>
      <c r="I124" s="999">
        <v>8132232</v>
      </c>
      <c r="J124" s="939">
        <f t="shared" si="80"/>
        <v>0.28634557034695607</v>
      </c>
      <c r="K124" s="1073">
        <f t="shared" si="81"/>
        <v>5904786</v>
      </c>
      <c r="L124" s="1052">
        <f t="shared" si="82"/>
        <v>0.38949520497749385</v>
      </c>
      <c r="M124" s="943">
        <f t="shared" si="83"/>
        <v>1.0215165472618115</v>
      </c>
      <c r="N124" s="945">
        <f t="shared" si="100"/>
        <v>0.43259821028947348</v>
      </c>
      <c r="O124" s="945">
        <f t="shared" si="92"/>
        <v>0.36154677925006146</v>
      </c>
      <c r="P124" s="945">
        <f t="shared" si="84"/>
        <v>1.1012361797463663</v>
      </c>
      <c r="Q124" s="1060">
        <f t="shared" si="93"/>
        <v>-9.4208818732290645E-2</v>
      </c>
      <c r="R124" s="115">
        <f t="shared" si="85"/>
        <v>-7.9719632484554825E-2</v>
      </c>
      <c r="Y124" s="876" t="s">
        <v>19</v>
      </c>
      <c r="Z124" s="22">
        <f t="shared" si="94"/>
        <v>5832346.1665817639</v>
      </c>
      <c r="AA124" s="22">
        <f t="shared" si="86"/>
        <v>3216.9587239833227</v>
      </c>
      <c r="AB124" s="1059">
        <f t="shared" si="95"/>
        <v>-5.2353394437561485E-2</v>
      </c>
      <c r="AC124" s="1329">
        <f>Z124/('Data, inkomst- skkompl, kost'!N108*1000)*100</f>
        <v>19.992639936855401</v>
      </c>
      <c r="AE124" s="22">
        <f t="shared" si="87"/>
        <v>-299.14624895433695</v>
      </c>
      <c r="AF124" s="1331">
        <f t="shared" si="88"/>
        <v>0.85173704746283019</v>
      </c>
      <c r="AH124" s="219">
        <f t="shared" si="96"/>
        <v>2940182.2877142858</v>
      </c>
      <c r="AI124" s="219">
        <f t="shared" si="97"/>
        <v>2299885.8334182361</v>
      </c>
      <c r="AJ124" s="1">
        <v>8132232</v>
      </c>
      <c r="AK124" s="1">
        <v>2863.789140808447</v>
      </c>
      <c r="AL124" s="219">
        <v>3198.9681571530987</v>
      </c>
      <c r="AM124" s="22">
        <f t="shared" si="98"/>
        <v>39.955782359755162</v>
      </c>
      <c r="AN124" s="22">
        <f t="shared" si="99"/>
        <v>393.12536553463087</v>
      </c>
      <c r="AR124" s="949" t="s">
        <v>9</v>
      </c>
      <c r="AS124" s="22">
        <v>1993226.7463402797</v>
      </c>
      <c r="AT124" s="22">
        <v>2216192.0077622063</v>
      </c>
      <c r="AU124" s="1">
        <v>4912806</v>
      </c>
      <c r="AV124" s="22">
        <f t="shared" ref="AV124:AV139" si="101">AU124-AS124</f>
        <v>2919579.2536597205</v>
      </c>
      <c r="AW124" s="22">
        <f t="shared" ref="AW124:AW138" si="102">AV124/L173</f>
        <v>3082.9770365994937</v>
      </c>
      <c r="AX124" s="22">
        <f t="shared" ref="AX124:AX139" si="103">AU124-AT124</f>
        <v>2696613.9922377937</v>
      </c>
      <c r="AY124" s="22">
        <f t="shared" ref="AY124:AY138" si="104">AX124/L173</f>
        <v>2847.5332547389585</v>
      </c>
      <c r="AZ124" s="219">
        <f t="shared" ref="AZ124:AZ139" si="105">AY124-AW124</f>
        <v>-235.44378186053518</v>
      </c>
    </row>
    <row r="125" spans="2:52" x14ac:dyDescent="0.2">
      <c r="B125" s="872"/>
      <c r="C125" s="876" t="s">
        <v>20</v>
      </c>
      <c r="D125" s="999">
        <f t="shared" si="89"/>
        <v>181312.46232153935</v>
      </c>
      <c r="E125" s="967">
        <f t="shared" si="90"/>
        <v>87174</v>
      </c>
      <c r="F125" s="967">
        <f t="shared" si="90"/>
        <v>285570</v>
      </c>
      <c r="G125" s="1046">
        <f t="shared" si="91"/>
        <v>0.48642623978263727</v>
      </c>
      <c r="H125" s="999">
        <f>IF($K$37=2,'Data, inkomst- skkompl, kost'!I254-'Data, inkomst- skkompl, kost'!Q254+'Data, inkomst- skkompl, kost'!Z254,'Data, inkomst- skkompl, kost'!I254-'Data, inkomst- skkompl, kost'!Q254+'Data, inkomst- skkompl, kost'!AA254)</f>
        <v>578873.24525580637</v>
      </c>
      <c r="I125" s="999">
        <v>579156</v>
      </c>
      <c r="J125" s="939">
        <f t="shared" si="80"/>
        <v>0.31321617263796092</v>
      </c>
      <c r="K125" s="1073">
        <f t="shared" si="81"/>
        <v>411822</v>
      </c>
      <c r="L125" s="1052">
        <f t="shared" si="82"/>
        <v>0.44026900535070818</v>
      </c>
      <c r="M125" s="943">
        <f t="shared" si="83"/>
        <v>1.0246361654863336</v>
      </c>
      <c r="N125" s="945">
        <f t="shared" si="100"/>
        <v>0.62039974597655678</v>
      </c>
      <c r="O125" s="945">
        <f t="shared" si="92"/>
        <v>0.39928841782574243</v>
      </c>
      <c r="P125" s="945">
        <f t="shared" si="84"/>
        <v>1.1109034459350586</v>
      </c>
      <c r="Q125" s="1060">
        <f t="shared" si="93"/>
        <v>-0.13397350619391951</v>
      </c>
      <c r="R125" s="115">
        <f t="shared" si="85"/>
        <v>-8.6267280448725003E-2</v>
      </c>
      <c r="Y125" s="876" t="s">
        <v>20</v>
      </c>
      <c r="Z125" s="22">
        <f t="shared" si="94"/>
        <v>397843.53767846065</v>
      </c>
      <c r="AA125" s="22">
        <f t="shared" si="86"/>
        <v>3978.4353767846064</v>
      </c>
      <c r="AB125" s="1059">
        <f t="shared" si="95"/>
        <v>-2.5625084561586076E-2</v>
      </c>
      <c r="AC125" s="1329">
        <f>Z125/('Data, inkomst- skkompl, kost'!N109*1000)*100</f>
        <v>19.668511156690936</v>
      </c>
      <c r="AE125" s="22">
        <f t="shared" si="87"/>
        <v>-422.16340316926596</v>
      </c>
      <c r="AF125" s="1331">
        <f t="shared" si="88"/>
        <v>0.93888455587732356</v>
      </c>
      <c r="AH125" s="219">
        <f t="shared" si="96"/>
        <v>231250.28291428569</v>
      </c>
      <c r="AI125" s="219">
        <f t="shared" si="97"/>
        <v>181312.46232153935</v>
      </c>
      <c r="AJ125" s="1">
        <v>579156</v>
      </c>
      <c r="AK125" s="1">
        <v>3479.0571708571433</v>
      </c>
      <c r="AL125" s="219">
        <v>3987.2078536746744</v>
      </c>
      <c r="AM125" s="22">
        <f t="shared" si="98"/>
        <v>139.78462321539411</v>
      </c>
      <c r="AN125" s="22">
        <f t="shared" si="99"/>
        <v>639.16282914285659</v>
      </c>
      <c r="AR125" s="949" t="s">
        <v>10</v>
      </c>
      <c r="AS125" s="22">
        <v>3798774.9378333166</v>
      </c>
      <c r="AT125" s="22">
        <v>3339592.3917247565</v>
      </c>
      <c r="AU125" s="1">
        <v>11072100</v>
      </c>
      <c r="AV125" s="22">
        <f t="shared" si="101"/>
        <v>7273325.0621666834</v>
      </c>
      <c r="AW125" s="22">
        <f t="shared" si="102"/>
        <v>2886.240104034398</v>
      </c>
      <c r="AX125" s="22">
        <f t="shared" si="103"/>
        <v>7732507.608275244</v>
      </c>
      <c r="AY125" s="22">
        <f t="shared" si="104"/>
        <v>3068.4554001092238</v>
      </c>
      <c r="AZ125" s="219">
        <f t="shared" si="105"/>
        <v>182.2152960748258</v>
      </c>
    </row>
    <row r="126" spans="2:52" x14ac:dyDescent="0.2">
      <c r="B126" s="872"/>
      <c r="C126" s="876" t="s">
        <v>21</v>
      </c>
      <c r="D126" s="999">
        <f t="shared" si="89"/>
        <v>2093356.6915770338</v>
      </c>
      <c r="E126" s="967">
        <f t="shared" si="90"/>
        <v>1434864</v>
      </c>
      <c r="F126" s="967">
        <f t="shared" si="90"/>
        <v>3079146</v>
      </c>
      <c r="G126" s="1046">
        <f t="shared" si="91"/>
        <v>0.46374657822579785</v>
      </c>
      <c r="H126" s="999">
        <f>IF($K$37=2,'Data, inkomst- skkompl, kost'!I255-'Data, inkomst- skkompl, kost'!Q255+'Data, inkomst- skkompl, kost'!Z255,'Data, inkomst- skkompl, kost'!I255-'Data, inkomst- skkompl, kost'!Q255+'Data, inkomst- skkompl, kost'!AA255)</f>
        <v>5098204.2118563689</v>
      </c>
      <c r="I126" s="999">
        <v>5249478</v>
      </c>
      <c r="J126" s="939">
        <f t="shared" si="80"/>
        <v>0.41060667729015826</v>
      </c>
      <c r="K126" s="1073">
        <f t="shared" si="81"/>
        <v>3479946</v>
      </c>
      <c r="L126" s="1052">
        <f t="shared" si="82"/>
        <v>0.60154861356384093</v>
      </c>
      <c r="M126" s="943">
        <f t="shared" si="83"/>
        <v>1.0931893780589992</v>
      </c>
      <c r="N126" s="945">
        <f t="shared" si="100"/>
        <v>0.4927803481161982</v>
      </c>
      <c r="O126" s="945">
        <f t="shared" si="92"/>
        <v>0.42374030697909387</v>
      </c>
      <c r="P126" s="945">
        <f t="shared" si="84"/>
        <v>1.1188962195617729</v>
      </c>
      <c r="Q126" s="1060">
        <f t="shared" si="93"/>
        <v>-2.9033769890400352E-2</v>
      </c>
      <c r="R126" s="115">
        <f t="shared" si="85"/>
        <v>-2.5706841502773692E-2</v>
      </c>
      <c r="Y126" s="876" t="s">
        <v>21</v>
      </c>
      <c r="Z126" s="22">
        <f t="shared" si="94"/>
        <v>3156121.3084229659</v>
      </c>
      <c r="AA126" s="22">
        <f t="shared" si="86"/>
        <v>3067.1732832098796</v>
      </c>
      <c r="AB126" s="1059">
        <f t="shared" si="95"/>
        <v>7.212771926982442E-3</v>
      </c>
      <c r="AC126" s="1329">
        <f>Z126/('Data, inkomst- skkompl, kost'!N110*1000)*100</f>
        <v>18.391337655343062</v>
      </c>
      <c r="AE126" s="22">
        <f t="shared" si="87"/>
        <v>-40.728664195763294</v>
      </c>
      <c r="AF126" s="1331">
        <f t="shared" si="88"/>
        <v>1.01836878766115</v>
      </c>
      <c r="AH126" s="219">
        <f t="shared" si="96"/>
        <v>2224415.4191999999</v>
      </c>
      <c r="AI126" s="219">
        <f t="shared" si="97"/>
        <v>2093356.6915770338</v>
      </c>
      <c r="AJ126" s="1">
        <v>5249478</v>
      </c>
      <c r="AK126" s="1">
        <v>2939.8081446064143</v>
      </c>
      <c r="AL126" s="219">
        <v>3048.012107783135</v>
      </c>
      <c r="AM126" s="22">
        <f t="shared" si="98"/>
        <v>314.69843690673866</v>
      </c>
      <c r="AN126" s="22">
        <f t="shared" si="99"/>
        <v>442.06357551020352</v>
      </c>
      <c r="AR126" s="949" t="s">
        <v>11</v>
      </c>
      <c r="AS126" s="22">
        <v>1346009.7046094995</v>
      </c>
      <c r="AT126" s="22">
        <v>1569581.0951423217</v>
      </c>
      <c r="AU126" s="1">
        <v>3158304</v>
      </c>
      <c r="AV126" s="22">
        <f t="shared" si="101"/>
        <v>1812294.2953905005</v>
      </c>
      <c r="AW126" s="22">
        <f t="shared" si="102"/>
        <v>3168.3466702631126</v>
      </c>
      <c r="AX126" s="22">
        <f t="shared" si="103"/>
        <v>1588722.9048576783</v>
      </c>
      <c r="AY126" s="22">
        <f t="shared" si="104"/>
        <v>2777.4875959050319</v>
      </c>
      <c r="AZ126" s="219">
        <f t="shared" si="105"/>
        <v>-390.85907435808076</v>
      </c>
    </row>
    <row r="127" spans="2:52" x14ac:dyDescent="0.2">
      <c r="B127" s="872"/>
      <c r="C127" s="876" t="s">
        <v>22</v>
      </c>
      <c r="D127" s="999">
        <f t="shared" si="89"/>
        <v>1243096.0211442928</v>
      </c>
      <c r="E127" s="967">
        <f t="shared" si="90"/>
        <v>738474</v>
      </c>
      <c r="F127" s="967">
        <f t="shared" si="90"/>
        <v>1307610</v>
      </c>
      <c r="G127" s="1046">
        <f t="shared" si="91"/>
        <v>0.60754886952065157</v>
      </c>
      <c r="H127" s="999">
        <f>IF($K$37=2,'Data, inkomst- skkompl, kost'!I256-'Data, inkomst- skkompl, kost'!Q256+'Data, inkomst- skkompl, kost'!Z256,'Data, inkomst- skkompl, kost'!I256-'Data, inkomst- skkompl, kost'!Q256+'Data, inkomst- skkompl, kost'!AA256)</f>
        <v>2505726.1686275741</v>
      </c>
      <c r="I127" s="999">
        <v>2518026</v>
      </c>
      <c r="J127" s="939">
        <f t="shared" si="80"/>
        <v>0.49610210273900607</v>
      </c>
      <c r="K127" s="1073">
        <f t="shared" si="81"/>
        <v>1263522</v>
      </c>
      <c r="L127" s="1052">
        <f t="shared" si="82"/>
        <v>0.98383409322852533</v>
      </c>
      <c r="M127" s="943">
        <f t="shared" si="83"/>
        <v>1.0003559257702956</v>
      </c>
      <c r="N127" s="945">
        <f t="shared" si="100"/>
        <v>0.70228203045427273</v>
      </c>
      <c r="O127" s="945">
        <f t="shared" si="92"/>
        <v>0.57065654842324909</v>
      </c>
      <c r="P127" s="945">
        <f t="shared" si="84"/>
        <v>1.0777115471795864</v>
      </c>
      <c r="Q127" s="1060">
        <f t="shared" si="93"/>
        <v>-9.4733160933621163E-2</v>
      </c>
      <c r="R127" s="115">
        <f t="shared" si="85"/>
        <v>-7.7355621409290753E-2</v>
      </c>
      <c r="Y127" s="876" t="s">
        <v>22</v>
      </c>
      <c r="Z127" s="22">
        <f t="shared" si="94"/>
        <v>1274929.9788557072</v>
      </c>
      <c r="AA127" s="22">
        <f t="shared" si="86"/>
        <v>2944.4110366182613</v>
      </c>
      <c r="AB127" s="1059">
        <f t="shared" si="95"/>
        <v>-4.2371252999712672E-2</v>
      </c>
      <c r="AC127" s="1329">
        <f>Z127/('Data, inkomst- skkompl, kost'!N111*1000)*100</f>
        <v>19.748204155092626</v>
      </c>
      <c r="AE127" s="22">
        <f t="shared" si="87"/>
        <v>-325.387480179455</v>
      </c>
      <c r="AF127" s="1331">
        <f t="shared" si="88"/>
        <v>0.92264965034888158</v>
      </c>
      <c r="AH127" s="219">
        <f t="shared" si="96"/>
        <v>1436928.0260000001</v>
      </c>
      <c r="AI127" s="219">
        <f t="shared" si="97"/>
        <v>1243096.0211442928</v>
      </c>
      <c r="AJ127" s="1">
        <v>2518026</v>
      </c>
      <c r="AK127" s="1">
        <v>2496.7620646651267</v>
      </c>
      <c r="AL127" s="219">
        <v>2939.6963524481916</v>
      </c>
      <c r="AM127" s="22">
        <f t="shared" si="98"/>
        <v>-26.346371491240685</v>
      </c>
      <c r="AN127" s="22">
        <f t="shared" si="99"/>
        <v>421.30260046189392</v>
      </c>
      <c r="AR127" s="949" t="s">
        <v>12</v>
      </c>
      <c r="AS127" s="22">
        <v>1521597.5667513164</v>
      </c>
      <c r="AT127" s="22">
        <v>1749382.7152034992</v>
      </c>
      <c r="AU127" s="1">
        <v>2741472</v>
      </c>
      <c r="AV127" s="22">
        <f t="shared" si="101"/>
        <v>1219874.4332486836</v>
      </c>
      <c r="AW127" s="22">
        <f t="shared" si="102"/>
        <v>2439.7488664973671</v>
      </c>
      <c r="AX127" s="22">
        <f t="shared" si="103"/>
        <v>992089.28479650081</v>
      </c>
      <c r="AY127" s="22">
        <f t="shared" si="104"/>
        <v>1984.1785695930016</v>
      </c>
      <c r="AZ127" s="219">
        <f t="shared" si="105"/>
        <v>-455.57029690436548</v>
      </c>
    </row>
    <row r="128" spans="2:52" ht="15.75" thickBot="1" x14ac:dyDescent="0.25">
      <c r="B128" s="872"/>
      <c r="C128" s="876" t="s">
        <v>23</v>
      </c>
      <c r="D128" s="999">
        <f t="shared" si="89"/>
        <v>5987048.4652225776</v>
      </c>
      <c r="E128" s="967">
        <f t="shared" si="90"/>
        <v>10108176</v>
      </c>
      <c r="F128" s="967">
        <f t="shared" si="90"/>
        <v>28640166</v>
      </c>
      <c r="G128" s="1047">
        <f t="shared" si="91"/>
        <v>0.15451108760273091</v>
      </c>
      <c r="H128" s="999">
        <f>IF($K$37=2,'Data, inkomst- skkompl, kost'!I257-'Data, inkomst- skkompl, kost'!Q257+'Data, inkomst- skkompl, kost'!Z257,'Data, inkomst- skkompl, kost'!I257-'Data, inkomst- skkompl, kost'!Q257+'Data, inkomst- skkompl, kost'!AA257)</f>
        <v>47081293.64535927</v>
      </c>
      <c r="I128" s="999">
        <v>48413634</v>
      </c>
      <c r="J128" s="939">
        <f t="shared" si="80"/>
        <v>0.12716406032340855</v>
      </c>
      <c r="K128" s="1073">
        <f t="shared" si="81"/>
        <v>52663116</v>
      </c>
      <c r="L128" s="1055">
        <f t="shared" si="82"/>
        <v>0.11368579985321373</v>
      </c>
      <c r="M128" s="946">
        <f t="shared" si="83"/>
        <v>1.2457211755268673</v>
      </c>
      <c r="N128" s="1000">
        <f t="shared" si="100"/>
        <v>0.15344633128597571</v>
      </c>
      <c r="O128" s="1000">
        <f t="shared" si="92"/>
        <v>0.12281232438189388</v>
      </c>
      <c r="P128" s="1000">
        <f t="shared" si="84"/>
        <v>1.2448448711878433</v>
      </c>
      <c r="Q128" s="1060">
        <f t="shared" si="93"/>
        <v>1.0647563167552054E-3</v>
      </c>
      <c r="R128" s="115">
        <f t="shared" si="85"/>
        <v>8.76304339024081E-4</v>
      </c>
      <c r="Y128" s="876" t="s">
        <v>23</v>
      </c>
      <c r="Z128" s="22">
        <f t="shared" si="94"/>
        <v>42426585.534777425</v>
      </c>
      <c r="AA128" s="22">
        <f t="shared" si="86"/>
        <v>3723.9169257243416</v>
      </c>
      <c r="AB128" s="1059">
        <f t="shared" si="95"/>
        <v>-1.903958817554785E-3</v>
      </c>
      <c r="AC128" s="1329">
        <f>Z128/('Data, inkomst- skkompl, kost'!N112*1000)*100</f>
        <v>17.957309979043607</v>
      </c>
      <c r="AE128" s="22">
        <f t="shared" si="87"/>
        <v>26.00066233628856</v>
      </c>
      <c r="AF128" s="1331">
        <f t="shared" si="88"/>
        <v>0.98385728121093496</v>
      </c>
      <c r="AH128" s="219">
        <f t="shared" si="96"/>
        <v>5945790.9233142864</v>
      </c>
      <c r="AI128" s="219">
        <f t="shared" si="97"/>
        <v>5987048.4652225776</v>
      </c>
      <c r="AJ128" s="1">
        <v>48413634</v>
      </c>
      <c r="AK128" s="1">
        <v>3727.5382319569658</v>
      </c>
      <c r="AL128" s="219">
        <v>3728.4391867618206</v>
      </c>
      <c r="AM128" s="22">
        <f t="shared" si="98"/>
        <v>898.49297509194901</v>
      </c>
      <c r="AN128" s="22">
        <f t="shared" si="99"/>
        <v>894.87166885932493</v>
      </c>
      <c r="AR128" s="949" t="s">
        <v>13</v>
      </c>
      <c r="AS128" s="22">
        <v>2637256.3713109703</v>
      </c>
      <c r="AT128" s="22">
        <v>2607974.5406106445</v>
      </c>
      <c r="AU128" s="1">
        <v>6862698</v>
      </c>
      <c r="AV128" s="22">
        <f t="shared" si="101"/>
        <v>4225441.6286890302</v>
      </c>
      <c r="AW128" s="22">
        <f t="shared" si="102"/>
        <v>2743.7932653824873</v>
      </c>
      <c r="AX128" s="22">
        <f t="shared" si="103"/>
        <v>4254723.459389355</v>
      </c>
      <c r="AY128" s="22">
        <f t="shared" si="104"/>
        <v>2762.8074411619186</v>
      </c>
      <c r="AZ128" s="219">
        <f t="shared" si="105"/>
        <v>19.014175779431298</v>
      </c>
    </row>
    <row r="129" spans="2:52" ht="16.5" thickBot="1" x14ac:dyDescent="0.3">
      <c r="B129" s="872"/>
      <c r="C129" s="874" t="s">
        <v>247</v>
      </c>
      <c r="D129" s="937">
        <f t="shared" si="89"/>
        <v>33142238.442148115</v>
      </c>
      <c r="E129" s="1048">
        <f t="shared" si="90"/>
        <v>35881620</v>
      </c>
      <c r="F129" s="1048">
        <f t="shared" si="90"/>
        <v>70705128</v>
      </c>
      <c r="G129" s="1049">
        <f t="shared" si="91"/>
        <v>0.31094145439307441</v>
      </c>
      <c r="H129" s="937">
        <f>IF($K$37=2,'Data, inkomst- skkompl, kost'!I258-'Data, inkomst- skkompl, kost'!Q258+'Data, inkomst- skkompl, kost'!Z258,'Data, inkomst- skkompl, kost'!I258-'Data, inkomst- skkompl, kost'!Q258+'Data, inkomst- skkompl, kost'!AA258)</f>
        <v>126116149.3046474</v>
      </c>
      <c r="I129" s="937">
        <v>128832150</v>
      </c>
      <c r="J129" s="941">
        <f t="shared" si="80"/>
        <v>0.26279139210070079</v>
      </c>
      <c r="K129" s="1076">
        <f t="shared" si="81"/>
        <v>109847256</v>
      </c>
      <c r="L129" s="1057">
        <f t="shared" si="82"/>
        <v>0.30171202858401958</v>
      </c>
      <c r="M129" s="940">
        <f t="shared" si="83"/>
        <v>1.1337921053769355</v>
      </c>
      <c r="N129" s="940">
        <f t="shared" si="100"/>
        <v>0.32418339196476226</v>
      </c>
      <c r="O129" s="940">
        <f t="shared" si="92"/>
        <v>0.26820675976558134</v>
      </c>
      <c r="P129" s="940">
        <f t="shared" si="84"/>
        <v>1.1449834957798868</v>
      </c>
      <c r="Q129" s="1060">
        <f t="shared" si="93"/>
        <v>-1.3241937571687845E-2</v>
      </c>
      <c r="R129" s="115">
        <f t="shared" si="85"/>
        <v>-1.1191390402951251E-2</v>
      </c>
      <c r="Y129" s="874" t="s">
        <v>247</v>
      </c>
      <c r="Z129" s="22">
        <f t="shared" si="94"/>
        <v>95689911.557851881</v>
      </c>
      <c r="AA129" s="22">
        <f>Z129/L189</f>
        <v>3338.0978008041543</v>
      </c>
      <c r="AB129" s="1059">
        <f t="shared" si="95"/>
        <v>-7.4857982583023119E-3</v>
      </c>
      <c r="AC129" s="1329">
        <f>Z129/('Data, inkomst- skkompl, kost'!N113*1000)*100</f>
        <v>17.92455472369911</v>
      </c>
      <c r="AE129" s="22">
        <f>(AD80-AN80)/L189</f>
        <v>0</v>
      </c>
      <c r="AF129" s="1331">
        <f t="shared" si="88"/>
        <v>0.97187699965383334</v>
      </c>
      <c r="AH129" s="219">
        <f t="shared" si="96"/>
        <v>34553653.505133338</v>
      </c>
      <c r="AI129" s="219">
        <f t="shared" si="97"/>
        <v>33142238.442148115</v>
      </c>
      <c r="AJ129" s="1">
        <v>128832150</v>
      </c>
      <c r="AK129" s="1">
        <v>3288.8612465941069</v>
      </c>
      <c r="AL129" s="219">
        <v>3331.4481587086043</v>
      </c>
      <c r="AM129" s="22" t="e">
        <f t="shared" ref="AM129" si="106">(AI129+K129-AJ129)/L188</f>
        <v>#DIV/0!</v>
      </c>
      <c r="AN129" s="22">
        <f t="shared" ref="AN129" si="107">AH129+K129-AJ129</f>
        <v>15568759.505133331</v>
      </c>
      <c r="AR129" s="949" t="s">
        <v>14</v>
      </c>
      <c r="AS129" s="22">
        <v>4455445.9523626892</v>
      </c>
      <c r="AT129" s="22">
        <v>3953605.7346562892</v>
      </c>
      <c r="AU129" s="1">
        <v>18258444</v>
      </c>
      <c r="AV129" s="22">
        <f t="shared" si="101"/>
        <v>13802998.04763731</v>
      </c>
      <c r="AW129" s="22">
        <f t="shared" si="102"/>
        <v>3120.0266834623212</v>
      </c>
      <c r="AX129" s="22">
        <f t="shared" si="103"/>
        <v>14304838.265343711</v>
      </c>
      <c r="AY129" s="22">
        <f t="shared" si="104"/>
        <v>3233.4625373742565</v>
      </c>
      <c r="AZ129" s="219">
        <f t="shared" si="105"/>
        <v>113.43585391193528</v>
      </c>
    </row>
    <row r="130" spans="2:52" x14ac:dyDescent="0.2">
      <c r="B130" s="872"/>
      <c r="C130" s="839"/>
      <c r="D130" s="1155">
        <f>SUM(D113:D128)</f>
        <v>33142238.442148115</v>
      </c>
      <c r="E130" s="839"/>
      <c r="F130" s="839"/>
      <c r="G130" s="870"/>
      <c r="H130" s="892">
        <f>H129-'Data, inkomst- skkompl, kost'!I258</f>
        <v>-2716000.695352599</v>
      </c>
      <c r="I130" s="839"/>
      <c r="J130" s="839"/>
      <c r="K130" s="666"/>
      <c r="L130" s="666"/>
      <c r="M130" s="666"/>
      <c r="N130" s="666"/>
      <c r="O130" s="666"/>
      <c r="P130" s="666"/>
      <c r="Q130" s="844"/>
      <c r="AR130" s="949" t="s">
        <v>15</v>
      </c>
      <c r="AS130" s="22">
        <v>834636.47916048078</v>
      </c>
      <c r="AT130" s="22">
        <v>849781.00686282944</v>
      </c>
      <c r="AU130" s="1">
        <v>1817628</v>
      </c>
      <c r="AV130" s="22">
        <f t="shared" si="101"/>
        <v>982991.52083951922</v>
      </c>
      <c r="AW130" s="22">
        <f t="shared" si="102"/>
        <v>2978.7621843621796</v>
      </c>
      <c r="AX130" s="22">
        <f t="shared" si="103"/>
        <v>967846.99313717056</v>
      </c>
      <c r="AY130" s="22">
        <f t="shared" si="104"/>
        <v>2932.869676173244</v>
      </c>
      <c r="AZ130" s="219">
        <f t="shared" si="105"/>
        <v>-45.892508188935608</v>
      </c>
    </row>
    <row r="131" spans="2:52" x14ac:dyDescent="0.2">
      <c r="B131" s="872"/>
      <c r="C131" s="839"/>
      <c r="D131" s="839"/>
      <c r="E131" s="839"/>
      <c r="F131" s="839"/>
      <c r="G131" s="870"/>
      <c r="H131" s="1042" t="s">
        <v>716</v>
      </c>
      <c r="I131" s="839"/>
      <c r="J131" s="839"/>
      <c r="K131" s="666"/>
      <c r="L131" s="666"/>
      <c r="M131" s="666"/>
      <c r="N131" s="666"/>
      <c r="O131" s="666"/>
      <c r="P131" s="666"/>
      <c r="Q131" s="844"/>
      <c r="AR131" s="949" t="s">
        <v>16</v>
      </c>
      <c r="AS131" s="22">
        <v>699664.84863271425</v>
      </c>
      <c r="AT131" s="22">
        <v>673661.53503027791</v>
      </c>
      <c r="AU131" s="1">
        <v>1466928</v>
      </c>
      <c r="AV131" s="22">
        <f t="shared" si="101"/>
        <v>767263.15136728575</v>
      </c>
      <c r="AW131" s="22">
        <f t="shared" si="102"/>
        <v>3056.8253042521346</v>
      </c>
      <c r="AX131" s="22">
        <f t="shared" si="103"/>
        <v>793266.46496972209</v>
      </c>
      <c r="AY131" s="22">
        <f t="shared" si="104"/>
        <v>3160.4241632259846</v>
      </c>
      <c r="AZ131" s="219">
        <f t="shared" si="105"/>
        <v>103.59885897384993</v>
      </c>
    </row>
    <row r="132" spans="2:52" x14ac:dyDescent="0.2">
      <c r="B132" s="872"/>
      <c r="C132" s="839"/>
      <c r="D132" s="839"/>
      <c r="E132" s="839"/>
      <c r="F132" s="839"/>
      <c r="G132" s="870"/>
      <c r="H132" s="839"/>
      <c r="I132" s="839"/>
      <c r="J132" s="839"/>
      <c r="K132" s="666"/>
      <c r="L132" s="666"/>
      <c r="M132" s="666"/>
      <c r="N132" s="666"/>
      <c r="O132" s="666"/>
      <c r="P132" s="666"/>
      <c r="Q132" s="844"/>
      <c r="AR132" s="949" t="s">
        <v>17</v>
      </c>
      <c r="AS132" s="22">
        <v>2410504.6243568435</v>
      </c>
      <c r="AT132" s="22">
        <v>2744175.4767429889</v>
      </c>
      <c r="AU132" s="1">
        <v>8920806</v>
      </c>
      <c r="AV132" s="22">
        <f t="shared" si="101"/>
        <v>6510301.3756431565</v>
      </c>
      <c r="AW132" s="22">
        <f t="shared" si="102"/>
        <v>3380.2187827846087</v>
      </c>
      <c r="AX132" s="22">
        <f t="shared" si="103"/>
        <v>6176630.5232570115</v>
      </c>
      <c r="AY132" s="22">
        <f t="shared" si="104"/>
        <v>3206.9732727191131</v>
      </c>
      <c r="AZ132" s="219">
        <f t="shared" si="105"/>
        <v>-173.24551006549564</v>
      </c>
    </row>
    <row r="133" spans="2:52" ht="20.25" thickBot="1" x14ac:dyDescent="0.35">
      <c r="B133" s="872"/>
      <c r="C133" s="839"/>
      <c r="D133" s="839"/>
      <c r="E133" s="839"/>
      <c r="F133" s="839"/>
      <c r="G133" s="870"/>
      <c r="H133" s="839"/>
      <c r="I133" s="839"/>
      <c r="J133" s="839"/>
      <c r="K133" s="909"/>
      <c r="L133" s="666"/>
      <c r="M133" s="666"/>
      <c r="N133" s="666"/>
      <c r="O133" s="666"/>
      <c r="P133" s="666"/>
      <c r="Q133" s="844"/>
      <c r="Z133" s="120" t="s">
        <v>742</v>
      </c>
      <c r="AD133" s="5" t="s">
        <v>740</v>
      </c>
      <c r="AE133" s="5" t="s">
        <v>740</v>
      </c>
      <c r="AR133" s="949" t="s">
        <v>18</v>
      </c>
      <c r="AS133" s="22">
        <v>668349.82085073739</v>
      </c>
      <c r="AT133" s="22">
        <v>678718.84852217569</v>
      </c>
      <c r="AU133" s="1">
        <v>2292576</v>
      </c>
      <c r="AV133" s="22">
        <f t="shared" si="101"/>
        <v>1624226.1791492626</v>
      </c>
      <c r="AW133" s="22">
        <f t="shared" si="102"/>
        <v>3932.7510391023307</v>
      </c>
      <c r="AX133" s="22">
        <f t="shared" si="103"/>
        <v>1613857.1514778244</v>
      </c>
      <c r="AY133" s="22">
        <f t="shared" si="104"/>
        <v>3907.6444345710033</v>
      </c>
      <c r="AZ133" s="219">
        <f t="shared" si="105"/>
        <v>-25.106604531327321</v>
      </c>
    </row>
    <row r="134" spans="2:52" ht="16.5" thickTop="1" x14ac:dyDescent="0.25">
      <c r="B134" s="872"/>
      <c r="C134" s="839"/>
      <c r="D134" s="839"/>
      <c r="E134" s="839"/>
      <c r="F134" s="839"/>
      <c r="G134" s="870"/>
      <c r="H134" s="839"/>
      <c r="I134" s="839"/>
      <c r="J134" s="839"/>
      <c r="K134" s="666"/>
      <c r="L134" s="666"/>
      <c r="M134" s="666"/>
      <c r="N134" s="666"/>
      <c r="O134" s="666"/>
      <c r="P134" s="666"/>
      <c r="Q134" s="844"/>
      <c r="Z134" s="5" t="s">
        <v>735</v>
      </c>
      <c r="AA134" s="5"/>
      <c r="AB134" s="5"/>
      <c r="AC134" s="5"/>
      <c r="AD134" s="5" t="s">
        <v>745</v>
      </c>
      <c r="AE134" s="5" t="s">
        <v>746</v>
      </c>
      <c r="AR134" s="949" t="s">
        <v>19</v>
      </c>
      <c r="AS134" s="22">
        <v>2339433.188335306</v>
      </c>
      <c r="AT134" s="22">
        <v>2846110.7489955411</v>
      </c>
      <c r="AU134" s="1">
        <v>8132232</v>
      </c>
      <c r="AV134" s="22">
        <f t="shared" si="101"/>
        <v>5792798.811664694</v>
      </c>
      <c r="AW134" s="22">
        <f t="shared" si="102"/>
        <v>3195.1455111222804</v>
      </c>
      <c r="AX134" s="22">
        <f t="shared" si="103"/>
        <v>5286121.2510044593</v>
      </c>
      <c r="AY134" s="22">
        <f t="shared" si="104"/>
        <v>2915.6763656946823</v>
      </c>
      <c r="AZ134" s="219">
        <f t="shared" si="105"/>
        <v>-279.46914542759805</v>
      </c>
    </row>
    <row r="135" spans="2:52" ht="18.75" thickBot="1" x14ac:dyDescent="0.3">
      <c r="B135" s="851"/>
      <c r="C135" s="839"/>
      <c r="D135" s="839"/>
      <c r="E135" s="839"/>
      <c r="F135" s="839"/>
      <c r="G135" s="859"/>
      <c r="H135" s="839"/>
      <c r="I135" s="839"/>
      <c r="J135" s="839"/>
      <c r="K135" s="666"/>
      <c r="L135" s="666"/>
      <c r="M135" s="666"/>
      <c r="N135" s="666"/>
      <c r="O135" s="666"/>
      <c r="P135" s="666"/>
      <c r="Q135" s="844"/>
      <c r="Z135" s="5" t="s">
        <v>731</v>
      </c>
      <c r="AA135" s="5" t="s">
        <v>732</v>
      </c>
      <c r="AB135" s="5" t="s">
        <v>733</v>
      </c>
      <c r="AC135" s="5"/>
      <c r="AD135" s="5" t="s">
        <v>744</v>
      </c>
      <c r="AE135" s="5" t="s">
        <v>744</v>
      </c>
      <c r="AR135" s="949" t="s">
        <v>20</v>
      </c>
      <c r="AS135" s="22">
        <v>225697.6897273933</v>
      </c>
      <c r="AT135" s="22">
        <v>263009.30079368257</v>
      </c>
      <c r="AU135" s="1">
        <v>579156</v>
      </c>
      <c r="AV135" s="22">
        <f t="shared" si="101"/>
        <v>353458.31027260667</v>
      </c>
      <c r="AW135" s="22">
        <f t="shared" si="102"/>
        <v>3534.5831027260665</v>
      </c>
      <c r="AX135" s="22">
        <f t="shared" si="103"/>
        <v>316146.69920631743</v>
      </c>
      <c r="AY135" s="22">
        <f t="shared" si="104"/>
        <v>3161.4669920631741</v>
      </c>
      <c r="AZ135" s="219">
        <f t="shared" si="105"/>
        <v>-373.11611066289242</v>
      </c>
    </row>
    <row r="136" spans="2:52" ht="15.75" thickBot="1" x14ac:dyDescent="0.25">
      <c r="B136" s="835"/>
      <c r="C136" s="836"/>
      <c r="D136" s="836"/>
      <c r="E136" s="836"/>
      <c r="F136" s="836"/>
      <c r="G136" s="836"/>
      <c r="H136" s="836"/>
      <c r="I136" s="840"/>
      <c r="J136" s="840"/>
      <c r="K136" s="845"/>
      <c r="L136" s="845"/>
      <c r="M136" s="845"/>
      <c r="N136" s="845"/>
      <c r="O136" s="845"/>
      <c r="P136" s="845"/>
      <c r="Q136" s="846"/>
      <c r="Y136" s="875" t="s">
        <v>8</v>
      </c>
      <c r="Z136" s="22">
        <f>I92-D92</f>
        <v>1271953.3560700489</v>
      </c>
      <c r="AA136" s="22">
        <f>Z136/W149</f>
        <v>2672.1709161135482</v>
      </c>
      <c r="AB136" s="22">
        <f>Z136/('Data, inkomst- skkompl, kost'!M97*1000)*100</f>
        <v>15.924878216611729</v>
      </c>
      <c r="AD136" s="22">
        <f>(AD43-AN43)/W149</f>
        <v>54.6102757834215</v>
      </c>
      <c r="AE136" s="1331">
        <f>AH43</f>
        <v>0.99339533700065774</v>
      </c>
      <c r="AR136" s="949" t="s">
        <v>21</v>
      </c>
      <c r="AS136" s="22">
        <v>2134597.4523428059</v>
      </c>
      <c r="AT136" s="22">
        <v>2165111.6623294731</v>
      </c>
      <c r="AU136" s="1">
        <v>5249478</v>
      </c>
      <c r="AV136" s="22">
        <f t="shared" si="101"/>
        <v>3114880.5476571941</v>
      </c>
      <c r="AW136" s="22">
        <f t="shared" si="102"/>
        <v>3027.0947985006746</v>
      </c>
      <c r="AX136" s="22">
        <f t="shared" si="103"/>
        <v>3084366.3376705269</v>
      </c>
      <c r="AY136" s="22">
        <f t="shared" si="104"/>
        <v>2997.4405613902109</v>
      </c>
      <c r="AZ136" s="219">
        <f t="shared" si="105"/>
        <v>-29.654237110463782</v>
      </c>
    </row>
    <row r="137" spans="2:52" x14ac:dyDescent="0.2">
      <c r="Y137" s="876" t="s">
        <v>9</v>
      </c>
      <c r="Z137" s="22">
        <f t="shared" ref="Z137:Z152" si="108">I93-D93</f>
        <v>2905076.2330689412</v>
      </c>
      <c r="AA137" s="22">
        <f t="shared" ref="AA137:AA151" si="109">Z137/W150</f>
        <v>3026.1210761134803</v>
      </c>
      <c r="AB137" s="22">
        <f>Z137/('Data, inkomst- skkompl, kost'!M98*1000)*100</f>
        <v>20.914214562343709</v>
      </c>
      <c r="AD137" s="22">
        <f t="shared" ref="AD137:AD151" si="110">(AD44-AN44)/W150</f>
        <v>-137.94364344343606</v>
      </c>
      <c r="AE137" s="1331">
        <f t="shared" ref="AE137:AE152" si="111">AH44</f>
        <v>0.91294369077323545</v>
      </c>
      <c r="AR137" s="949" t="s">
        <v>22</v>
      </c>
      <c r="AS137" s="22">
        <v>1321494.7878335374</v>
      </c>
      <c r="AT137" s="22">
        <v>1408500.8916702408</v>
      </c>
      <c r="AU137" s="1">
        <v>2518026</v>
      </c>
      <c r="AV137" s="22">
        <f t="shared" si="101"/>
        <v>1196531.2121664626</v>
      </c>
      <c r="AW137" s="22">
        <f t="shared" si="102"/>
        <v>2763.3515292528004</v>
      </c>
      <c r="AX137" s="22">
        <f t="shared" si="103"/>
        <v>1109525.1083297592</v>
      </c>
      <c r="AY137" s="22">
        <f t="shared" si="104"/>
        <v>2562.4136451033701</v>
      </c>
      <c r="AZ137" s="219">
        <f t="shared" si="105"/>
        <v>-200.93788414943037</v>
      </c>
    </row>
    <row r="138" spans="2:52" x14ac:dyDescent="0.2">
      <c r="Y138" s="876" t="s">
        <v>10</v>
      </c>
      <c r="Z138" s="22">
        <f t="shared" si="108"/>
        <v>7321794.3200353719</v>
      </c>
      <c r="AA138" s="22">
        <f t="shared" si="109"/>
        <v>2892.8464322541968</v>
      </c>
      <c r="AB138" s="22">
        <f>Z138/('Data, inkomst- skkompl, kost'!M99*1000)*100</f>
        <v>17.558450082085709</v>
      </c>
      <c r="AD138" s="22">
        <f t="shared" si="110"/>
        <v>203.99770228942236</v>
      </c>
      <c r="AE138" s="1331">
        <f t="shared" si="111"/>
        <v>1.1228557775247161</v>
      </c>
      <c r="AR138" s="949" t="s">
        <v>23</v>
      </c>
      <c r="AS138" s="22">
        <v>5711847.0136812655</v>
      </c>
      <c r="AT138" s="22">
        <v>5849395.3162922775</v>
      </c>
      <c r="AU138" s="1">
        <v>48413634</v>
      </c>
      <c r="AV138" s="22">
        <f t="shared" si="101"/>
        <v>42701786.986318737</v>
      </c>
      <c r="AW138" s="22">
        <f t="shared" si="102"/>
        <v>3748.0722361378685</v>
      </c>
      <c r="AX138" s="22">
        <f t="shared" si="103"/>
        <v>42564238.683707722</v>
      </c>
      <c r="AY138" s="22">
        <f t="shared" si="104"/>
        <v>3735.9991822792699</v>
      </c>
      <c r="AZ138" s="219">
        <f t="shared" si="105"/>
        <v>-12.073053858598541</v>
      </c>
    </row>
    <row r="139" spans="2:52" ht="15.75" x14ac:dyDescent="0.25">
      <c r="Y139" s="876" t="s">
        <v>11</v>
      </c>
      <c r="Z139" s="22">
        <f t="shared" si="108"/>
        <v>1776971.5957829705</v>
      </c>
      <c r="AA139" s="22">
        <f t="shared" si="109"/>
        <v>3074.3453214238243</v>
      </c>
      <c r="AB139" s="22">
        <f>Z139/('Data, inkomst- skkompl, kost'!M100*1000)*100</f>
        <v>20.475394807556228</v>
      </c>
      <c r="AD139" s="22">
        <f t="shared" si="110"/>
        <v>-299.5983179246972</v>
      </c>
      <c r="AE139" s="1331">
        <f t="shared" si="111"/>
        <v>0.86579060538663788</v>
      </c>
      <c r="AR139" s="5" t="s">
        <v>24</v>
      </c>
      <c r="AS139" s="22">
        <v>33258140.689067006</v>
      </c>
      <c r="AT139" s="22">
        <v>34104016.2269632</v>
      </c>
      <c r="AU139" s="1">
        <v>128832150</v>
      </c>
      <c r="AV139" s="22">
        <f t="shared" si="101"/>
        <v>95574009.310932994</v>
      </c>
      <c r="AW139" s="22">
        <f>AV139/L189</f>
        <v>3334.0546051396427</v>
      </c>
      <c r="AX139" s="22">
        <f t="shared" si="103"/>
        <v>94728133.773036808</v>
      </c>
      <c r="AY139" s="22">
        <f>AX139/L189</f>
        <v>3304.5466327020445</v>
      </c>
      <c r="AZ139" s="219">
        <f t="shared" si="105"/>
        <v>-29.507972437598255</v>
      </c>
    </row>
    <row r="140" spans="2:52" x14ac:dyDescent="0.2">
      <c r="Y140" s="876" t="s">
        <v>12</v>
      </c>
      <c r="Z140" s="22">
        <f t="shared" si="108"/>
        <v>1308252.3543331462</v>
      </c>
      <c r="AA140" s="22">
        <f t="shared" si="109"/>
        <v>2642.9340491578714</v>
      </c>
      <c r="AB140" s="22">
        <f>Z140/('Data, inkomst- skkompl, kost'!M101*1000)*100</f>
        <v>21.841250955303686</v>
      </c>
      <c r="AD140" s="22">
        <f t="shared" si="110"/>
        <v>-556.07222819595518</v>
      </c>
      <c r="AE140" s="1331">
        <f t="shared" si="111"/>
        <v>0.8184201829462685</v>
      </c>
    </row>
    <row r="141" spans="2:52" x14ac:dyDescent="0.2">
      <c r="Y141" s="876" t="s">
        <v>13</v>
      </c>
      <c r="Z141" s="22">
        <f t="shared" si="108"/>
        <v>4289861.5239246059</v>
      </c>
      <c r="AA141" s="22">
        <f t="shared" si="109"/>
        <v>2818.5686753775335</v>
      </c>
      <c r="AB141" s="22">
        <f>Z141/('Data, inkomst- skkompl, kost'!M102*1000)*100</f>
        <v>18.342736608521555</v>
      </c>
      <c r="AD141" s="22">
        <f t="shared" si="110"/>
        <v>24.36604990131551</v>
      </c>
      <c r="AE141" s="1331">
        <f t="shared" si="111"/>
        <v>0.98562486232897095</v>
      </c>
    </row>
    <row r="142" spans="2:52" x14ac:dyDescent="0.2">
      <c r="Y142" s="877" t="s">
        <v>14</v>
      </c>
      <c r="Z142" s="22">
        <f t="shared" si="108"/>
        <v>13916317.745183174</v>
      </c>
      <c r="AA142" s="22">
        <f t="shared" si="109"/>
        <v>3195.4805385035988</v>
      </c>
      <c r="AB142" s="22">
        <f>Z142/('Data, inkomst- skkompl, kost'!M103*1000)*100</f>
        <v>16.536829946151759</v>
      </c>
      <c r="AD142" s="22">
        <f t="shared" si="110"/>
        <v>174.66791175539561</v>
      </c>
      <c r="AE142" s="1331">
        <f t="shared" si="111"/>
        <v>1.1731478549177918</v>
      </c>
    </row>
    <row r="143" spans="2:52" ht="15.75" thickBot="1" x14ac:dyDescent="0.25">
      <c r="Y143" s="877" t="s">
        <v>15</v>
      </c>
      <c r="Z143" s="22">
        <f t="shared" si="108"/>
        <v>1008256.325071728</v>
      </c>
      <c r="AA143" s="22">
        <f t="shared" si="109"/>
        <v>2983.006878910438</v>
      </c>
      <c r="AB143" s="22">
        <f>Z143/('Data, inkomst- skkompl, kost'!M104*1000)*100</f>
        <v>18.969908449655563</v>
      </c>
      <c r="AD143" s="22">
        <f t="shared" si="110"/>
        <v>-42.591907922417541</v>
      </c>
      <c r="AE143" s="1331">
        <f t="shared" si="111"/>
        <v>0.95516196948633825</v>
      </c>
    </row>
    <row r="144" spans="2:52" ht="23.25" x14ac:dyDescent="0.35">
      <c r="B144" s="1078"/>
      <c r="C144" s="1144" t="s">
        <v>605</v>
      </c>
      <c r="D144" s="842"/>
      <c r="E144" s="842"/>
      <c r="F144" s="842"/>
      <c r="G144" s="842"/>
      <c r="H144" s="842"/>
      <c r="I144" s="842"/>
      <c r="J144" s="842"/>
      <c r="K144" s="842"/>
      <c r="L144" s="842"/>
      <c r="M144" s="842"/>
      <c r="N144" s="842"/>
      <c r="O144" s="842"/>
      <c r="P144" s="842"/>
      <c r="Q144" s="842"/>
      <c r="R144" s="842"/>
      <c r="S144" s="842"/>
      <c r="T144" s="842"/>
      <c r="U144" s="842"/>
      <c r="V144" s="842"/>
      <c r="W144" s="843"/>
      <c r="Y144" s="878" t="s">
        <v>16</v>
      </c>
      <c r="Z144" s="22">
        <f t="shared" si="108"/>
        <v>795561.4900116683</v>
      </c>
      <c r="AA144" s="22">
        <f t="shared" si="109"/>
        <v>3247.1897551496663</v>
      </c>
      <c r="AB144" s="22">
        <f>Z144/('Data, inkomst- skkompl, kost'!M105*1000)*100</f>
        <v>20.231868307560102</v>
      </c>
      <c r="AD144" s="22">
        <f t="shared" si="110"/>
        <v>218.3975763364258</v>
      </c>
      <c r="AE144" s="1331">
        <f t="shared" si="111"/>
        <v>1.0537100329376892</v>
      </c>
    </row>
    <row r="145" spans="2:31" x14ac:dyDescent="0.2">
      <c r="B145" s="664"/>
      <c r="C145" s="666"/>
      <c r="D145" s="666"/>
      <c r="E145" s="666"/>
      <c r="F145" s="666"/>
      <c r="G145" s="666"/>
      <c r="H145" s="666"/>
      <c r="I145" s="666"/>
      <c r="J145" s="666"/>
      <c r="K145" s="666"/>
      <c r="L145" s="666"/>
      <c r="M145" s="666"/>
      <c r="N145" s="666"/>
      <c r="O145" s="666"/>
      <c r="P145" s="666"/>
      <c r="Q145" s="666"/>
      <c r="R145" s="666"/>
      <c r="S145" s="666"/>
      <c r="T145" s="666"/>
      <c r="U145" s="666"/>
      <c r="V145" s="666"/>
      <c r="W145" s="844"/>
      <c r="Y145" s="876" t="s">
        <v>17</v>
      </c>
      <c r="Z145" s="22">
        <f t="shared" si="108"/>
        <v>6407964.5357548669</v>
      </c>
      <c r="AA145" s="22">
        <f t="shared" si="109"/>
        <v>3403.0613572782086</v>
      </c>
      <c r="AB145" s="22">
        <f>Z145/('Data, inkomst- skkompl, kost'!M106*1000)*100</f>
        <v>18.500256143438641</v>
      </c>
      <c r="AD145" s="22">
        <f t="shared" si="110"/>
        <v>-111.78083607136973</v>
      </c>
      <c r="AE145" s="1331">
        <f t="shared" si="111"/>
        <v>0.89812004474780571</v>
      </c>
    </row>
    <row r="146" spans="2:31" ht="24" thickBot="1" x14ac:dyDescent="0.4">
      <c r="B146" s="664"/>
      <c r="C146" s="1140">
        <v>2013</v>
      </c>
      <c r="D146" s="666"/>
      <c r="E146" s="666"/>
      <c r="F146" s="666"/>
      <c r="G146" s="666"/>
      <c r="H146" s="666"/>
      <c r="I146" s="666"/>
      <c r="J146" s="666"/>
      <c r="K146" s="666"/>
      <c r="L146" s="666"/>
      <c r="M146" s="1102"/>
      <c r="N146" s="1140">
        <v>2014</v>
      </c>
      <c r="O146" s="666"/>
      <c r="P146" s="666"/>
      <c r="Q146" s="666"/>
      <c r="R146" s="666"/>
      <c r="S146" s="666"/>
      <c r="T146" s="666"/>
      <c r="U146" s="666"/>
      <c r="V146" s="666"/>
      <c r="W146" s="844"/>
      <c r="Y146" s="876" t="s">
        <v>18</v>
      </c>
      <c r="Z146" s="22">
        <f t="shared" si="108"/>
        <v>1638187.4628297361</v>
      </c>
      <c r="AA146" s="22">
        <f t="shared" si="109"/>
        <v>4179.0496500758572</v>
      </c>
      <c r="AB146" s="22">
        <f>Z146/('Data, inkomst- skkompl, kost'!M107*1000)*100</f>
        <v>23.282620737527953</v>
      </c>
      <c r="AD146" s="22">
        <f t="shared" si="110"/>
        <v>-58.01519477405563</v>
      </c>
      <c r="AE146" s="1331">
        <f t="shared" si="111"/>
        <v>0.93978446655837888</v>
      </c>
    </row>
    <row r="147" spans="2:31" ht="18.75" customHeight="1" x14ac:dyDescent="0.2">
      <c r="B147" s="664"/>
      <c r="C147" s="1392" t="s">
        <v>613</v>
      </c>
      <c r="D147" s="1392" t="s">
        <v>607</v>
      </c>
      <c r="E147" s="1392" t="s">
        <v>569</v>
      </c>
      <c r="F147" s="1103" t="s">
        <v>219</v>
      </c>
      <c r="G147" s="1104"/>
      <c r="H147" s="1103" t="s">
        <v>219</v>
      </c>
      <c r="I147" s="1105"/>
      <c r="J147" s="1103" t="s">
        <v>219</v>
      </c>
      <c r="K147" s="1104"/>
      <c r="L147" s="1147"/>
      <c r="M147" s="1108"/>
      <c r="N147" s="1392" t="s">
        <v>613</v>
      </c>
      <c r="O147" s="1392" t="s">
        <v>706</v>
      </c>
      <c r="P147" s="1392" t="s">
        <v>569</v>
      </c>
      <c r="Q147" s="1103" t="s">
        <v>219</v>
      </c>
      <c r="R147" s="1104"/>
      <c r="S147" s="1103" t="s">
        <v>219</v>
      </c>
      <c r="T147" s="1105"/>
      <c r="U147" s="1103" t="s">
        <v>219</v>
      </c>
      <c r="V147" s="1104"/>
      <c r="W147" s="1147"/>
      <c r="Y147" s="876" t="s">
        <v>19</v>
      </c>
      <c r="Z147" s="22">
        <f t="shared" si="108"/>
        <v>5861236.959956672</v>
      </c>
      <c r="AA147" s="22">
        <f t="shared" si="109"/>
        <v>3215.1601535692112</v>
      </c>
      <c r="AB147" s="22">
        <f>Z147/('Data, inkomst- skkompl, kost'!M108*1000)*100</f>
        <v>19.994229460050363</v>
      </c>
      <c r="AD147" s="22">
        <f t="shared" si="110"/>
        <v>-275.95994557696486</v>
      </c>
      <c r="AE147" s="1331">
        <f t="shared" si="111"/>
        <v>0.79859918393348106</v>
      </c>
    </row>
    <row r="148" spans="2:31" ht="15.75" customHeight="1" thickBot="1" x14ac:dyDescent="0.25">
      <c r="B148" s="664"/>
      <c r="C148" s="1396"/>
      <c r="D148" s="1393"/>
      <c r="E148" s="1393"/>
      <c r="F148" s="1106" t="s">
        <v>221</v>
      </c>
      <c r="G148" s="1107"/>
      <c r="H148" s="1106" t="s">
        <v>220</v>
      </c>
      <c r="I148" s="1108"/>
      <c r="J148" s="1106" t="s">
        <v>222</v>
      </c>
      <c r="K148" s="1107"/>
      <c r="L148" s="1148" t="s">
        <v>231</v>
      </c>
      <c r="M148" s="1108"/>
      <c r="N148" s="1396"/>
      <c r="O148" s="1393"/>
      <c r="P148" s="1393"/>
      <c r="Q148" s="1106" t="s">
        <v>221</v>
      </c>
      <c r="R148" s="1107"/>
      <c r="S148" s="1106" t="s">
        <v>220</v>
      </c>
      <c r="T148" s="1108"/>
      <c r="U148" s="1106" t="s">
        <v>222</v>
      </c>
      <c r="V148" s="1107"/>
      <c r="W148" s="1148" t="s">
        <v>512</v>
      </c>
      <c r="Y148" s="876" t="s">
        <v>20</v>
      </c>
      <c r="Z148" s="22">
        <f t="shared" si="108"/>
        <v>342111.93494839047</v>
      </c>
      <c r="AA148" s="22">
        <f t="shared" si="109"/>
        <v>3387.2468806771335</v>
      </c>
      <c r="AB148" s="22">
        <f>Z148/('Data, inkomst- skkompl, kost'!M109*1000)*100</f>
        <v>17.720181877664359</v>
      </c>
      <c r="AD148" s="22">
        <f t="shared" si="110"/>
        <v>-366.74950035722435</v>
      </c>
      <c r="AE148" s="1331">
        <f t="shared" si="111"/>
        <v>0.84309433897952124</v>
      </c>
    </row>
    <row r="149" spans="2:31" ht="15.75" x14ac:dyDescent="0.25">
      <c r="B149" s="664" t="s">
        <v>8</v>
      </c>
      <c r="C149" s="1115">
        <f>D71</f>
        <v>1183030.3439159277</v>
      </c>
      <c r="D149" s="1110">
        <v>1216693.8534338812</v>
      </c>
      <c r="E149" s="1110">
        <f>D149/L149</f>
        <v>2534.7788613205857</v>
      </c>
      <c r="F149" s="1110">
        <f>C149-D149</f>
        <v>-33663.509517953498</v>
      </c>
      <c r="G149" s="1112"/>
      <c r="H149" s="1111">
        <f>(C149/L149)-E149</f>
        <v>-70.132311495736303</v>
      </c>
      <c r="I149" s="1112"/>
      <c r="J149" s="1113">
        <f>C149/D149</f>
        <v>0.97233198028991041</v>
      </c>
      <c r="K149" s="1114"/>
      <c r="L149" s="1149">
        <v>480</v>
      </c>
      <c r="M149" s="948"/>
      <c r="N149" s="1115">
        <f>D92</f>
        <v>1159046.6439299511</v>
      </c>
      <c r="O149" s="1116">
        <v>1166752.652</v>
      </c>
      <c r="P149" s="1117">
        <f>O149/W149</f>
        <v>2451.1610336134454</v>
      </c>
      <c r="Q149" s="1111">
        <f>N149-O149</f>
        <v>-7706.0080700488761</v>
      </c>
      <c r="R149" s="1112"/>
      <c r="S149" s="1111">
        <f>(N149/W149)-P149</f>
        <v>-16.189092584136233</v>
      </c>
      <c r="T149" s="1112"/>
      <c r="U149" s="1113">
        <f>N149/O149</f>
        <v>0.99339533700065774</v>
      </c>
      <c r="V149" s="1114"/>
      <c r="W149" s="1149">
        <v>476</v>
      </c>
      <c r="Y149" s="876" t="s">
        <v>21</v>
      </c>
      <c r="Z149" s="22">
        <f t="shared" si="108"/>
        <v>3132649.0049952096</v>
      </c>
      <c r="AA149" s="22">
        <f t="shared" si="109"/>
        <v>3026.714014488125</v>
      </c>
      <c r="AB149" s="22">
        <f>Z149/('Data, inkomst- skkompl, kost'!M110*1000)*100</f>
        <v>19.236450777011129</v>
      </c>
      <c r="AD149" s="22">
        <f t="shared" si="110"/>
        <v>7.7614840410424817</v>
      </c>
      <c r="AE149" s="1331">
        <f t="shared" si="111"/>
        <v>0.97536017610176073</v>
      </c>
    </row>
    <row r="150" spans="2:31" ht="15.75" x14ac:dyDescent="0.25">
      <c r="B150" s="664" t="s">
        <v>9</v>
      </c>
      <c r="C150" s="1118">
        <f t="shared" ref="C150:C164" si="112">D72</f>
        <v>1866881.254328765</v>
      </c>
      <c r="D150" s="1118">
        <v>2199706.7059342386</v>
      </c>
      <c r="E150" s="1118">
        <f t="shared" ref="E150:E166" si="113">D150/L150</f>
        <v>2249.1888608734548</v>
      </c>
      <c r="F150" s="1118">
        <f t="shared" ref="F150:F164" si="114">C150-D150</f>
        <v>-332825.45160547365</v>
      </c>
      <c r="G150" s="948"/>
      <c r="H150" s="1119">
        <f t="shared" ref="H150:H166" si="115">(C150/L150)-E150</f>
        <v>-340.31232270498344</v>
      </c>
      <c r="I150" s="948"/>
      <c r="J150" s="1120">
        <f t="shared" ref="J150:J166" si="116">C150/D150</f>
        <v>0.84869553258732322</v>
      </c>
      <c r="K150" s="1121"/>
      <c r="L150" s="1150">
        <v>978</v>
      </c>
      <c r="M150" s="948"/>
      <c r="N150" s="1118">
        <f t="shared" ref="N150:N164" si="117">D93</f>
        <v>1997923.7669310586</v>
      </c>
      <c r="O150" s="1109">
        <v>2188441.3979999996</v>
      </c>
      <c r="P150" s="1122">
        <f t="shared" ref="P150:P166" si="118">O150/W150</f>
        <v>2279.6264562499996</v>
      </c>
      <c r="Q150" s="1119">
        <f t="shared" ref="Q150:Q164" si="119">N150-O150</f>
        <v>-190517.63106894097</v>
      </c>
      <c r="R150" s="948"/>
      <c r="S150" s="1119">
        <f t="shared" ref="S150:S166" si="120">(N150/W150)-P150</f>
        <v>-198.45586569681336</v>
      </c>
      <c r="T150" s="948"/>
      <c r="U150" s="1120">
        <f t="shared" ref="U150:U164" si="121">N150/O150</f>
        <v>0.91294369077323545</v>
      </c>
      <c r="V150" s="1121"/>
      <c r="W150" s="1150">
        <v>960</v>
      </c>
      <c r="Y150" s="876" t="s">
        <v>22</v>
      </c>
      <c r="Z150" s="22">
        <f t="shared" si="108"/>
        <v>1115671.2615743577</v>
      </c>
      <c r="AA150" s="22">
        <f t="shared" si="109"/>
        <v>2643.7707620245446</v>
      </c>
      <c r="AB150" s="22">
        <f>Z150/('Data, inkomst- skkompl, kost'!M111*1000)*100</f>
        <v>18.426696649382659</v>
      </c>
      <c r="AD150" s="22">
        <f t="shared" si="110"/>
        <v>22.581919675707262</v>
      </c>
      <c r="AE150" s="1331">
        <f t="shared" si="111"/>
        <v>0.9782283515672423</v>
      </c>
    </row>
    <row r="151" spans="2:31" ht="16.5" thickBot="1" x14ac:dyDescent="0.3">
      <c r="B151" s="664" t="s">
        <v>10</v>
      </c>
      <c r="C151" s="1118">
        <f t="shared" si="112"/>
        <v>3773452.9662988447</v>
      </c>
      <c r="D151" s="1118">
        <v>3292349.7079742672</v>
      </c>
      <c r="E151" s="1118">
        <f t="shared" si="113"/>
        <v>1302.8688990796468</v>
      </c>
      <c r="F151" s="1118">
        <f t="shared" si="114"/>
        <v>481103.25832457747</v>
      </c>
      <c r="G151" s="948"/>
      <c r="H151" s="1119">
        <f t="shared" si="115"/>
        <v>190.38514377703882</v>
      </c>
      <c r="I151" s="948"/>
      <c r="J151" s="1120">
        <f t="shared" si="116"/>
        <v>1.1461276295040337</v>
      </c>
      <c r="K151" s="1121"/>
      <c r="L151" s="1150">
        <v>2527</v>
      </c>
      <c r="M151" s="948"/>
      <c r="N151" s="1118">
        <f t="shared" si="117"/>
        <v>3728205.6799646285</v>
      </c>
      <c r="O151" s="1109">
        <v>3320288.9940000009</v>
      </c>
      <c r="P151" s="1122">
        <f t="shared" si="118"/>
        <v>1311.8486740418809</v>
      </c>
      <c r="Q151" s="1119">
        <f t="shared" si="119"/>
        <v>407916.68596462766</v>
      </c>
      <c r="R151" s="948"/>
      <c r="S151" s="1119">
        <f t="shared" si="120"/>
        <v>161.16818884418331</v>
      </c>
      <c r="T151" s="948"/>
      <c r="U151" s="1120">
        <f t="shared" si="121"/>
        <v>1.1228557775247161</v>
      </c>
      <c r="V151" s="1121"/>
      <c r="W151" s="1150">
        <v>2531</v>
      </c>
      <c r="Y151" s="876" t="s">
        <v>23</v>
      </c>
      <c r="Z151" s="22">
        <f t="shared" si="108"/>
        <v>42638265.425566167</v>
      </c>
      <c r="AA151" s="22">
        <f t="shared" si="109"/>
        <v>3757.9997730976702</v>
      </c>
      <c r="AB151" s="22">
        <f>Z151/('Data, inkomst- skkompl, kost'!M112*1000)*100</f>
        <v>18.478706514273746</v>
      </c>
      <c r="AD151" s="22">
        <f t="shared" si="110"/>
        <v>-3.7510292087416461</v>
      </c>
      <c r="AE151" s="1331">
        <f t="shared" si="111"/>
        <v>0.9647196862966283</v>
      </c>
    </row>
    <row r="152" spans="2:31" ht="16.5" thickBot="1" x14ac:dyDescent="0.3">
      <c r="B152" s="664" t="s">
        <v>11</v>
      </c>
      <c r="C152" s="1118">
        <f t="shared" si="112"/>
        <v>1323716.7842437392</v>
      </c>
      <c r="D152" s="1118">
        <v>1576625.4844174411</v>
      </c>
      <c r="E152" s="1118">
        <f t="shared" si="113"/>
        <v>2732.4531792329999</v>
      </c>
      <c r="F152" s="1118">
        <f t="shared" si="114"/>
        <v>-252908.70017370186</v>
      </c>
      <c r="G152" s="948"/>
      <c r="H152" s="1119">
        <f t="shared" si="115"/>
        <v>-438.31663808267194</v>
      </c>
      <c r="I152" s="948"/>
      <c r="J152" s="1120">
        <f t="shared" si="116"/>
        <v>0.83958860067065899</v>
      </c>
      <c r="K152" s="1121"/>
      <c r="L152" s="1150">
        <v>577</v>
      </c>
      <c r="M152" s="948"/>
      <c r="N152" s="1118">
        <f t="shared" si="117"/>
        <v>1375028.4042170295</v>
      </c>
      <c r="O152" s="1109">
        <v>1588176.6280000003</v>
      </c>
      <c r="P152" s="1122">
        <f t="shared" si="118"/>
        <v>2747.7104290657444</v>
      </c>
      <c r="Q152" s="1119">
        <f t="shared" si="119"/>
        <v>-213148.2237829708</v>
      </c>
      <c r="R152" s="948"/>
      <c r="S152" s="1119">
        <f t="shared" si="120"/>
        <v>-368.76855325773477</v>
      </c>
      <c r="T152" s="948"/>
      <c r="U152" s="1120">
        <f t="shared" si="121"/>
        <v>0.86579060538663788</v>
      </c>
      <c r="V152" s="1121"/>
      <c r="W152" s="1150">
        <v>578</v>
      </c>
      <c r="Y152" s="874" t="s">
        <v>247</v>
      </c>
      <c r="Z152" s="22">
        <f t="shared" si="108"/>
        <v>95730131.529107064</v>
      </c>
      <c r="AA152" s="22">
        <f>Z152/W166</f>
        <v>3358.7162840890837</v>
      </c>
      <c r="AB152" s="22">
        <f>Z152/('Data, inkomst- skkompl, kost'!M113*1000)*100</f>
        <v>18.373091913789992</v>
      </c>
      <c r="AD152" s="22">
        <f>(AD59-AN59)/W166</f>
        <v>0</v>
      </c>
      <c r="AE152" s="1331">
        <f t="shared" si="111"/>
        <v>0.97174547888625984</v>
      </c>
    </row>
    <row r="153" spans="2:31" ht="15.75" x14ac:dyDescent="0.25">
      <c r="B153" s="664" t="s">
        <v>12</v>
      </c>
      <c r="C153" s="1118">
        <f t="shared" si="112"/>
        <v>1578868.8640119936</v>
      </c>
      <c r="D153" s="1118">
        <v>1739697.0046962115</v>
      </c>
      <c r="E153" s="1118">
        <f t="shared" si="113"/>
        <v>3535.9695217402673</v>
      </c>
      <c r="F153" s="1118">
        <f t="shared" si="114"/>
        <v>-160828.14068421791</v>
      </c>
      <c r="G153" s="948"/>
      <c r="H153" s="1119">
        <f t="shared" si="115"/>
        <v>-326.88646480532088</v>
      </c>
      <c r="I153" s="948"/>
      <c r="J153" s="1120">
        <f t="shared" si="116"/>
        <v>0.90755393597271727</v>
      </c>
      <c r="K153" s="1121"/>
      <c r="L153" s="1150">
        <v>492</v>
      </c>
      <c r="M153" s="948"/>
      <c r="N153" s="1118">
        <f t="shared" si="117"/>
        <v>1427747.6456668538</v>
      </c>
      <c r="O153" s="1109">
        <v>1744516.662</v>
      </c>
      <c r="P153" s="1122">
        <f t="shared" si="118"/>
        <v>3524.276084848485</v>
      </c>
      <c r="Q153" s="1119">
        <f t="shared" si="119"/>
        <v>-316769.01633314625</v>
      </c>
      <c r="R153" s="948"/>
      <c r="S153" s="1119">
        <f t="shared" si="120"/>
        <v>-639.9374067336289</v>
      </c>
      <c r="T153" s="948"/>
      <c r="U153" s="1120">
        <f t="shared" si="121"/>
        <v>0.8184201829462685</v>
      </c>
      <c r="V153" s="1121"/>
      <c r="W153" s="1150">
        <v>495</v>
      </c>
    </row>
    <row r="154" spans="2:31" ht="15.75" x14ac:dyDescent="0.25">
      <c r="B154" s="664" t="s">
        <v>13</v>
      </c>
      <c r="C154" s="1118">
        <f t="shared" si="112"/>
        <v>2566121.3843153464</v>
      </c>
      <c r="D154" s="1118">
        <v>2440418.4450414581</v>
      </c>
      <c r="E154" s="1118">
        <f t="shared" si="113"/>
        <v>1599.2257175894222</v>
      </c>
      <c r="F154" s="1118">
        <f t="shared" si="114"/>
        <v>125702.93927388825</v>
      </c>
      <c r="G154" s="948"/>
      <c r="H154" s="1119">
        <f t="shared" si="115"/>
        <v>82.374141070700034</v>
      </c>
      <c r="I154" s="948"/>
      <c r="J154" s="1120">
        <f t="shared" si="116"/>
        <v>1.0515087646257126</v>
      </c>
      <c r="K154" s="1121"/>
      <c r="L154" s="1150">
        <v>1526</v>
      </c>
      <c r="M154" s="948"/>
      <c r="N154" s="1118">
        <f t="shared" si="117"/>
        <v>2559138.4760753936</v>
      </c>
      <c r="O154" s="1109">
        <v>2596462.9890000001</v>
      </c>
      <c r="P154" s="1122">
        <f t="shared" si="118"/>
        <v>1705.9546576872538</v>
      </c>
      <c r="Q154" s="1119">
        <f t="shared" si="119"/>
        <v>-37324.512924606446</v>
      </c>
      <c r="R154" s="948"/>
      <c r="S154" s="1119">
        <f t="shared" si="120"/>
        <v>-24.523333064787494</v>
      </c>
      <c r="T154" s="948"/>
      <c r="U154" s="1120">
        <f t="shared" si="121"/>
        <v>0.98562486232897095</v>
      </c>
      <c r="V154" s="1121"/>
      <c r="W154" s="1150">
        <v>1522</v>
      </c>
    </row>
    <row r="155" spans="2:31" ht="15.75" x14ac:dyDescent="0.25">
      <c r="B155" s="664" t="s">
        <v>14</v>
      </c>
      <c r="C155" s="1118">
        <f t="shared" si="112"/>
        <v>4463078.5680338182</v>
      </c>
      <c r="D155" s="1118">
        <v>4303219.6347498214</v>
      </c>
      <c r="E155" s="1118">
        <f t="shared" si="113"/>
        <v>1012.7605636031587</v>
      </c>
      <c r="F155" s="1118">
        <f t="shared" si="114"/>
        <v>159858.93328399677</v>
      </c>
      <c r="G155" s="948"/>
      <c r="H155" s="1119">
        <f t="shared" si="115"/>
        <v>37.622719059542533</v>
      </c>
      <c r="I155" s="948"/>
      <c r="J155" s="1120">
        <f t="shared" si="116"/>
        <v>1.0371486809534625</v>
      </c>
      <c r="K155" s="1121"/>
      <c r="L155" s="1150">
        <v>4249</v>
      </c>
      <c r="M155" s="948"/>
      <c r="N155" s="1118">
        <f t="shared" si="117"/>
        <v>4305682.2548168255</v>
      </c>
      <c r="O155" s="1109">
        <v>3670195.7359999996</v>
      </c>
      <c r="P155" s="1122">
        <f t="shared" si="118"/>
        <v>842.75447439724439</v>
      </c>
      <c r="Q155" s="1119">
        <f t="shared" si="119"/>
        <v>635486.51881682593</v>
      </c>
      <c r="R155" s="948"/>
      <c r="S155" s="1119">
        <f t="shared" si="120"/>
        <v>145.92112946425402</v>
      </c>
      <c r="T155" s="948"/>
      <c r="U155" s="1120">
        <f t="shared" si="121"/>
        <v>1.1731478549177918</v>
      </c>
      <c r="V155" s="1121"/>
      <c r="W155" s="1150">
        <v>4355</v>
      </c>
    </row>
    <row r="156" spans="2:31" ht="20.25" thickBot="1" x14ac:dyDescent="0.35">
      <c r="B156" s="664" t="s">
        <v>15</v>
      </c>
      <c r="C156" s="1118">
        <f t="shared" si="112"/>
        <v>904049.0142732925</v>
      </c>
      <c r="D156" s="1118">
        <v>851804.01855039306</v>
      </c>
      <c r="E156" s="1118">
        <f t="shared" si="113"/>
        <v>2359.5679184221412</v>
      </c>
      <c r="F156" s="1118">
        <f t="shared" si="114"/>
        <v>52244.995722899446</v>
      </c>
      <c r="G156" s="948"/>
      <c r="H156" s="1119">
        <f t="shared" si="115"/>
        <v>144.72297984182705</v>
      </c>
      <c r="I156" s="948"/>
      <c r="J156" s="1120">
        <f t="shared" si="116"/>
        <v>1.0613345260002534</v>
      </c>
      <c r="K156" s="1121"/>
      <c r="L156" s="1150">
        <v>361</v>
      </c>
      <c r="M156" s="948"/>
      <c r="N156" s="1118">
        <f t="shared" si="117"/>
        <v>805743.67492827203</v>
      </c>
      <c r="O156" s="1109">
        <v>843567.58399999992</v>
      </c>
      <c r="P156" s="1122">
        <f t="shared" si="118"/>
        <v>2495.7620828402364</v>
      </c>
      <c r="Q156" s="1119">
        <f t="shared" si="119"/>
        <v>-37823.909071727889</v>
      </c>
      <c r="R156" s="948"/>
      <c r="S156" s="1119">
        <f t="shared" si="120"/>
        <v>-111.90505642523021</v>
      </c>
      <c r="T156" s="948"/>
      <c r="U156" s="1120">
        <f t="shared" si="121"/>
        <v>0.95516196948633825</v>
      </c>
      <c r="V156" s="1121"/>
      <c r="W156" s="1150">
        <v>338</v>
      </c>
      <c r="Z156" s="120" t="s">
        <v>743</v>
      </c>
      <c r="AD156" s="5" t="s">
        <v>740</v>
      </c>
      <c r="AE156" s="5" t="s">
        <v>740</v>
      </c>
    </row>
    <row r="157" spans="2:31" ht="16.5" thickTop="1" x14ac:dyDescent="0.25">
      <c r="B157" s="664" t="s">
        <v>16</v>
      </c>
      <c r="C157" s="1118">
        <f t="shared" si="112"/>
        <v>752058.70748465892</v>
      </c>
      <c r="D157" s="1118">
        <v>723512.01050035737</v>
      </c>
      <c r="E157" s="1118">
        <f t="shared" si="113"/>
        <v>2905.6707249010337</v>
      </c>
      <c r="F157" s="1118">
        <f t="shared" si="114"/>
        <v>28546.696984301554</v>
      </c>
      <c r="G157" s="948"/>
      <c r="H157" s="1119">
        <f t="shared" si="115"/>
        <v>114.6453694148654</v>
      </c>
      <c r="I157" s="948"/>
      <c r="J157" s="1120">
        <f t="shared" si="116"/>
        <v>1.0394557333810666</v>
      </c>
      <c r="K157" s="1121"/>
      <c r="L157" s="1150">
        <v>249</v>
      </c>
      <c r="M157" s="948"/>
      <c r="N157" s="1118">
        <f t="shared" si="117"/>
        <v>668438.5099883317</v>
      </c>
      <c r="O157" s="1109">
        <v>634366.65599999996</v>
      </c>
      <c r="P157" s="1122">
        <f t="shared" si="118"/>
        <v>2589.2516571428569</v>
      </c>
      <c r="Q157" s="1119">
        <f t="shared" si="119"/>
        <v>34071.853988331743</v>
      </c>
      <c r="R157" s="948"/>
      <c r="S157" s="1119">
        <f t="shared" si="120"/>
        <v>139.06879178910913</v>
      </c>
      <c r="T157" s="948"/>
      <c r="U157" s="1120">
        <f t="shared" si="121"/>
        <v>1.0537100329376892</v>
      </c>
      <c r="V157" s="1121"/>
      <c r="W157" s="1150">
        <v>245</v>
      </c>
      <c r="Z157" s="5" t="s">
        <v>735</v>
      </c>
      <c r="AA157" s="5"/>
      <c r="AB157" s="5"/>
      <c r="AC157" s="5"/>
      <c r="AD157" s="5" t="s">
        <v>745</v>
      </c>
      <c r="AE157" s="5" t="s">
        <v>746</v>
      </c>
    </row>
    <row r="158" spans="2:31" ht="16.5" thickBot="1" x14ac:dyDescent="0.3">
      <c r="B158" s="664" t="s">
        <v>17</v>
      </c>
      <c r="C158" s="1118">
        <f t="shared" si="112"/>
        <v>2272768.9033802128</v>
      </c>
      <c r="D158" s="1118">
        <v>2673554.202219442</v>
      </c>
      <c r="E158" s="1118">
        <f t="shared" si="113"/>
        <v>1437.394732376044</v>
      </c>
      <c r="F158" s="1118">
        <f t="shared" si="114"/>
        <v>-400785.29883922916</v>
      </c>
      <c r="G158" s="948"/>
      <c r="H158" s="1119">
        <f t="shared" si="115"/>
        <v>-215.47596711786514</v>
      </c>
      <c r="I158" s="948"/>
      <c r="J158" s="1120">
        <f t="shared" si="116"/>
        <v>0.85009269738892201</v>
      </c>
      <c r="K158" s="1121"/>
      <c r="L158" s="1150">
        <v>1860</v>
      </c>
      <c r="M158" s="948"/>
      <c r="N158" s="1118">
        <f t="shared" si="117"/>
        <v>2495035.4642451336</v>
      </c>
      <c r="O158" s="1109">
        <v>2778064.5570000005</v>
      </c>
      <c r="P158" s="1122">
        <f t="shared" si="118"/>
        <v>1475.3396479022838</v>
      </c>
      <c r="Q158" s="1119">
        <f t="shared" si="119"/>
        <v>-283029.09275486693</v>
      </c>
      <c r="R158" s="948"/>
      <c r="S158" s="1119">
        <f t="shared" si="120"/>
        <v>-150.30753731007258</v>
      </c>
      <c r="T158" s="948"/>
      <c r="U158" s="1120">
        <f t="shared" si="121"/>
        <v>0.89812004474780571</v>
      </c>
      <c r="V158" s="1121"/>
      <c r="W158" s="1150">
        <v>1883</v>
      </c>
      <c r="Z158" s="5" t="s">
        <v>731</v>
      </c>
      <c r="AA158" s="5" t="s">
        <v>732</v>
      </c>
      <c r="AB158" s="5" t="s">
        <v>733</v>
      </c>
      <c r="AC158" s="5"/>
      <c r="AD158" s="5" t="s">
        <v>744</v>
      </c>
      <c r="AE158" s="5" t="s">
        <v>744</v>
      </c>
    </row>
    <row r="159" spans="2:31" ht="15.75" x14ac:dyDescent="0.25">
      <c r="B159" s="664" t="s">
        <v>18</v>
      </c>
      <c r="C159" s="1118">
        <f t="shared" si="112"/>
        <v>666332.2552461772</v>
      </c>
      <c r="D159" s="1118">
        <v>700714.95513795561</v>
      </c>
      <c r="E159" s="1118">
        <f t="shared" si="113"/>
        <v>1756.177832425954</v>
      </c>
      <c r="F159" s="1118">
        <f t="shared" si="114"/>
        <v>-34382.699891778408</v>
      </c>
      <c r="G159" s="948"/>
      <c r="H159" s="1119">
        <f t="shared" si="115"/>
        <v>-86.172180179895804</v>
      </c>
      <c r="I159" s="948"/>
      <c r="J159" s="1120">
        <f t="shared" si="116"/>
        <v>0.95093197363682758</v>
      </c>
      <c r="K159" s="1121"/>
      <c r="L159" s="1150">
        <v>399</v>
      </c>
      <c r="M159" s="948"/>
      <c r="N159" s="1118">
        <f t="shared" si="117"/>
        <v>649812.53717026406</v>
      </c>
      <c r="O159" s="1109">
        <v>691448.47600000002</v>
      </c>
      <c r="P159" s="1122">
        <f t="shared" si="118"/>
        <v>1763.8991734693877</v>
      </c>
      <c r="Q159" s="1119">
        <f t="shared" si="119"/>
        <v>-41635.938829735969</v>
      </c>
      <c r="R159" s="948"/>
      <c r="S159" s="1119">
        <f t="shared" si="120"/>
        <v>-106.21412966769367</v>
      </c>
      <c r="T159" s="948"/>
      <c r="U159" s="1120">
        <f t="shared" si="121"/>
        <v>0.93978446655837888</v>
      </c>
      <c r="V159" s="1121"/>
      <c r="W159" s="1150">
        <v>392</v>
      </c>
      <c r="Y159" s="875" t="s">
        <v>8</v>
      </c>
      <c r="Z159" s="22">
        <f>H71-D71</f>
        <v>1371969.6560840723</v>
      </c>
      <c r="AA159" s="22">
        <f>Z159/L149</f>
        <v>2858.2701168418175</v>
      </c>
      <c r="AB159" s="22">
        <f>Z159/('Data, inkomst- skkompl, kost'!L97*1000)*100</f>
        <v>17.241579566347546</v>
      </c>
      <c r="AD159" s="22">
        <f>(AD20-AN20)/L149</f>
        <v>1.1866473834127342</v>
      </c>
      <c r="AE159" s="1331">
        <f>AH64</f>
        <v>0.97845602303796331</v>
      </c>
    </row>
    <row r="160" spans="2:31" ht="15.75" x14ac:dyDescent="0.25">
      <c r="B160" s="664" t="s">
        <v>19</v>
      </c>
      <c r="C160" s="1118">
        <f t="shared" si="112"/>
        <v>2363359.3597819796</v>
      </c>
      <c r="D160" s="1118">
        <v>2774752.3332723374</v>
      </c>
      <c r="E160" s="1118">
        <f t="shared" si="113"/>
        <v>1533.0123388244958</v>
      </c>
      <c r="F160" s="1118">
        <f t="shared" si="114"/>
        <v>-411392.97349035786</v>
      </c>
      <c r="G160" s="948"/>
      <c r="H160" s="1119">
        <f t="shared" si="115"/>
        <v>-227.28893563003203</v>
      </c>
      <c r="I160" s="948"/>
      <c r="J160" s="1120">
        <f t="shared" si="116"/>
        <v>0.85173704746283019</v>
      </c>
      <c r="K160" s="1121"/>
      <c r="L160" s="1150">
        <v>1810</v>
      </c>
      <c r="M160" s="948"/>
      <c r="N160" s="1118">
        <f t="shared" si="117"/>
        <v>2254763.0400433275</v>
      </c>
      <c r="O160" s="1109">
        <v>2823397.6259999997</v>
      </c>
      <c r="P160" s="1122">
        <f t="shared" si="118"/>
        <v>1548.7644684585846</v>
      </c>
      <c r="Q160" s="1119">
        <f t="shared" si="119"/>
        <v>-568634.58595667221</v>
      </c>
      <c r="R160" s="948"/>
      <c r="S160" s="1119">
        <f t="shared" si="120"/>
        <v>-311.92242784238738</v>
      </c>
      <c r="T160" s="948"/>
      <c r="U160" s="1120">
        <f t="shared" si="121"/>
        <v>0.79859918393348106</v>
      </c>
      <c r="V160" s="1121"/>
      <c r="W160" s="1150">
        <v>1823</v>
      </c>
      <c r="Y160" s="876" t="s">
        <v>9</v>
      </c>
      <c r="Z160" s="22">
        <f t="shared" ref="Z160:Z175" si="122">H72-D72</f>
        <v>2974118.745671235</v>
      </c>
      <c r="AA160" s="22">
        <f t="shared" ref="AA160:AA174" si="123">Z160/L150</f>
        <v>3041.0212123427759</v>
      </c>
      <c r="AB160" s="22">
        <f>Z160/('Data, inkomst- skkompl, kost'!L98*1000)*100</f>
        <v>21.467094466851648</v>
      </c>
      <c r="AD160" s="22">
        <f t="shared" ref="AD160:AD174" si="124">(AD21-AN21)/L150</f>
        <v>-285.07556377065055</v>
      </c>
      <c r="AE160" s="1331">
        <f t="shared" ref="AE160:AE175" si="125">AH65</f>
        <v>0.9064244039599938</v>
      </c>
    </row>
    <row r="161" spans="2:31" ht="15.75" x14ac:dyDescent="0.25">
      <c r="B161" s="664" t="s">
        <v>20</v>
      </c>
      <c r="C161" s="1118">
        <f t="shared" si="112"/>
        <v>260999.7304024304</v>
      </c>
      <c r="D161" s="1118">
        <v>277989.16146676196</v>
      </c>
      <c r="E161" s="1118">
        <f t="shared" si="113"/>
        <v>2698.9238977355531</v>
      </c>
      <c r="F161" s="1118">
        <f t="shared" si="114"/>
        <v>-16989.431064331555</v>
      </c>
      <c r="G161" s="948"/>
      <c r="H161" s="1119">
        <f t="shared" si="115"/>
        <v>-164.94593266341326</v>
      </c>
      <c r="I161" s="948"/>
      <c r="J161" s="1120">
        <f t="shared" si="116"/>
        <v>0.93888455587732356</v>
      </c>
      <c r="K161" s="1121"/>
      <c r="L161" s="1150">
        <v>103</v>
      </c>
      <c r="M161" s="948"/>
      <c r="N161" s="1118">
        <f t="shared" si="117"/>
        <v>235888.06505160956</v>
      </c>
      <c r="O161" s="1109">
        <v>279788.45800000004</v>
      </c>
      <c r="P161" s="1122">
        <f t="shared" si="118"/>
        <v>2770.182752475248</v>
      </c>
      <c r="Q161" s="1119">
        <f t="shared" si="119"/>
        <v>-43900.392948390479</v>
      </c>
      <c r="R161" s="948"/>
      <c r="S161" s="1119">
        <f t="shared" si="120"/>
        <v>-434.65735592465808</v>
      </c>
      <c r="T161" s="948"/>
      <c r="U161" s="1120">
        <f t="shared" si="121"/>
        <v>0.84309433897952124</v>
      </c>
      <c r="V161" s="1121"/>
      <c r="W161" s="1150">
        <v>101</v>
      </c>
      <c r="Y161" s="876" t="s">
        <v>10</v>
      </c>
      <c r="Z161" s="22">
        <f t="shared" si="122"/>
        <v>7450547.0337011553</v>
      </c>
      <c r="AA161" s="22">
        <f t="shared" si="123"/>
        <v>2948.3763489122102</v>
      </c>
      <c r="AB161" s="22">
        <f>Z161/('Data, inkomst- skkompl, kost'!L99*1000)*100</f>
        <v>18.165663556230193</v>
      </c>
      <c r="AD161" s="22">
        <f t="shared" si="124"/>
        <v>233.59512197297454</v>
      </c>
      <c r="AE161" s="1331">
        <f t="shared" si="125"/>
        <v>1.1107988458112807</v>
      </c>
    </row>
    <row r="162" spans="2:31" ht="15.75" x14ac:dyDescent="0.25">
      <c r="B162" s="664" t="s">
        <v>21</v>
      </c>
      <c r="C162" s="1118">
        <f t="shared" si="112"/>
        <v>2150140.4144398049</v>
      </c>
      <c r="D162" s="1118">
        <v>2111357.3397884206</v>
      </c>
      <c r="E162" s="1118">
        <f t="shared" si="113"/>
        <v>2045.8888951438184</v>
      </c>
      <c r="F162" s="1118">
        <f t="shared" si="114"/>
        <v>38783.074651384261</v>
      </c>
      <c r="G162" s="948"/>
      <c r="H162" s="1119">
        <f t="shared" si="115"/>
        <v>37.580498693201662</v>
      </c>
      <c r="I162" s="948"/>
      <c r="J162" s="1120">
        <f t="shared" si="116"/>
        <v>1.01836878766115</v>
      </c>
      <c r="K162" s="1121"/>
      <c r="L162" s="1150">
        <v>1032</v>
      </c>
      <c r="M162" s="948"/>
      <c r="N162" s="1118">
        <f t="shared" si="117"/>
        <v>2106350.9950047904</v>
      </c>
      <c r="O162" s="1109">
        <v>2159562.2279999997</v>
      </c>
      <c r="P162" s="1122">
        <f t="shared" si="118"/>
        <v>2086.5335536231883</v>
      </c>
      <c r="Q162" s="1119">
        <f t="shared" si="119"/>
        <v>-53211.232995209284</v>
      </c>
      <c r="R162" s="948"/>
      <c r="S162" s="1119">
        <f t="shared" si="120"/>
        <v>-51.411819319042934</v>
      </c>
      <c r="T162" s="948"/>
      <c r="U162" s="1120">
        <f t="shared" si="121"/>
        <v>0.97536017610176073</v>
      </c>
      <c r="V162" s="1121"/>
      <c r="W162" s="1150">
        <v>1035</v>
      </c>
      <c r="Y162" s="876" t="s">
        <v>11</v>
      </c>
      <c r="Z162" s="22">
        <f t="shared" si="122"/>
        <v>1828283.2157562608</v>
      </c>
      <c r="AA162" s="22">
        <f t="shared" si="123"/>
        <v>3168.6017604094641</v>
      </c>
      <c r="AB162" s="22">
        <f>Z162/('Data, inkomst- skkompl, kost'!L100*1000)*100</f>
        <v>20.61175602407226</v>
      </c>
      <c r="AD162" s="22">
        <f t="shared" si="124"/>
        <v>-371.93169146503988</v>
      </c>
      <c r="AE162" s="1331">
        <f t="shared" si="125"/>
        <v>0.8160290156966834</v>
      </c>
    </row>
    <row r="163" spans="2:31" ht="15.75" x14ac:dyDescent="0.25">
      <c r="B163" s="664" t="s">
        <v>22</v>
      </c>
      <c r="C163" s="1118">
        <f t="shared" si="112"/>
        <v>1254938.8578124351</v>
      </c>
      <c r="D163" s="1118">
        <v>1360146.6790107221</v>
      </c>
      <c r="E163" s="1118">
        <f t="shared" si="113"/>
        <v>3029.2799087098488</v>
      </c>
      <c r="F163" s="1118">
        <f t="shared" si="114"/>
        <v>-105207.82119828695</v>
      </c>
      <c r="G163" s="948"/>
      <c r="H163" s="1119">
        <f t="shared" si="115"/>
        <v>-234.31586012981506</v>
      </c>
      <c r="I163" s="948"/>
      <c r="J163" s="1120">
        <f t="shared" si="116"/>
        <v>0.92264965034888158</v>
      </c>
      <c r="K163" s="1121"/>
      <c r="L163" s="1150">
        <v>449</v>
      </c>
      <c r="M163" s="948"/>
      <c r="N163" s="1118">
        <f t="shared" si="117"/>
        <v>1397328.7384256423</v>
      </c>
      <c r="O163" s="1109">
        <v>1428427.97</v>
      </c>
      <c r="P163" s="1122">
        <f t="shared" si="118"/>
        <v>3384.900402843602</v>
      </c>
      <c r="Q163" s="1119">
        <f t="shared" si="119"/>
        <v>-31099.23157435772</v>
      </c>
      <c r="R163" s="948"/>
      <c r="S163" s="1119">
        <f t="shared" si="120"/>
        <v>-73.694861550610767</v>
      </c>
      <c r="T163" s="948"/>
      <c r="U163" s="1120">
        <f t="shared" si="121"/>
        <v>0.9782283515672423</v>
      </c>
      <c r="V163" s="1121"/>
      <c r="W163" s="1150">
        <v>422</v>
      </c>
      <c r="Y163" s="876" t="s">
        <v>12</v>
      </c>
      <c r="Z163" s="22">
        <f t="shared" si="122"/>
        <v>938131.13598800637</v>
      </c>
      <c r="AA163" s="22">
        <f t="shared" si="123"/>
        <v>1906.7706016016389</v>
      </c>
      <c r="AB163" s="22">
        <f>Z163/('Data, inkomst- skkompl, kost'!L101*1000)*100</f>
        <v>16.284678483551112</v>
      </c>
      <c r="AD163" s="22">
        <f t="shared" si="124"/>
        <v>-234.02590328034978</v>
      </c>
      <c r="AE163" s="1331">
        <f t="shared" si="125"/>
        <v>0.86811703400915763</v>
      </c>
    </row>
    <row r="164" spans="2:31" ht="16.5" thickBot="1" x14ac:dyDescent="0.3">
      <c r="B164" s="664" t="s">
        <v>23</v>
      </c>
      <c r="C164" s="1123">
        <f t="shared" si="112"/>
        <v>5623714.5413873866</v>
      </c>
      <c r="D164" s="1123">
        <v>5715986.097562544</v>
      </c>
      <c r="E164" s="1123">
        <f t="shared" si="113"/>
        <v>507.50120727715034</v>
      </c>
      <c r="F164" s="1123">
        <f t="shared" si="114"/>
        <v>-92271.556175157428</v>
      </c>
      <c r="G164" s="1125"/>
      <c r="H164" s="1124">
        <f t="shared" si="115"/>
        <v>-8.1924492741860604</v>
      </c>
      <c r="I164" s="1125"/>
      <c r="J164" s="1126">
        <f t="shared" si="116"/>
        <v>0.98385728121093496</v>
      </c>
      <c r="K164" s="1127"/>
      <c r="L164" s="1151">
        <v>11263</v>
      </c>
      <c r="M164" s="948"/>
      <c r="N164" s="1123">
        <f t="shared" si="117"/>
        <v>5678734.5744338334</v>
      </c>
      <c r="O164" s="1128">
        <v>5886408.9280000012</v>
      </c>
      <c r="P164" s="1129">
        <f t="shared" si="118"/>
        <v>518.80917750749177</v>
      </c>
      <c r="Q164" s="1124">
        <f t="shared" si="119"/>
        <v>-207674.35356616788</v>
      </c>
      <c r="R164" s="1125"/>
      <c r="S164" s="1124">
        <f t="shared" si="120"/>
        <v>-18.303750534652579</v>
      </c>
      <c r="T164" s="1125"/>
      <c r="U164" s="1126">
        <f t="shared" si="121"/>
        <v>0.9647196862966283</v>
      </c>
      <c r="V164" s="1127"/>
      <c r="W164" s="1151">
        <v>11346</v>
      </c>
      <c r="Y164" s="876" t="s">
        <v>13</v>
      </c>
      <c r="Z164" s="22">
        <f t="shared" si="122"/>
        <v>4238878.6156846536</v>
      </c>
      <c r="AA164" s="22">
        <f t="shared" si="123"/>
        <v>2777.7710456649106</v>
      </c>
      <c r="AB164" s="22">
        <f>Z164/('Data, inkomst- skkompl, kost'!L102*1000)*100</f>
        <v>18.251445496796425</v>
      </c>
      <c r="AD164" s="22">
        <f t="shared" si="124"/>
        <v>131.03424252804186</v>
      </c>
      <c r="AE164" s="1331">
        <f t="shared" si="125"/>
        <v>0.9715978118487586</v>
      </c>
    </row>
    <row r="165" spans="2:31" ht="16.5" thickBot="1" x14ac:dyDescent="0.3">
      <c r="B165" s="1141"/>
      <c r="C165" s="1109"/>
      <c r="D165" s="1130"/>
      <c r="E165" s="1130"/>
      <c r="F165" s="1102"/>
      <c r="G165" s="666"/>
      <c r="H165" s="1124"/>
      <c r="I165" s="666"/>
      <c r="J165" s="1146"/>
      <c r="K165" s="666"/>
      <c r="L165" s="1151"/>
      <c r="M165" s="666"/>
      <c r="N165" s="1118"/>
      <c r="O165" s="1130"/>
      <c r="P165" s="1131"/>
      <c r="Q165" s="1102"/>
      <c r="R165" s="666"/>
      <c r="S165" s="1124"/>
      <c r="T165" s="666"/>
      <c r="U165" s="1126"/>
      <c r="V165" s="666"/>
      <c r="W165" s="1151"/>
      <c r="Y165" s="877" t="s">
        <v>14</v>
      </c>
      <c r="Z165" s="22">
        <f t="shared" si="122"/>
        <v>12859921.431966182</v>
      </c>
      <c r="AA165" s="22">
        <f t="shared" si="123"/>
        <v>3026.5760018748369</v>
      </c>
      <c r="AB165" s="22">
        <f>Z165/('Data, inkomst- skkompl, kost'!L103*1000)*100</f>
        <v>16.102784530991514</v>
      </c>
      <c r="AD165" s="22">
        <f t="shared" si="124"/>
        <v>68.017439206693453</v>
      </c>
      <c r="AE165" s="1331">
        <f t="shared" si="125"/>
        <v>1.108527498273711</v>
      </c>
    </row>
    <row r="166" spans="2:31" ht="16.5" thickBot="1" x14ac:dyDescent="0.3">
      <c r="B166" s="1142"/>
      <c r="C166" s="1132">
        <f>D87</f>
        <v>33003511.949356813</v>
      </c>
      <c r="D166" s="1133">
        <v>33958527.63375625</v>
      </c>
      <c r="E166" s="1133">
        <f t="shared" si="113"/>
        <v>1197.6204420298448</v>
      </c>
      <c r="F166" s="1134">
        <f>C166-D166</f>
        <v>-955015.68439943716</v>
      </c>
      <c r="G166" s="662"/>
      <c r="H166" s="1124">
        <f t="shared" si="115"/>
        <v>-33.680680105781448</v>
      </c>
      <c r="I166" s="662"/>
      <c r="J166" s="1139">
        <f t="shared" si="116"/>
        <v>0.97187699965383334</v>
      </c>
      <c r="K166" s="1135"/>
      <c r="L166" s="1151">
        <f>SUM(L149:L164)</f>
        <v>28355</v>
      </c>
      <c r="M166" s="948"/>
      <c r="N166" s="1133">
        <f>D108</f>
        <v>32844868.470892943</v>
      </c>
      <c r="O166" s="1133">
        <v>33799867.542000003</v>
      </c>
      <c r="P166" s="1136">
        <f t="shared" si="118"/>
        <v>1185.8770451898113</v>
      </c>
      <c r="Q166" s="1134">
        <f>N166-O166</f>
        <v>-954999.07110705972</v>
      </c>
      <c r="R166" s="662"/>
      <c r="S166" s="1124">
        <f t="shared" si="120"/>
        <v>-33.506388011615172</v>
      </c>
      <c r="T166" s="662"/>
      <c r="U166" s="1126">
        <f>N166/O166</f>
        <v>0.97174547888625984</v>
      </c>
      <c r="V166" s="1135"/>
      <c r="W166" s="1151">
        <f>SUM(W149:W164)</f>
        <v>28502</v>
      </c>
      <c r="Y166" s="877" t="s">
        <v>15</v>
      </c>
      <c r="Z166" s="22">
        <f t="shared" si="122"/>
        <v>1006950.9857267075</v>
      </c>
      <c r="AA166" s="22">
        <f t="shared" si="123"/>
        <v>2789.3379106002976</v>
      </c>
      <c r="AB166" s="22">
        <f>Z166/('Data, inkomst- skkompl, kost'!L104*1000)*100</f>
        <v>18.503090290093539</v>
      </c>
      <c r="AD166" s="22">
        <f t="shared" si="124"/>
        <v>217.18911889426337</v>
      </c>
      <c r="AE166" s="1331">
        <f t="shared" si="125"/>
        <v>0.93978520969290125</v>
      </c>
    </row>
    <row r="167" spans="2:31" x14ac:dyDescent="0.2">
      <c r="B167" s="664"/>
      <c r="C167" s="666"/>
      <c r="D167" s="666"/>
      <c r="E167" s="666"/>
      <c r="F167" s="666"/>
      <c r="G167" s="666"/>
      <c r="H167" s="666"/>
      <c r="I167" s="666"/>
      <c r="J167" s="666"/>
      <c r="K167" s="666"/>
      <c r="L167" s="666"/>
      <c r="M167" s="666"/>
      <c r="N167" s="666"/>
      <c r="O167" s="666"/>
      <c r="P167" s="666"/>
      <c r="Q167" s="666"/>
      <c r="R167" s="666"/>
      <c r="S167" s="666"/>
      <c r="T167" s="666"/>
      <c r="U167" s="666"/>
      <c r="V167" s="666"/>
      <c r="W167" s="844"/>
      <c r="Y167" s="878" t="s">
        <v>16</v>
      </c>
      <c r="Z167" s="22">
        <f t="shared" si="122"/>
        <v>789941.29251534108</v>
      </c>
      <c r="AA167" s="22">
        <f t="shared" si="123"/>
        <v>3172.4549900214502</v>
      </c>
      <c r="AB167" s="22">
        <f>Z167/('Data, inkomst- skkompl, kost'!L105*1000)*100</f>
        <v>21.829132719652435</v>
      </c>
      <c r="AD167" s="22">
        <f t="shared" si="124"/>
        <v>202.04362104159742</v>
      </c>
      <c r="AE167" s="1331">
        <f t="shared" si="125"/>
        <v>1.0420846427533235</v>
      </c>
    </row>
    <row r="168" spans="2:31" x14ac:dyDescent="0.2">
      <c r="B168" s="664"/>
      <c r="C168" s="666"/>
      <c r="D168" s="666"/>
      <c r="E168" s="666"/>
      <c r="F168" s="666"/>
      <c r="G168" s="666"/>
      <c r="H168" s="666"/>
      <c r="I168" s="666"/>
      <c r="J168" s="666"/>
      <c r="K168" s="666"/>
      <c r="L168" s="666"/>
      <c r="M168" s="666"/>
      <c r="N168" s="666"/>
      <c r="O168" s="666"/>
      <c r="P168" s="666"/>
      <c r="Q168" s="666"/>
      <c r="R168" s="666"/>
      <c r="S168" s="666"/>
      <c r="T168" s="666"/>
      <c r="U168" s="666"/>
      <c r="V168" s="666"/>
      <c r="W168" s="844"/>
      <c r="Y168" s="876" t="s">
        <v>17</v>
      </c>
      <c r="Z168" s="22">
        <f t="shared" si="122"/>
        <v>6302231.0966197867</v>
      </c>
      <c r="AA168" s="22">
        <f t="shared" si="123"/>
        <v>3388.2962885052616</v>
      </c>
      <c r="AB168" s="22">
        <f>Z168/('Data, inkomst- skkompl, kost'!L106*1000)*100</f>
        <v>18.516041470888482</v>
      </c>
      <c r="AD168" s="22">
        <f t="shared" si="124"/>
        <v>-180.1175607860111</v>
      </c>
      <c r="AE168" s="1331">
        <f t="shared" si="125"/>
        <v>0.85575365313434826</v>
      </c>
    </row>
    <row r="169" spans="2:31" ht="21" customHeight="1" thickBot="1" x14ac:dyDescent="0.4">
      <c r="B169" s="1119"/>
      <c r="C169" s="1140">
        <v>2015</v>
      </c>
      <c r="D169" s="666"/>
      <c r="E169" s="666"/>
      <c r="F169" s="666"/>
      <c r="G169" s="666"/>
      <c r="H169" s="666"/>
      <c r="I169" s="666"/>
      <c r="J169" s="666"/>
      <c r="K169" s="666"/>
      <c r="L169" s="666"/>
      <c r="M169" s="666"/>
      <c r="N169" s="666"/>
      <c r="O169" s="666"/>
      <c r="P169" s="666"/>
      <c r="Q169" s="666"/>
      <c r="R169" s="666"/>
      <c r="S169" s="666"/>
      <c r="T169" s="666"/>
      <c r="U169" s="666"/>
      <c r="V169" s="666"/>
      <c r="W169" s="844"/>
      <c r="Y169" s="876" t="s">
        <v>18</v>
      </c>
      <c r="Z169" s="22">
        <f t="shared" si="122"/>
        <v>1621667.7447538227</v>
      </c>
      <c r="AA169" s="22">
        <f t="shared" si="123"/>
        <v>4064.330187352939</v>
      </c>
      <c r="AB169" s="22">
        <f>Z169/('Data, inkomst- skkompl, kost'!L107*1000)*100</f>
        <v>23.479553004245236</v>
      </c>
      <c r="AD169" s="22">
        <f t="shared" si="124"/>
        <v>-37.84757783521173</v>
      </c>
      <c r="AE169" s="1331">
        <f t="shared" si="125"/>
        <v>1.0321156150221333</v>
      </c>
    </row>
    <row r="170" spans="2:31" ht="30" x14ac:dyDescent="0.2">
      <c r="B170" s="664"/>
      <c r="C170" s="1392" t="s">
        <v>613</v>
      </c>
      <c r="D170" s="1137" t="s">
        <v>607</v>
      </c>
      <c r="E170" s="1137" t="s">
        <v>569</v>
      </c>
      <c r="F170" s="1103" t="s">
        <v>219</v>
      </c>
      <c r="G170" s="1104"/>
      <c r="H170" s="1103" t="s">
        <v>219</v>
      </c>
      <c r="I170" s="1105"/>
      <c r="J170" s="1103" t="s">
        <v>219</v>
      </c>
      <c r="K170" s="1104"/>
      <c r="L170" s="1147"/>
      <c r="M170" s="1108"/>
      <c r="N170" s="666"/>
      <c r="O170" s="666"/>
      <c r="P170" s="666"/>
      <c r="Q170" s="666"/>
      <c r="R170" s="666"/>
      <c r="S170" s="666"/>
      <c r="T170" s="666"/>
      <c r="U170" s="666"/>
      <c r="V170" s="666"/>
      <c r="W170" s="844"/>
      <c r="Y170" s="876" t="s">
        <v>19</v>
      </c>
      <c r="Z170" s="22">
        <f t="shared" si="122"/>
        <v>5494640.6402180204</v>
      </c>
      <c r="AA170" s="22">
        <f t="shared" si="123"/>
        <v>3035.7130608939337</v>
      </c>
      <c r="AB170" s="22">
        <f>Z170/('Data, inkomst- skkompl, kost'!L108*1000)*100</f>
        <v>19.193689757224305</v>
      </c>
      <c r="AD170" s="22">
        <f t="shared" si="124"/>
        <v>-189.50549211494203</v>
      </c>
      <c r="AE170" s="1331">
        <f t="shared" si="125"/>
        <v>0.78222559296014949</v>
      </c>
    </row>
    <row r="171" spans="2:31" ht="16.5" thickBot="1" x14ac:dyDescent="0.25">
      <c r="B171" s="1143"/>
      <c r="C171" s="1396"/>
      <c r="D171" s="1138"/>
      <c r="E171" s="1138"/>
      <c r="F171" s="1106" t="s">
        <v>221</v>
      </c>
      <c r="G171" s="1107"/>
      <c r="H171" s="1106" t="s">
        <v>220</v>
      </c>
      <c r="I171" s="1108"/>
      <c r="J171" s="1106" t="s">
        <v>222</v>
      </c>
      <c r="K171" s="1108"/>
      <c r="L171" s="1148" t="s">
        <v>479</v>
      </c>
      <c r="M171" s="1108"/>
      <c r="N171" s="666"/>
      <c r="O171" s="666"/>
      <c r="P171" s="666"/>
      <c r="Q171" s="666"/>
      <c r="R171" s="666"/>
      <c r="S171" s="666"/>
      <c r="T171" s="666"/>
      <c r="U171" s="666"/>
      <c r="V171" s="666"/>
      <c r="W171" s="844"/>
      <c r="Y171" s="876" t="s">
        <v>20</v>
      </c>
      <c r="Z171" s="22">
        <f t="shared" si="122"/>
        <v>402000.2695975696</v>
      </c>
      <c r="AA171" s="22">
        <f t="shared" si="123"/>
        <v>3902.9152388113553</v>
      </c>
      <c r="AB171" s="22">
        <f>Z171/('Data, inkomst- skkompl, kost'!L109*1000)*100</f>
        <v>20.891756500551868</v>
      </c>
      <c r="AD171" s="22">
        <f t="shared" si="124"/>
        <v>-91.620745202155163</v>
      </c>
      <c r="AE171" s="1331">
        <f t="shared" si="125"/>
        <v>0.78405293189952074</v>
      </c>
    </row>
    <row r="172" spans="2:31" ht="15.75" x14ac:dyDescent="0.25">
      <c r="B172" s="664" t="s">
        <v>8</v>
      </c>
      <c r="C172" s="1115">
        <f>D113</f>
        <v>1158709.4992299762</v>
      </c>
      <c r="D172" s="1110">
        <v>1184222.3584380953</v>
      </c>
      <c r="E172" s="1110">
        <f>D172/L172</f>
        <v>2493.0997019749375</v>
      </c>
      <c r="F172" s="1111">
        <f>C172-D172</f>
        <v>-25512.859208119102</v>
      </c>
      <c r="G172" s="1112"/>
      <c r="H172" s="1111">
        <f>(C172/L172)-E172</f>
        <v>-53.711282543408743</v>
      </c>
      <c r="I172" s="1112"/>
      <c r="J172" s="1113">
        <f>C172/D172</f>
        <v>0.97845602303796331</v>
      </c>
      <c r="K172" s="1112"/>
      <c r="L172" s="1149">
        <v>475</v>
      </c>
      <c r="M172" s="948"/>
      <c r="N172" s="666"/>
      <c r="O172" s="666"/>
      <c r="P172" s="666"/>
      <c r="Q172" s="666"/>
      <c r="R172" s="666"/>
      <c r="S172" s="666"/>
      <c r="T172" s="666"/>
      <c r="U172" s="666"/>
      <c r="V172" s="666"/>
      <c r="W172" s="844"/>
      <c r="Y172" s="876" t="s">
        <v>21</v>
      </c>
      <c r="Z172" s="22">
        <f t="shared" si="122"/>
        <v>3226859.5855601951</v>
      </c>
      <c r="AA172" s="22">
        <f t="shared" si="123"/>
        <v>3126.801923992437</v>
      </c>
      <c r="AB172" s="22">
        <f>Z172/('Data, inkomst- skkompl, kost'!L110*1000)*100</f>
        <v>19.631535753256092</v>
      </c>
      <c r="AD172" s="22">
        <f t="shared" si="124"/>
        <v>97.869414373865453</v>
      </c>
      <c r="AE172" s="1331">
        <f t="shared" si="125"/>
        <v>0.94108172129552103</v>
      </c>
    </row>
    <row r="173" spans="2:31" ht="15.75" x14ac:dyDescent="0.25">
      <c r="B173" s="664" t="s">
        <v>9</v>
      </c>
      <c r="C173" s="1118">
        <f t="shared" ref="C173:C187" si="126">D114</f>
        <v>2048907.029493511</v>
      </c>
      <c r="D173" s="1118">
        <v>2260427.919352381</v>
      </c>
      <c r="E173" s="1118">
        <f t="shared" ref="E173:E189" si="127">D173/L173</f>
        <v>2386.9355009000856</v>
      </c>
      <c r="F173" s="1119">
        <f t="shared" ref="F173:F186" si="128">C173-D173</f>
        <v>-211520.88985887007</v>
      </c>
      <c r="G173" s="948"/>
      <c r="H173" s="1119">
        <f t="shared" ref="H173:H189" si="129">(C173/L173)-E173</f>
        <v>-223.35891220577605</v>
      </c>
      <c r="I173" s="948"/>
      <c r="J173" s="1120">
        <f t="shared" ref="J173:J187" si="130">C173/D173</f>
        <v>0.9064244039599938</v>
      </c>
      <c r="K173" s="948"/>
      <c r="L173" s="1150">
        <v>947</v>
      </c>
      <c r="M173" s="948"/>
      <c r="N173" s="666"/>
      <c r="O173" s="666"/>
      <c r="P173" s="666"/>
      <c r="Q173" s="666"/>
      <c r="R173" s="666"/>
      <c r="S173" s="666"/>
      <c r="T173" s="666"/>
      <c r="U173" s="666"/>
      <c r="V173" s="666"/>
      <c r="W173" s="844"/>
      <c r="Y173" s="876" t="s">
        <v>22</v>
      </c>
      <c r="Z173" s="22">
        <f t="shared" si="122"/>
        <v>1228061.1421875649</v>
      </c>
      <c r="AA173" s="22">
        <f t="shared" si="123"/>
        <v>2735.1027665647325</v>
      </c>
      <c r="AB173" s="22">
        <f>Z173/('Data, inkomst- skkompl, kost'!L111*1000)*100</f>
        <v>21.258755284888743</v>
      </c>
      <c r="AD173" s="22">
        <f t="shared" si="124"/>
        <v>-153.43857325736448</v>
      </c>
      <c r="AE173" s="1331">
        <f t="shared" si="125"/>
        <v>0.86510667107295514</v>
      </c>
    </row>
    <row r="174" spans="2:31" ht="16.5" thickBot="1" x14ac:dyDescent="0.3">
      <c r="B174" s="664" t="s">
        <v>10</v>
      </c>
      <c r="C174" s="1118">
        <f t="shared" si="126"/>
        <v>3783534.6847039587</v>
      </c>
      <c r="D174" s="1118">
        <v>3406138.4732000004</v>
      </c>
      <c r="E174" s="1118">
        <f t="shared" si="127"/>
        <v>1351.6422512698414</v>
      </c>
      <c r="F174" s="1119">
        <f t="shared" si="128"/>
        <v>377396.21150395833</v>
      </c>
      <c r="G174" s="948"/>
      <c r="H174" s="1119">
        <f t="shared" si="129"/>
        <v>149.76040139045972</v>
      </c>
      <c r="I174" s="948"/>
      <c r="J174" s="1120">
        <f t="shared" si="130"/>
        <v>1.1107988458112807</v>
      </c>
      <c r="K174" s="948"/>
      <c r="L174" s="1150">
        <v>2520</v>
      </c>
      <c r="M174" s="948"/>
      <c r="N174" s="666"/>
      <c r="O174" s="666"/>
      <c r="P174" s="666"/>
      <c r="Q174" s="666"/>
      <c r="R174" s="666"/>
      <c r="S174" s="666"/>
      <c r="T174" s="666"/>
      <c r="U174" s="666"/>
      <c r="V174" s="666"/>
      <c r="W174" s="844"/>
      <c r="Y174" s="876" t="s">
        <v>23</v>
      </c>
      <c r="Z174" s="22">
        <f t="shared" si="122"/>
        <v>42839285.458612613</v>
      </c>
      <c r="AA174" s="22">
        <f t="shared" si="123"/>
        <v>3803.541281950867</v>
      </c>
      <c r="AB174" s="22">
        <f>Z174/('Data, inkomst- skkompl, kost'!L112*1000)*100</f>
        <v>18.85620703153905</v>
      </c>
      <c r="AD174" s="22">
        <f t="shared" si="124"/>
        <v>6.2559432478748613</v>
      </c>
      <c r="AE174" s="1331">
        <f t="shared" si="125"/>
        <v>1.0069389493240528</v>
      </c>
    </row>
    <row r="175" spans="2:31" ht="16.5" thickBot="1" x14ac:dyDescent="0.3">
      <c r="B175" s="664" t="s">
        <v>11</v>
      </c>
      <c r="C175" s="1118">
        <f t="shared" si="126"/>
        <v>1259900.7957045445</v>
      </c>
      <c r="D175" s="1118">
        <v>1543941.1730095239</v>
      </c>
      <c r="E175" s="1118">
        <f t="shared" si="127"/>
        <v>2699.1978549117553</v>
      </c>
      <c r="F175" s="1119">
        <f t="shared" si="128"/>
        <v>-284040.37730497937</v>
      </c>
      <c r="G175" s="948"/>
      <c r="H175" s="1119">
        <f t="shared" si="129"/>
        <v>-496.57408619751641</v>
      </c>
      <c r="I175" s="948"/>
      <c r="J175" s="1120">
        <f t="shared" si="130"/>
        <v>0.8160290156966834</v>
      </c>
      <c r="K175" s="948"/>
      <c r="L175" s="1150">
        <v>572</v>
      </c>
      <c r="M175" s="948"/>
      <c r="N175" s="666"/>
      <c r="O175" s="666"/>
      <c r="P175" s="666"/>
      <c r="Q175" s="666"/>
      <c r="R175" s="666"/>
      <c r="S175" s="666"/>
      <c r="T175" s="666"/>
      <c r="U175" s="666"/>
      <c r="V175" s="666"/>
      <c r="W175" s="844"/>
      <c r="Y175" s="874" t="s">
        <v>247</v>
      </c>
      <c r="Z175" s="22">
        <f t="shared" si="122"/>
        <v>94573488.050643191</v>
      </c>
      <c r="AA175" s="22">
        <f>Z175/L166</f>
        <v>3335.3372615285907</v>
      </c>
      <c r="AB175" s="22">
        <f>Z175/('Data, inkomst- skkompl, kost'!L113*1000)*100</f>
        <v>18.525578314513634</v>
      </c>
      <c r="AD175" s="22">
        <f>(AD36-AN36)/L166</f>
        <v>0</v>
      </c>
      <c r="AE175" s="1331">
        <f t="shared" si="125"/>
        <v>0.95915294274813689</v>
      </c>
    </row>
    <row r="176" spans="2:31" ht="15.75" x14ac:dyDescent="0.25">
      <c r="B176" s="664" t="s">
        <v>12</v>
      </c>
      <c r="C176" s="1118">
        <f t="shared" si="126"/>
        <v>1531301.5680215587</v>
      </c>
      <c r="D176" s="1118">
        <v>1763934.4789142858</v>
      </c>
      <c r="E176" s="1118">
        <f t="shared" si="127"/>
        <v>3527.8689578285716</v>
      </c>
      <c r="F176" s="1119">
        <f t="shared" si="128"/>
        <v>-232632.91089272709</v>
      </c>
      <c r="G176" s="948"/>
      <c r="H176" s="1119">
        <f t="shared" si="129"/>
        <v>-465.26582178545414</v>
      </c>
      <c r="I176" s="948"/>
      <c r="J176" s="1120">
        <f t="shared" si="130"/>
        <v>0.86811703400915763</v>
      </c>
      <c r="K176" s="948"/>
      <c r="L176" s="1150">
        <v>500</v>
      </c>
      <c r="M176" s="948"/>
      <c r="N176" s="666"/>
      <c r="O176" s="666"/>
      <c r="P176" s="666"/>
      <c r="Q176" s="666"/>
      <c r="R176" s="666"/>
      <c r="S176" s="666"/>
      <c r="T176" s="666"/>
      <c r="U176" s="666"/>
      <c r="V176" s="666"/>
      <c r="W176" s="844"/>
    </row>
    <row r="177" spans="2:23" ht="15.75" x14ac:dyDescent="0.25">
      <c r="B177" s="664" t="s">
        <v>13</v>
      </c>
      <c r="C177" s="1118">
        <f t="shared" si="126"/>
        <v>2707884.0911874031</v>
      </c>
      <c r="D177" s="1118">
        <v>2787042.1877904758</v>
      </c>
      <c r="E177" s="1118">
        <f t="shared" si="127"/>
        <v>1809.7676544093999</v>
      </c>
      <c r="F177" s="1119">
        <f t="shared" si="128"/>
        <v>-79158.096603072714</v>
      </c>
      <c r="G177" s="948"/>
      <c r="H177" s="1119">
        <f t="shared" si="129"/>
        <v>-51.401361430566794</v>
      </c>
      <c r="I177" s="948"/>
      <c r="J177" s="1120">
        <f t="shared" si="130"/>
        <v>0.9715978118487586</v>
      </c>
      <c r="K177" s="948"/>
      <c r="L177" s="1150">
        <v>1540</v>
      </c>
      <c r="M177" s="948"/>
      <c r="N177" s="666"/>
      <c r="O177" s="666"/>
      <c r="P177" s="666"/>
      <c r="Q177" s="666"/>
      <c r="R177" s="666"/>
      <c r="S177" s="666"/>
      <c r="T177" s="666"/>
      <c r="U177" s="666"/>
      <c r="V177" s="666"/>
      <c r="W177" s="844"/>
    </row>
    <row r="178" spans="2:23" ht="15.75" x14ac:dyDescent="0.25">
      <c r="B178" s="664" t="s">
        <v>14</v>
      </c>
      <c r="C178" s="1118">
        <f t="shared" si="126"/>
        <v>4309291.8289629482</v>
      </c>
      <c r="D178" s="1118">
        <v>3887401.8332190467</v>
      </c>
      <c r="E178" s="1118">
        <f t="shared" si="127"/>
        <v>878.70746682166521</v>
      </c>
      <c r="F178" s="1119">
        <f t="shared" si="128"/>
        <v>421889.99574390147</v>
      </c>
      <c r="G178" s="948"/>
      <c r="H178" s="1119">
        <f t="shared" si="129"/>
        <v>95.363923088585238</v>
      </c>
      <c r="I178" s="948"/>
      <c r="J178" s="1120">
        <f t="shared" si="130"/>
        <v>1.108527498273711</v>
      </c>
      <c r="K178" s="948"/>
      <c r="L178" s="1150">
        <v>4424</v>
      </c>
      <c r="M178" s="948"/>
      <c r="N178" s="666"/>
      <c r="O178" s="666"/>
      <c r="P178" s="666"/>
      <c r="Q178" s="666"/>
      <c r="R178" s="666"/>
      <c r="S178" s="666"/>
      <c r="T178" s="666"/>
      <c r="U178" s="666"/>
      <c r="V178" s="666"/>
      <c r="W178" s="844"/>
    </row>
    <row r="179" spans="2:23" ht="15.75" x14ac:dyDescent="0.25">
      <c r="B179" s="664" t="s">
        <v>15</v>
      </c>
      <c r="C179" s="1118">
        <f t="shared" si="126"/>
        <v>802549.70817267569</v>
      </c>
      <c r="D179" s="1118">
        <v>853971.41803809535</v>
      </c>
      <c r="E179" s="1118">
        <f t="shared" si="127"/>
        <v>2587.7921758730163</v>
      </c>
      <c r="F179" s="1119">
        <f t="shared" si="128"/>
        <v>-51421.70986541966</v>
      </c>
      <c r="G179" s="948"/>
      <c r="H179" s="1119">
        <f t="shared" si="129"/>
        <v>-155.82336322854462</v>
      </c>
      <c r="I179" s="948"/>
      <c r="J179" s="1120">
        <f t="shared" si="130"/>
        <v>0.93978520969290125</v>
      </c>
      <c r="K179" s="948"/>
      <c r="L179" s="1150">
        <v>330</v>
      </c>
      <c r="M179" s="948"/>
      <c r="N179" s="666"/>
      <c r="O179" s="666"/>
      <c r="P179" s="666"/>
      <c r="Q179" s="666"/>
      <c r="R179" s="666"/>
      <c r="S179" s="666"/>
      <c r="T179" s="666"/>
      <c r="U179" s="666"/>
      <c r="V179" s="666"/>
      <c r="W179" s="844"/>
    </row>
    <row r="180" spans="2:23" ht="15.75" x14ac:dyDescent="0.25">
      <c r="B180" s="664" t="s">
        <v>16</v>
      </c>
      <c r="C180" s="1118">
        <f t="shared" si="126"/>
        <v>691012.5151236637</v>
      </c>
      <c r="D180" s="1118">
        <v>663105.93859047629</v>
      </c>
      <c r="E180" s="1118">
        <f t="shared" si="127"/>
        <v>2641.8563290457223</v>
      </c>
      <c r="F180" s="1119">
        <f t="shared" si="128"/>
        <v>27906.576533187414</v>
      </c>
      <c r="G180" s="948"/>
      <c r="H180" s="1119">
        <f t="shared" si="129"/>
        <v>111.18157981349577</v>
      </c>
      <c r="I180" s="948"/>
      <c r="J180" s="1120">
        <f t="shared" si="130"/>
        <v>1.0420846427533235</v>
      </c>
      <c r="K180" s="948"/>
      <c r="L180" s="1150">
        <v>251</v>
      </c>
      <c r="M180" s="948"/>
      <c r="N180" s="666"/>
      <c r="O180" s="666"/>
      <c r="P180" s="666"/>
      <c r="Q180" s="666"/>
      <c r="R180" s="666"/>
      <c r="S180" s="666"/>
      <c r="T180" s="666"/>
      <c r="U180" s="666"/>
      <c r="V180" s="666"/>
      <c r="W180" s="844"/>
    </row>
    <row r="181" spans="2:23" ht="15.75" x14ac:dyDescent="0.25">
      <c r="B181" s="664" t="s">
        <v>17</v>
      </c>
      <c r="C181" s="1118">
        <f t="shared" si="126"/>
        <v>2379771.8984957328</v>
      </c>
      <c r="D181" s="1118">
        <v>2780907.6710095243</v>
      </c>
      <c r="E181" s="1118">
        <f t="shared" si="127"/>
        <v>1443.8772954358901</v>
      </c>
      <c r="F181" s="1119">
        <f t="shared" si="128"/>
        <v>-401135.77251379145</v>
      </c>
      <c r="G181" s="948"/>
      <c r="H181" s="1119">
        <f t="shared" si="129"/>
        <v>-208.27402518888448</v>
      </c>
      <c r="I181" s="948"/>
      <c r="J181" s="1120">
        <f t="shared" si="130"/>
        <v>0.85575365313434826</v>
      </c>
      <c r="K181" s="948"/>
      <c r="L181" s="1150">
        <v>1926</v>
      </c>
      <c r="M181" s="948"/>
      <c r="N181" s="666"/>
      <c r="O181" s="666"/>
      <c r="P181" s="666"/>
      <c r="Q181" s="666"/>
      <c r="R181" s="666"/>
      <c r="S181" s="666"/>
      <c r="T181" s="666"/>
      <c r="U181" s="666"/>
      <c r="V181" s="666"/>
      <c r="W181" s="844"/>
    </row>
    <row r="182" spans="2:23" ht="15.75" x14ac:dyDescent="0.25">
      <c r="B182" s="664" t="s">
        <v>18</v>
      </c>
      <c r="C182" s="1118">
        <f t="shared" si="126"/>
        <v>664675.34936846409</v>
      </c>
      <c r="D182" s="1118">
        <v>643993.11442857143</v>
      </c>
      <c r="E182" s="1118">
        <f t="shared" si="127"/>
        <v>1559.3053618125216</v>
      </c>
      <c r="F182" s="1119">
        <f t="shared" si="128"/>
        <v>20682.23493989266</v>
      </c>
      <c r="G182" s="948"/>
      <c r="H182" s="1119">
        <f t="shared" si="129"/>
        <v>50.07805070191921</v>
      </c>
      <c r="I182" s="948"/>
      <c r="J182" s="1120">
        <f t="shared" si="130"/>
        <v>1.0321156150221333</v>
      </c>
      <c r="K182" s="948"/>
      <c r="L182" s="1150">
        <v>413</v>
      </c>
      <c r="M182" s="948"/>
      <c r="N182" s="666"/>
      <c r="O182" s="666"/>
      <c r="P182" s="666"/>
      <c r="Q182" s="666"/>
      <c r="R182" s="666"/>
      <c r="S182" s="666"/>
      <c r="T182" s="666"/>
      <c r="U182" s="666"/>
      <c r="V182" s="666"/>
      <c r="W182" s="844"/>
    </row>
    <row r="183" spans="2:23" ht="15.75" x14ac:dyDescent="0.25">
      <c r="B183" s="664" t="s">
        <v>19</v>
      </c>
      <c r="C183" s="1118">
        <f t="shared" si="126"/>
        <v>2299885.8334182361</v>
      </c>
      <c r="D183" s="1118">
        <v>2940182.2877142858</v>
      </c>
      <c r="E183" s="1118">
        <f t="shared" si="127"/>
        <v>1621.7221664171461</v>
      </c>
      <c r="F183" s="1119">
        <f t="shared" si="128"/>
        <v>-640296.45429604966</v>
      </c>
      <c r="G183" s="948"/>
      <c r="H183" s="1119">
        <f t="shared" si="129"/>
        <v>-353.1695831748757</v>
      </c>
      <c r="I183" s="948"/>
      <c r="J183" s="1120">
        <f t="shared" si="130"/>
        <v>0.78222559296014949</v>
      </c>
      <c r="K183" s="948"/>
      <c r="L183" s="1150">
        <v>1813</v>
      </c>
      <c r="M183" s="948"/>
      <c r="N183" s="666"/>
      <c r="O183" s="666"/>
      <c r="P183" s="666"/>
      <c r="Q183" s="666"/>
      <c r="R183" s="666"/>
      <c r="S183" s="666"/>
      <c r="T183" s="666"/>
      <c r="U183" s="666"/>
      <c r="V183" s="666"/>
      <c r="W183" s="844"/>
    </row>
    <row r="184" spans="2:23" ht="15.75" x14ac:dyDescent="0.25">
      <c r="B184" s="664" t="s">
        <v>20</v>
      </c>
      <c r="C184" s="1118">
        <f t="shared" si="126"/>
        <v>181312.46232153935</v>
      </c>
      <c r="D184" s="1118">
        <v>231250.28291428569</v>
      </c>
      <c r="E184" s="1118">
        <f t="shared" si="127"/>
        <v>2312.5028291428571</v>
      </c>
      <c r="F184" s="1119">
        <f t="shared" si="128"/>
        <v>-49937.820592746342</v>
      </c>
      <c r="G184" s="948"/>
      <c r="H184" s="1119">
        <f t="shared" si="129"/>
        <v>-499.37820592746357</v>
      </c>
      <c r="I184" s="948"/>
      <c r="J184" s="1120">
        <f t="shared" si="130"/>
        <v>0.78405293189952074</v>
      </c>
      <c r="K184" s="948"/>
      <c r="L184" s="1150">
        <v>100</v>
      </c>
      <c r="M184" s="948"/>
      <c r="N184" s="666"/>
      <c r="O184" s="666"/>
      <c r="P184" s="666"/>
      <c r="Q184" s="666"/>
      <c r="R184" s="666"/>
      <c r="S184" s="666"/>
      <c r="T184" s="666"/>
      <c r="U184" s="666"/>
      <c r="V184" s="666"/>
      <c r="W184" s="844"/>
    </row>
    <row r="185" spans="2:23" ht="15.75" x14ac:dyDescent="0.25">
      <c r="B185" s="664" t="s">
        <v>21</v>
      </c>
      <c r="C185" s="1118">
        <f t="shared" si="126"/>
        <v>2093356.6915770338</v>
      </c>
      <c r="D185" s="1118">
        <v>2224415.4191999999</v>
      </c>
      <c r="E185" s="1118">
        <f t="shared" si="127"/>
        <v>2161.7253830903787</v>
      </c>
      <c r="F185" s="1119">
        <f t="shared" si="128"/>
        <v>-131058.72762296605</v>
      </c>
      <c r="G185" s="948"/>
      <c r="H185" s="1119">
        <f t="shared" si="129"/>
        <v>-127.36513860346531</v>
      </c>
      <c r="I185" s="948"/>
      <c r="J185" s="1120">
        <f t="shared" si="130"/>
        <v>0.94108172129552103</v>
      </c>
      <c r="K185" s="948"/>
      <c r="L185" s="1150">
        <v>1029</v>
      </c>
      <c r="M185" s="948"/>
      <c r="N185" s="666"/>
      <c r="O185" s="666"/>
      <c r="P185" s="666"/>
      <c r="Q185" s="666"/>
      <c r="R185" s="666"/>
      <c r="S185" s="666"/>
      <c r="T185" s="666"/>
      <c r="U185" s="666"/>
      <c r="V185" s="666"/>
      <c r="W185" s="844"/>
    </row>
    <row r="186" spans="2:23" ht="15.75" x14ac:dyDescent="0.25">
      <c r="B186" s="664" t="s">
        <v>22</v>
      </c>
      <c r="C186" s="1118">
        <f t="shared" si="126"/>
        <v>1243096.0211442928</v>
      </c>
      <c r="D186" s="1118">
        <v>1436928.0260000001</v>
      </c>
      <c r="E186" s="1118">
        <f t="shared" si="127"/>
        <v>3318.5404757505776</v>
      </c>
      <c r="F186" s="1119">
        <f t="shared" si="128"/>
        <v>-193832.00485570729</v>
      </c>
      <c r="G186" s="948"/>
      <c r="H186" s="1119">
        <f t="shared" si="129"/>
        <v>-447.64897195313461</v>
      </c>
      <c r="I186" s="948"/>
      <c r="J186" s="1120">
        <f t="shared" si="130"/>
        <v>0.86510667107295514</v>
      </c>
      <c r="K186" s="948"/>
      <c r="L186" s="1150">
        <v>433</v>
      </c>
      <c r="M186" s="948"/>
      <c r="N186" s="666"/>
      <c r="O186" s="666"/>
      <c r="P186" s="666"/>
      <c r="Q186" s="666"/>
      <c r="R186" s="666"/>
      <c r="S186" s="666"/>
      <c r="T186" s="666"/>
      <c r="U186" s="666"/>
      <c r="V186" s="666"/>
      <c r="W186" s="844"/>
    </row>
    <row r="187" spans="2:23" ht="16.5" thickBot="1" x14ac:dyDescent="0.3">
      <c r="B187" s="664" t="s">
        <v>23</v>
      </c>
      <c r="C187" s="1123">
        <f t="shared" si="126"/>
        <v>5987048.4652225776</v>
      </c>
      <c r="D187" s="1123">
        <v>5945790.9233142864</v>
      </c>
      <c r="E187" s="1123">
        <f t="shared" si="127"/>
        <v>521.88106059108986</v>
      </c>
      <c r="F187" s="1124">
        <f>C187-D187</f>
        <v>41257.541908291169</v>
      </c>
      <c r="G187" s="1125"/>
      <c r="H187" s="1124">
        <f t="shared" si="129"/>
        <v>3.6213062326245335</v>
      </c>
      <c r="I187" s="1125"/>
      <c r="J187" s="1126">
        <f t="shared" si="130"/>
        <v>1.0069389493240528</v>
      </c>
      <c r="K187" s="1125"/>
      <c r="L187" s="1151">
        <v>11393</v>
      </c>
      <c r="M187" s="948"/>
      <c r="N187" s="666"/>
      <c r="O187" s="666"/>
      <c r="P187" s="666"/>
      <c r="Q187" s="666"/>
      <c r="R187" s="666"/>
      <c r="S187" s="666"/>
      <c r="T187" s="666"/>
      <c r="U187" s="666"/>
      <c r="V187" s="666"/>
      <c r="W187" s="844"/>
    </row>
    <row r="188" spans="2:23" ht="16.5" thickBot="1" x14ac:dyDescent="0.3">
      <c r="B188" s="1141"/>
      <c r="C188" s="1130"/>
      <c r="D188" s="1130"/>
      <c r="E188" s="1130"/>
      <c r="F188" s="1102"/>
      <c r="G188" s="666"/>
      <c r="H188" s="1124"/>
      <c r="I188" s="666"/>
      <c r="J188" s="1126"/>
      <c r="K188" s="666"/>
      <c r="L188" s="1151"/>
      <c r="M188" s="666"/>
      <c r="N188" s="666"/>
      <c r="O188" s="666"/>
      <c r="P188" s="666"/>
      <c r="Q188" s="666"/>
      <c r="R188" s="666"/>
      <c r="S188" s="666"/>
      <c r="T188" s="666"/>
      <c r="U188" s="666"/>
      <c r="V188" s="666"/>
      <c r="W188" s="844"/>
    </row>
    <row r="189" spans="2:23" ht="16.5" thickBot="1" x14ac:dyDescent="0.3">
      <c r="B189" s="1142"/>
      <c r="C189" s="1133">
        <f>D129</f>
        <v>33142238.442148115</v>
      </c>
      <c r="D189" s="1133">
        <v>34553653.505133338</v>
      </c>
      <c r="E189" s="1133">
        <f t="shared" si="127"/>
        <v>1205.3880382729833</v>
      </c>
      <c r="F189" s="1134">
        <f>C189-D189</f>
        <v>-1411415.0629852228</v>
      </c>
      <c r="G189" s="662"/>
      <c r="H189" s="1134">
        <f t="shared" si="129"/>
        <v>-49.236554210047643</v>
      </c>
      <c r="I189" s="662"/>
      <c r="J189" s="1139">
        <f>C189/D189</f>
        <v>0.95915294274813689</v>
      </c>
      <c r="K189" s="662"/>
      <c r="L189" s="1151">
        <f>SUM(L172:L187)</f>
        <v>28666</v>
      </c>
      <c r="M189" s="948"/>
      <c r="N189" s="666"/>
      <c r="O189" s="666"/>
      <c r="P189" s="666"/>
      <c r="Q189" s="666"/>
      <c r="R189" s="666"/>
      <c r="S189" s="666"/>
      <c r="T189" s="666"/>
      <c r="U189" s="666"/>
      <c r="V189" s="666"/>
      <c r="W189" s="844"/>
    </row>
    <row r="190" spans="2:23" ht="45.75" customHeight="1" thickBot="1" x14ac:dyDescent="0.25">
      <c r="B190" s="669"/>
      <c r="C190" s="845"/>
      <c r="D190" s="845"/>
      <c r="E190" s="845"/>
      <c r="F190" s="845"/>
      <c r="G190" s="845"/>
      <c r="H190" s="845"/>
      <c r="I190" s="845"/>
      <c r="J190" s="845"/>
      <c r="K190" s="845"/>
      <c r="L190" s="845"/>
      <c r="M190" s="666"/>
      <c r="N190" s="845"/>
      <c r="O190" s="845"/>
      <c r="P190" s="845"/>
      <c r="Q190" s="845"/>
      <c r="R190" s="845"/>
      <c r="S190" s="845"/>
      <c r="T190" s="845"/>
      <c r="U190" s="845"/>
      <c r="V190" s="845"/>
      <c r="W190" s="846"/>
    </row>
    <row r="192" spans="2:23" ht="15.75" thickBot="1" x14ac:dyDescent="0.25"/>
    <row r="193" spans="3:37" ht="23.25" x14ac:dyDescent="0.35">
      <c r="C193" s="1101" t="s">
        <v>603</v>
      </c>
      <c r="D193" s="842"/>
      <c r="E193" s="842"/>
      <c r="F193" s="842"/>
      <c r="G193" s="842"/>
      <c r="H193" s="842"/>
      <c r="I193" s="842"/>
      <c r="J193" s="842"/>
      <c r="K193" s="842"/>
      <c r="L193" s="842"/>
      <c r="M193" s="842"/>
      <c r="N193" s="842"/>
      <c r="O193" s="842"/>
      <c r="P193" s="842"/>
      <c r="Q193" s="842"/>
      <c r="R193" s="842"/>
      <c r="S193" s="842"/>
      <c r="T193" s="842"/>
      <c r="U193" s="842"/>
      <c r="V193" s="842"/>
      <c r="W193" s="842"/>
      <c r="X193" s="842"/>
      <c r="Y193" s="842"/>
      <c r="Z193" s="842"/>
      <c r="AA193" s="842"/>
      <c r="AB193" s="842"/>
      <c r="AC193" s="842"/>
      <c r="AD193" s="842"/>
      <c r="AE193" s="842"/>
      <c r="AF193" s="842"/>
      <c r="AG193" s="842"/>
      <c r="AH193" s="842"/>
      <c r="AI193" s="842"/>
      <c r="AJ193" s="842"/>
      <c r="AK193" s="843"/>
    </row>
    <row r="194" spans="3:37" ht="16.5" thickBot="1" x14ac:dyDescent="0.3">
      <c r="C194" s="664"/>
      <c r="D194" s="1034">
        <v>2015</v>
      </c>
      <c r="E194" s="666"/>
      <c r="F194" s="666"/>
      <c r="G194" s="948" t="s">
        <v>612</v>
      </c>
      <c r="H194" s="666"/>
      <c r="I194" s="666"/>
      <c r="J194" s="949"/>
      <c r="K194" s="666"/>
      <c r="L194" s="1034">
        <v>2014</v>
      </c>
      <c r="M194" s="666"/>
      <c r="N194" s="666"/>
      <c r="O194" s="948" t="s">
        <v>612</v>
      </c>
      <c r="P194" s="666"/>
      <c r="Q194" s="666"/>
      <c r="R194" s="666"/>
      <c r="S194" s="666"/>
      <c r="T194" s="666"/>
      <c r="U194" s="666"/>
      <c r="V194" s="1034">
        <v>2013</v>
      </c>
      <c r="W194" s="666"/>
      <c r="X194" s="666"/>
      <c r="Y194" s="948" t="s">
        <v>612</v>
      </c>
      <c r="Z194" s="666"/>
      <c r="AA194" s="666"/>
      <c r="AB194" s="666"/>
      <c r="AC194" s="666"/>
      <c r="AD194" s="1034">
        <v>2012</v>
      </c>
      <c r="AE194" s="1034"/>
      <c r="AF194" s="666"/>
      <c r="AG194" s="666"/>
      <c r="AH194" s="666"/>
      <c r="AI194" s="666"/>
      <c r="AJ194" s="666"/>
      <c r="AK194" s="844"/>
    </row>
    <row r="195" spans="3:37" ht="31.5" customHeight="1" x14ac:dyDescent="0.2">
      <c r="C195" s="664"/>
      <c r="D195" s="1394" t="s">
        <v>579</v>
      </c>
      <c r="E195" s="1397" t="s">
        <v>574</v>
      </c>
      <c r="F195" s="1394" t="s">
        <v>573</v>
      </c>
      <c r="G195" s="1394" t="s">
        <v>575</v>
      </c>
      <c r="H195" s="1394" t="s">
        <v>576</v>
      </c>
      <c r="I195" s="1394" t="s">
        <v>577</v>
      </c>
      <c r="J195" s="949"/>
      <c r="K195" s="666"/>
      <c r="L195" s="1099" t="s">
        <v>579</v>
      </c>
      <c r="M195" s="1099" t="s">
        <v>574</v>
      </c>
      <c r="N195" s="1099" t="s">
        <v>573</v>
      </c>
      <c r="O195" s="1099" t="s">
        <v>575</v>
      </c>
      <c r="P195" s="1099" t="s">
        <v>576</v>
      </c>
      <c r="Q195" s="1099" t="s">
        <v>577</v>
      </c>
      <c r="R195" s="666"/>
      <c r="S195" s="666"/>
      <c r="T195" s="666"/>
      <c r="U195" s="666"/>
      <c r="V195" s="1394" t="s">
        <v>579</v>
      </c>
      <c r="W195" s="1394" t="s">
        <v>574</v>
      </c>
      <c r="X195" s="1394" t="s">
        <v>573</v>
      </c>
      <c r="Y195" s="1394" t="s">
        <v>575</v>
      </c>
      <c r="Z195" s="1394" t="s">
        <v>576</v>
      </c>
      <c r="AA195" s="1394" t="s">
        <v>577</v>
      </c>
      <c r="AB195" s="666"/>
      <c r="AC195" s="666"/>
      <c r="AD195" s="1394" t="s">
        <v>579</v>
      </c>
      <c r="AE195" s="1152"/>
      <c r="AF195" s="1394" t="s">
        <v>574</v>
      </c>
      <c r="AG195" s="1394" t="s">
        <v>573</v>
      </c>
      <c r="AH195" s="1394" t="s">
        <v>575</v>
      </c>
      <c r="AI195" s="1394" t="s">
        <v>576</v>
      </c>
      <c r="AJ195" s="1394" t="s">
        <v>577</v>
      </c>
      <c r="AK195" s="844"/>
    </row>
    <row r="196" spans="3:37" ht="16.5" thickBot="1" x14ac:dyDescent="0.3">
      <c r="C196" s="1079"/>
      <c r="D196" s="1395"/>
      <c r="E196" s="1398"/>
      <c r="F196" s="1395"/>
      <c r="G196" s="1395"/>
      <c r="H196" s="1395"/>
      <c r="I196" s="1395"/>
      <c r="J196" s="949"/>
      <c r="K196" s="948"/>
      <c r="L196" s="1100"/>
      <c r="M196" s="1100"/>
      <c r="N196" s="1100"/>
      <c r="O196" s="1100"/>
      <c r="P196" s="1100"/>
      <c r="Q196" s="1100"/>
      <c r="R196" s="666"/>
      <c r="S196" s="948"/>
      <c r="T196" s="666"/>
      <c r="U196" s="948"/>
      <c r="V196" s="1395"/>
      <c r="W196" s="1395"/>
      <c r="X196" s="1395"/>
      <c r="Y196" s="1395"/>
      <c r="Z196" s="1395"/>
      <c r="AA196" s="1395"/>
      <c r="AB196" s="666"/>
      <c r="AC196" s="948"/>
      <c r="AD196" s="1395"/>
      <c r="AE196" s="1153"/>
      <c r="AF196" s="1395"/>
      <c r="AG196" s="1395"/>
      <c r="AH196" s="1395"/>
      <c r="AI196" s="1395"/>
      <c r="AJ196" s="1395"/>
      <c r="AK196" s="844"/>
    </row>
    <row r="197" spans="3:37" ht="15.75" x14ac:dyDescent="0.25">
      <c r="C197" s="667" t="s">
        <v>8</v>
      </c>
      <c r="D197" s="910">
        <v>1184222.3584380953</v>
      </c>
      <c r="E197" s="1094">
        <v>1453093.9999999998</v>
      </c>
      <c r="F197" s="1092">
        <v>16.75</v>
      </c>
      <c r="G197" s="1115">
        <f>C172</f>
        <v>1158709.4992299762</v>
      </c>
      <c r="H197" s="1081">
        <f>D197/(D197+E197)</f>
        <v>0.44902552348305702</v>
      </c>
      <c r="I197" s="1096">
        <f>G197/(G197+E197)</f>
        <v>0.44364344391589655</v>
      </c>
      <c r="J197" s="949"/>
      <c r="K197" s="667" t="s">
        <v>8</v>
      </c>
      <c r="L197" s="910">
        <v>1166752.652</v>
      </c>
      <c r="M197" s="1080">
        <v>1426000</v>
      </c>
      <c r="N197" s="1092">
        <v>16.75</v>
      </c>
      <c r="O197" s="910">
        <f>N149</f>
        <v>1159046.6439299511</v>
      </c>
      <c r="P197" s="1081">
        <f>L197/(M197+L197)</f>
        <v>0.45000538369905413</v>
      </c>
      <c r="Q197" s="1096">
        <f>O197/(O197+M197)</f>
        <v>0.44836585314681027</v>
      </c>
      <c r="R197" s="666"/>
      <c r="S197" s="666"/>
      <c r="T197" s="666"/>
      <c r="U197" s="667" t="s">
        <v>8</v>
      </c>
      <c r="V197" s="910">
        <v>1216693.8534338812</v>
      </c>
      <c r="W197" s="1080">
        <v>1536000</v>
      </c>
      <c r="X197" s="1092">
        <v>16.75</v>
      </c>
      <c r="Y197" s="910">
        <f>C149</f>
        <v>1183030.3439159277</v>
      </c>
      <c r="Z197" s="1081">
        <f>V197/(W197+V197)</f>
        <v>0.44200115167769272</v>
      </c>
      <c r="AA197" s="1096">
        <f>Y197/(Y197+W197)</f>
        <v>0.43509273317345037</v>
      </c>
      <c r="AB197" s="666"/>
      <c r="AC197" s="667" t="s">
        <v>8</v>
      </c>
      <c r="AD197" s="910">
        <v>1258673.2379999999</v>
      </c>
      <c r="AE197" s="1080"/>
      <c r="AF197" s="1080">
        <v>1267000</v>
      </c>
      <c r="AG197" s="1092">
        <v>17</v>
      </c>
      <c r="AH197" s="1080"/>
      <c r="AI197" s="1081">
        <f>AD197/(AF197+AD197)</f>
        <v>0.49835157575518485</v>
      </c>
      <c r="AJ197" s="1082"/>
      <c r="AK197" s="844"/>
    </row>
    <row r="198" spans="3:37" ht="15.75" x14ac:dyDescent="0.25">
      <c r="C198" s="668" t="s">
        <v>9</v>
      </c>
      <c r="D198" s="911">
        <v>2260427.919352381</v>
      </c>
      <c r="E198" s="1095">
        <v>2990764.9999999995</v>
      </c>
      <c r="F198" s="1093">
        <v>18.5</v>
      </c>
      <c r="G198" s="1118">
        <f t="shared" ref="G198:G212" si="131">C173</f>
        <v>2048907.029493511</v>
      </c>
      <c r="H198" s="1083">
        <f t="shared" ref="H198:H214" si="132">D198/(D198+E198)</f>
        <v>0.43045988865157808</v>
      </c>
      <c r="I198" s="1097">
        <f t="shared" ref="I198:I212" si="133">G198/(G198+E198)</f>
        <v>0.40655562852160976</v>
      </c>
      <c r="J198" s="949"/>
      <c r="K198" s="668" t="s">
        <v>9</v>
      </c>
      <c r="L198" s="911">
        <v>2188441.3979999996</v>
      </c>
      <c r="M198" s="909">
        <v>2935000</v>
      </c>
      <c r="N198" s="1093">
        <v>18.5</v>
      </c>
      <c r="O198" s="911">
        <f t="shared" ref="O198:O212" si="134">N150</f>
        <v>1997923.7669310586</v>
      </c>
      <c r="P198" s="1083">
        <f t="shared" ref="P198:P212" si="135">L198/(M198+L198)</f>
        <v>0.42714285730959767</v>
      </c>
      <c r="Q198" s="1097">
        <f t="shared" ref="Q198:Q212" si="136">O198/(O198+M198)</f>
        <v>0.40501817204729185</v>
      </c>
      <c r="R198" s="666"/>
      <c r="S198" s="666"/>
      <c r="T198" s="666"/>
      <c r="U198" s="668" t="s">
        <v>9</v>
      </c>
      <c r="V198" s="911">
        <v>2199706.7059342386</v>
      </c>
      <c r="W198" s="909">
        <v>2643000</v>
      </c>
      <c r="X198" s="1093">
        <v>18</v>
      </c>
      <c r="Y198" s="911">
        <f t="shared" ref="Y198:Y212" si="137">C150</f>
        <v>1866881.254328765</v>
      </c>
      <c r="Z198" s="1083">
        <f t="shared" ref="Z198:Z214" si="138">V198/(W198+V198)</f>
        <v>0.4542308340165892</v>
      </c>
      <c r="AA198" s="1097">
        <f t="shared" ref="AA198:AA212" si="139">Y198/(Y198+W198)</f>
        <v>0.41395352760937054</v>
      </c>
      <c r="AB198" s="666"/>
      <c r="AC198" s="668" t="s">
        <v>9</v>
      </c>
      <c r="AD198" s="911">
        <v>2319076.2060000002</v>
      </c>
      <c r="AE198" s="909"/>
      <c r="AF198" s="909">
        <v>2620000</v>
      </c>
      <c r="AG198" s="1093">
        <v>18</v>
      </c>
      <c r="AH198" s="909"/>
      <c r="AI198" s="1083">
        <f t="shared" ref="AI198:AI212" si="140">AD198/(AF198+AD198)</f>
        <v>0.46953642933931278</v>
      </c>
      <c r="AJ198" s="1084"/>
      <c r="AK198" s="844"/>
    </row>
    <row r="199" spans="3:37" ht="15.75" x14ac:dyDescent="0.25">
      <c r="C199" s="668" t="s">
        <v>10</v>
      </c>
      <c r="D199" s="911">
        <v>3406138.4732000004</v>
      </c>
      <c r="E199" s="1095">
        <v>8938668</v>
      </c>
      <c r="F199" s="1093">
        <v>19.5</v>
      </c>
      <c r="G199" s="1118">
        <f t="shared" si="131"/>
        <v>3783534.6847039587</v>
      </c>
      <c r="H199" s="1083">
        <f t="shared" si="132"/>
        <v>0.27591671692825387</v>
      </c>
      <c r="I199" s="1097">
        <f t="shared" si="133"/>
        <v>0.29739619612042051</v>
      </c>
      <c r="J199" s="949"/>
      <c r="K199" s="668" t="s">
        <v>10</v>
      </c>
      <c r="L199" s="911">
        <v>3320288.9940000009</v>
      </c>
      <c r="M199" s="909">
        <v>8772000</v>
      </c>
      <c r="N199" s="1093">
        <v>19.5</v>
      </c>
      <c r="O199" s="911">
        <f t="shared" si="134"/>
        <v>3728205.6799646285</v>
      </c>
      <c r="P199" s="1083">
        <f t="shared" si="135"/>
        <v>0.2745790309549726</v>
      </c>
      <c r="Q199" s="1097">
        <f t="shared" si="136"/>
        <v>0.29825154684776178</v>
      </c>
      <c r="R199" s="666"/>
      <c r="S199" s="666"/>
      <c r="T199" s="666"/>
      <c r="U199" s="668" t="s">
        <v>10</v>
      </c>
      <c r="V199" s="911">
        <v>3292349.7079742672</v>
      </c>
      <c r="W199" s="909">
        <v>8184000</v>
      </c>
      <c r="X199" s="1093">
        <v>19.5</v>
      </c>
      <c r="Y199" s="911">
        <f t="shared" si="137"/>
        <v>3773452.9662988447</v>
      </c>
      <c r="Z199" s="1083">
        <f t="shared" si="138"/>
        <v>0.2868812637947587</v>
      </c>
      <c r="AA199" s="1097">
        <f t="shared" si="139"/>
        <v>0.31557330619940799</v>
      </c>
      <c r="AB199" s="666"/>
      <c r="AC199" s="668" t="s">
        <v>10</v>
      </c>
      <c r="AD199" s="911">
        <v>3510541.7220000001</v>
      </c>
      <c r="AE199" s="909"/>
      <c r="AF199" s="909">
        <v>7816000</v>
      </c>
      <c r="AG199" s="1093">
        <v>19.5</v>
      </c>
      <c r="AH199" s="909"/>
      <c r="AI199" s="1083">
        <f t="shared" si="140"/>
        <v>0.30993941559243393</v>
      </c>
      <c r="AJ199" s="1084"/>
      <c r="AK199" s="844"/>
    </row>
    <row r="200" spans="3:37" ht="15.75" x14ac:dyDescent="0.25">
      <c r="C200" s="668" t="s">
        <v>11</v>
      </c>
      <c r="D200" s="911">
        <v>1543941.1730095239</v>
      </c>
      <c r="E200" s="1095">
        <v>1897377.9999999998</v>
      </c>
      <c r="F200" s="1093">
        <v>17.25</v>
      </c>
      <c r="G200" s="1118">
        <f t="shared" si="131"/>
        <v>1259900.7957045445</v>
      </c>
      <c r="H200" s="1083">
        <f t="shared" si="132"/>
        <v>0.4486480606387076</v>
      </c>
      <c r="I200" s="1097">
        <f t="shared" si="133"/>
        <v>0.3990464185230112</v>
      </c>
      <c r="J200" s="949"/>
      <c r="K200" s="668" t="s">
        <v>11</v>
      </c>
      <c r="L200" s="911">
        <v>1588176.6280000003</v>
      </c>
      <c r="M200" s="909">
        <v>1862000</v>
      </c>
      <c r="N200" s="1093">
        <v>17.25</v>
      </c>
      <c r="O200" s="911">
        <f t="shared" si="134"/>
        <v>1375028.4042170295</v>
      </c>
      <c r="P200" s="1083">
        <f t="shared" si="135"/>
        <v>0.46031748494007829</v>
      </c>
      <c r="Q200" s="1097">
        <f t="shared" si="136"/>
        <v>0.42478107465035375</v>
      </c>
      <c r="R200" s="666"/>
      <c r="S200" s="666"/>
      <c r="T200" s="666"/>
      <c r="U200" s="668" t="s">
        <v>11</v>
      </c>
      <c r="V200" s="911">
        <v>1576625.4844174411</v>
      </c>
      <c r="W200" s="909">
        <v>1755000</v>
      </c>
      <c r="X200" s="1093">
        <v>17.25</v>
      </c>
      <c r="Y200" s="911">
        <f t="shared" si="137"/>
        <v>1323716.7842437392</v>
      </c>
      <c r="Z200" s="1083">
        <f t="shared" si="138"/>
        <v>0.47323010698278573</v>
      </c>
      <c r="AA200" s="1097">
        <f t="shared" si="139"/>
        <v>0.42995730916798153</v>
      </c>
      <c r="AB200" s="666"/>
      <c r="AC200" s="668" t="s">
        <v>11</v>
      </c>
      <c r="AD200" s="911">
        <v>1605681.72</v>
      </c>
      <c r="AE200" s="909"/>
      <c r="AF200" s="909">
        <v>1797000</v>
      </c>
      <c r="AG200" s="1093">
        <v>17.25</v>
      </c>
      <c r="AH200" s="909"/>
      <c r="AI200" s="1083">
        <f t="shared" si="140"/>
        <v>0.47188713259963677</v>
      </c>
      <c r="AJ200" s="1084"/>
      <c r="AK200" s="844"/>
    </row>
    <row r="201" spans="3:37" ht="15.75" x14ac:dyDescent="0.25">
      <c r="C201" s="668" t="s">
        <v>12</v>
      </c>
      <c r="D201" s="911">
        <v>1763934.4789142858</v>
      </c>
      <c r="E201" s="1095">
        <v>1133128</v>
      </c>
      <c r="F201" s="1093">
        <v>17.5</v>
      </c>
      <c r="G201" s="1118">
        <f t="shared" si="131"/>
        <v>1531301.5680215587</v>
      </c>
      <c r="H201" s="1083">
        <f t="shared" si="132"/>
        <v>0.60887001635371851</v>
      </c>
      <c r="I201" s="1097">
        <f t="shared" si="133"/>
        <v>0.5747202276990977</v>
      </c>
      <c r="J201" s="949"/>
      <c r="K201" s="668" t="s">
        <v>12</v>
      </c>
      <c r="L201" s="911">
        <v>1744516.662</v>
      </c>
      <c r="M201" s="909">
        <v>1112000</v>
      </c>
      <c r="N201" s="1093">
        <v>17.5</v>
      </c>
      <c r="O201" s="911">
        <f t="shared" si="134"/>
        <v>1427747.6456668538</v>
      </c>
      <c r="P201" s="1083">
        <f t="shared" si="135"/>
        <v>0.61071468099841941</v>
      </c>
      <c r="Q201" s="1097">
        <f t="shared" si="136"/>
        <v>0.5621612242077596</v>
      </c>
      <c r="R201" s="666"/>
      <c r="S201" s="666"/>
      <c r="T201" s="666"/>
      <c r="U201" s="668" t="s">
        <v>12</v>
      </c>
      <c r="V201" s="911">
        <v>1739697.0046962115</v>
      </c>
      <c r="W201" s="909">
        <v>1083000</v>
      </c>
      <c r="X201" s="1093">
        <v>17.5</v>
      </c>
      <c r="Y201" s="911">
        <f t="shared" si="137"/>
        <v>1578868.8640119936</v>
      </c>
      <c r="Z201" s="1083">
        <f t="shared" si="138"/>
        <v>0.61632438827186253</v>
      </c>
      <c r="AA201" s="1097">
        <f t="shared" si="139"/>
        <v>0.5931429926387537</v>
      </c>
      <c r="AB201" s="666"/>
      <c r="AC201" s="668" t="s">
        <v>12</v>
      </c>
      <c r="AD201" s="911">
        <v>1603989.2819999999</v>
      </c>
      <c r="AE201" s="909"/>
      <c r="AF201" s="909">
        <v>1155000</v>
      </c>
      <c r="AG201" s="1093">
        <v>17.5</v>
      </c>
      <c r="AH201" s="909"/>
      <c r="AI201" s="1083">
        <f t="shared" si="140"/>
        <v>0.58136843534138827</v>
      </c>
      <c r="AJ201" s="1084"/>
      <c r="AK201" s="844"/>
    </row>
    <row r="202" spans="3:37" ht="15.75" x14ac:dyDescent="0.25">
      <c r="C202" s="668" t="s">
        <v>13</v>
      </c>
      <c r="D202" s="911">
        <v>2787042.1877904758</v>
      </c>
      <c r="E202" s="1095">
        <v>4468315</v>
      </c>
      <c r="F202" s="1093">
        <v>17.25</v>
      </c>
      <c r="G202" s="1118">
        <f t="shared" si="131"/>
        <v>2707884.0911874031</v>
      </c>
      <c r="H202" s="1083">
        <f t="shared" si="132"/>
        <v>0.38413576556652385</v>
      </c>
      <c r="I202" s="1097">
        <f t="shared" si="133"/>
        <v>0.37734238651666863</v>
      </c>
      <c r="J202" s="949"/>
      <c r="K202" s="668" t="s">
        <v>13</v>
      </c>
      <c r="L202" s="911">
        <v>2596462.9890000001</v>
      </c>
      <c r="M202" s="909">
        <v>4385000</v>
      </c>
      <c r="N202" s="1093">
        <v>17.25</v>
      </c>
      <c r="O202" s="911">
        <f t="shared" si="134"/>
        <v>2559138.4760753936</v>
      </c>
      <c r="P202" s="1083">
        <f t="shared" si="135"/>
        <v>0.37190815063991456</v>
      </c>
      <c r="Q202" s="1097">
        <f t="shared" si="136"/>
        <v>0.36853217787813142</v>
      </c>
      <c r="R202" s="666"/>
      <c r="S202" s="666"/>
      <c r="T202" s="666"/>
      <c r="U202" s="668" t="s">
        <v>13</v>
      </c>
      <c r="V202" s="911">
        <v>2440418.4450414581</v>
      </c>
      <c r="W202" s="909">
        <v>3898000</v>
      </c>
      <c r="X202" s="1093">
        <v>16.5</v>
      </c>
      <c r="Y202" s="911">
        <f t="shared" si="137"/>
        <v>2566121.3843153464</v>
      </c>
      <c r="Z202" s="1083">
        <f t="shared" si="138"/>
        <v>0.38502009076895144</v>
      </c>
      <c r="AA202" s="1097">
        <f t="shared" si="139"/>
        <v>0.39697914561781383</v>
      </c>
      <c r="AB202" s="666"/>
      <c r="AC202" s="668" t="s">
        <v>13</v>
      </c>
      <c r="AD202" s="911">
        <v>3065072.7439999999</v>
      </c>
      <c r="AE202" s="909"/>
      <c r="AF202" s="909">
        <v>3715000</v>
      </c>
      <c r="AG202" s="1093">
        <v>16.5</v>
      </c>
      <c r="AH202" s="909"/>
      <c r="AI202" s="1083">
        <f t="shared" si="140"/>
        <v>0.45207077559933623</v>
      </c>
      <c r="AJ202" s="1084"/>
      <c r="AK202" s="844"/>
    </row>
    <row r="203" spans="3:37" ht="15.75" x14ac:dyDescent="0.25">
      <c r="C203" s="668" t="s">
        <v>14</v>
      </c>
      <c r="D203" s="911">
        <v>3887401.8332190467</v>
      </c>
      <c r="E203" s="1095">
        <v>16042116.999999998</v>
      </c>
      <c r="F203" s="1093">
        <v>17</v>
      </c>
      <c r="G203" s="1118">
        <f t="shared" si="131"/>
        <v>4309291.8289629482</v>
      </c>
      <c r="H203" s="1083">
        <f t="shared" si="132"/>
        <v>0.19505748561974429</v>
      </c>
      <c r="I203" s="1097">
        <f t="shared" si="133"/>
        <v>0.21174415320231857</v>
      </c>
      <c r="J203" s="949"/>
      <c r="K203" s="668" t="s">
        <v>14</v>
      </c>
      <c r="L203" s="911">
        <v>3670195.7359999996</v>
      </c>
      <c r="M203" s="909">
        <v>15743000</v>
      </c>
      <c r="N203" s="1093">
        <v>17</v>
      </c>
      <c r="O203" s="911">
        <f t="shared" si="134"/>
        <v>4305682.2548168255</v>
      </c>
      <c r="P203" s="1083">
        <f t="shared" si="135"/>
        <v>0.18905675221694471</v>
      </c>
      <c r="Q203" s="1097">
        <f t="shared" si="136"/>
        <v>0.21476135937973467</v>
      </c>
      <c r="R203" s="666"/>
      <c r="S203" s="666"/>
      <c r="T203" s="666"/>
      <c r="U203" s="668" t="s">
        <v>14</v>
      </c>
      <c r="V203" s="911">
        <v>4303219.6347498214</v>
      </c>
      <c r="W203" s="909">
        <v>14291000</v>
      </c>
      <c r="X203" s="1093">
        <v>17</v>
      </c>
      <c r="Y203" s="911">
        <f t="shared" si="137"/>
        <v>4463078.5680338182</v>
      </c>
      <c r="Z203" s="1083">
        <f t="shared" si="138"/>
        <v>0.23142781570180798</v>
      </c>
      <c r="AA203" s="1097">
        <f t="shared" si="139"/>
        <v>0.23797909088645394</v>
      </c>
      <c r="AB203" s="666"/>
      <c r="AC203" s="668" t="s">
        <v>14</v>
      </c>
      <c r="AD203" s="911">
        <v>4697975.3444999997</v>
      </c>
      <c r="AE203" s="909"/>
      <c r="AF203" s="909">
        <v>13522000</v>
      </c>
      <c r="AG203" s="1093">
        <v>17</v>
      </c>
      <c r="AH203" s="909"/>
      <c r="AI203" s="1083">
        <f t="shared" si="140"/>
        <v>0.25784751382323695</v>
      </c>
      <c r="AJ203" s="1084"/>
      <c r="AK203" s="844"/>
    </row>
    <row r="204" spans="3:37" ht="15.75" x14ac:dyDescent="0.25">
      <c r="C204" s="668" t="s">
        <v>15</v>
      </c>
      <c r="D204" s="911">
        <v>853971.41803809535</v>
      </c>
      <c r="E204" s="1095">
        <v>1101539</v>
      </c>
      <c r="F204" s="1093">
        <v>18.5</v>
      </c>
      <c r="G204" s="1118">
        <f t="shared" si="131"/>
        <v>802549.70817267569</v>
      </c>
      <c r="H204" s="1083">
        <f t="shared" si="132"/>
        <v>0.43670000945065746</v>
      </c>
      <c r="I204" s="1097">
        <f t="shared" si="133"/>
        <v>0.42148756238508978</v>
      </c>
      <c r="J204" s="949"/>
      <c r="K204" s="668" t="s">
        <v>15</v>
      </c>
      <c r="L204" s="911">
        <v>843567.58399999992</v>
      </c>
      <c r="M204" s="909">
        <v>1081000</v>
      </c>
      <c r="N204" s="1093">
        <v>18.5</v>
      </c>
      <c r="O204" s="911">
        <f t="shared" si="134"/>
        <v>805743.67492827203</v>
      </c>
      <c r="P204" s="1083">
        <f t="shared" si="135"/>
        <v>0.43831538627847949</v>
      </c>
      <c r="Q204" s="1097">
        <f t="shared" si="136"/>
        <v>0.42705518806570469</v>
      </c>
      <c r="R204" s="666"/>
      <c r="S204" s="666"/>
      <c r="T204" s="666"/>
      <c r="U204" s="668" t="s">
        <v>15</v>
      </c>
      <c r="V204" s="911">
        <v>851804.01855039306</v>
      </c>
      <c r="W204" s="909">
        <v>1030000</v>
      </c>
      <c r="X204" s="1093">
        <v>18.5</v>
      </c>
      <c r="Y204" s="911">
        <f t="shared" si="137"/>
        <v>904049.0142732925</v>
      </c>
      <c r="Z204" s="1083">
        <f t="shared" si="138"/>
        <v>0.45265288529172221</v>
      </c>
      <c r="AA204" s="1097">
        <f t="shared" si="139"/>
        <v>0.46743852280961123</v>
      </c>
      <c r="AB204" s="666"/>
      <c r="AC204" s="668" t="s">
        <v>15</v>
      </c>
      <c r="AD204" s="911">
        <v>853262.70399999991</v>
      </c>
      <c r="AE204" s="909"/>
      <c r="AF204" s="909">
        <v>1014000</v>
      </c>
      <c r="AG204" s="1093">
        <v>18.5</v>
      </c>
      <c r="AH204" s="909"/>
      <c r="AI204" s="1083">
        <f t="shared" si="140"/>
        <v>0.45695911034487197</v>
      </c>
      <c r="AJ204" s="1084"/>
      <c r="AK204" s="844"/>
    </row>
    <row r="205" spans="3:37" ht="15.75" x14ac:dyDescent="0.25">
      <c r="C205" s="668" t="s">
        <v>16</v>
      </c>
      <c r="D205" s="911">
        <v>663105.93859047629</v>
      </c>
      <c r="E205" s="1095">
        <v>819275.99999999988</v>
      </c>
      <c r="F205" s="1093">
        <v>19.75</v>
      </c>
      <c r="G205" s="1118">
        <f t="shared" si="131"/>
        <v>691012.5151236637</v>
      </c>
      <c r="H205" s="1083">
        <f t="shared" si="132"/>
        <v>0.44732462082005059</v>
      </c>
      <c r="I205" s="1097">
        <f t="shared" si="133"/>
        <v>0.45753676082684314</v>
      </c>
      <c r="J205" s="949"/>
      <c r="K205" s="668" t="s">
        <v>16</v>
      </c>
      <c r="L205" s="911">
        <v>634366.65599999996</v>
      </c>
      <c r="M205" s="909">
        <v>804000</v>
      </c>
      <c r="N205" s="1093">
        <v>19.75</v>
      </c>
      <c r="O205" s="911">
        <f t="shared" si="134"/>
        <v>668438.5099883317</v>
      </c>
      <c r="P205" s="1083">
        <f t="shared" si="135"/>
        <v>0.44103264863225528</v>
      </c>
      <c r="Q205" s="1097">
        <f t="shared" si="136"/>
        <v>0.45396701149417013</v>
      </c>
      <c r="R205" s="666"/>
      <c r="S205" s="666"/>
      <c r="T205" s="666"/>
      <c r="U205" s="668" t="s">
        <v>16</v>
      </c>
      <c r="V205" s="911">
        <v>723512.01050035737</v>
      </c>
      <c r="W205" s="909">
        <v>818000</v>
      </c>
      <c r="X205" s="1093">
        <v>19.5</v>
      </c>
      <c r="Y205" s="911">
        <f t="shared" si="137"/>
        <v>752058.70748465892</v>
      </c>
      <c r="Z205" s="1083">
        <f t="shared" si="138"/>
        <v>0.46935217213488561</v>
      </c>
      <c r="AA205" s="1097">
        <f t="shared" si="139"/>
        <v>0.47900037361628872</v>
      </c>
      <c r="AB205" s="666"/>
      <c r="AC205" s="668" t="s">
        <v>16</v>
      </c>
      <c r="AD205" s="911">
        <v>714155.9879999999</v>
      </c>
      <c r="AE205" s="909"/>
      <c r="AF205" s="909">
        <v>710000</v>
      </c>
      <c r="AG205" s="1093">
        <v>19.5</v>
      </c>
      <c r="AH205" s="909"/>
      <c r="AI205" s="1083">
        <f t="shared" si="140"/>
        <v>0.50145910561589402</v>
      </c>
      <c r="AJ205" s="1084"/>
      <c r="AK205" s="844"/>
    </row>
    <row r="206" spans="3:37" ht="15.75" x14ac:dyDescent="0.25">
      <c r="C206" s="668" t="s">
        <v>17</v>
      </c>
      <c r="D206" s="911">
        <v>2780907.6710095243</v>
      </c>
      <c r="E206" s="1095">
        <v>6475744.9999999991</v>
      </c>
      <c r="F206" s="1093">
        <v>16.75</v>
      </c>
      <c r="G206" s="1118">
        <f t="shared" si="131"/>
        <v>2379771.8984957328</v>
      </c>
      <c r="H206" s="1083">
        <f t="shared" si="132"/>
        <v>0.30042260089534506</v>
      </c>
      <c r="I206" s="1097">
        <f t="shared" si="133"/>
        <v>0.26873325699372552</v>
      </c>
      <c r="J206" s="949"/>
      <c r="K206" s="668" t="s">
        <v>17</v>
      </c>
      <c r="L206" s="911">
        <v>2778064.5570000005</v>
      </c>
      <c r="M206" s="909">
        <v>6355000</v>
      </c>
      <c r="N206" s="1093">
        <v>16.75</v>
      </c>
      <c r="O206" s="911">
        <f t="shared" si="134"/>
        <v>2495035.4642451336</v>
      </c>
      <c r="P206" s="1083">
        <f t="shared" si="135"/>
        <v>0.30417660355534926</v>
      </c>
      <c r="Q206" s="1097">
        <f t="shared" si="136"/>
        <v>0.28192378147243374</v>
      </c>
      <c r="R206" s="666"/>
      <c r="S206" s="666"/>
      <c r="T206" s="666"/>
      <c r="U206" s="668" t="s">
        <v>17</v>
      </c>
      <c r="V206" s="911">
        <v>2673554.202219442</v>
      </c>
      <c r="W206" s="909">
        <v>5508000</v>
      </c>
      <c r="X206" s="1093">
        <v>16.25</v>
      </c>
      <c r="Y206" s="911">
        <f t="shared" si="137"/>
        <v>2272768.9033802128</v>
      </c>
      <c r="Z206" s="1083">
        <f t="shared" si="138"/>
        <v>0.32677827905780749</v>
      </c>
      <c r="AA206" s="1097">
        <f t="shared" si="139"/>
        <v>0.29210081055007941</v>
      </c>
      <c r="AB206" s="666"/>
      <c r="AC206" s="668" t="s">
        <v>17</v>
      </c>
      <c r="AD206" s="911">
        <v>2832076.5560000003</v>
      </c>
      <c r="AE206" s="909"/>
      <c r="AF206" s="909">
        <v>5346000</v>
      </c>
      <c r="AG206" s="1093">
        <v>16.25</v>
      </c>
      <c r="AH206" s="909"/>
      <c r="AI206" s="1083">
        <f t="shared" si="140"/>
        <v>0.34630105705261394</v>
      </c>
      <c r="AJ206" s="1084"/>
      <c r="AK206" s="844"/>
    </row>
    <row r="207" spans="3:37" ht="15.75" x14ac:dyDescent="0.25">
      <c r="C207" s="668" t="s">
        <v>18</v>
      </c>
      <c r="D207" s="911">
        <v>643993.11442857143</v>
      </c>
      <c r="E207" s="1095">
        <v>1586582.9999999998</v>
      </c>
      <c r="F207" s="1093">
        <v>19.5</v>
      </c>
      <c r="G207" s="1118">
        <f t="shared" si="131"/>
        <v>664675.34936846409</v>
      </c>
      <c r="H207" s="1083">
        <f t="shared" si="132"/>
        <v>0.2887115621219451</v>
      </c>
      <c r="I207" s="1097">
        <f t="shared" si="133"/>
        <v>0.29524614514141512</v>
      </c>
      <c r="J207" s="949"/>
      <c r="K207" s="668" t="s">
        <v>18</v>
      </c>
      <c r="L207" s="911">
        <v>691448.47600000002</v>
      </c>
      <c r="M207" s="909">
        <v>1557000</v>
      </c>
      <c r="N207" s="1093">
        <v>19.5</v>
      </c>
      <c r="O207" s="911">
        <f t="shared" si="134"/>
        <v>649812.53717026406</v>
      </c>
      <c r="P207" s="1083">
        <f t="shared" si="135"/>
        <v>0.30752249090007616</v>
      </c>
      <c r="Q207" s="1097">
        <f t="shared" si="136"/>
        <v>0.29445751563633088</v>
      </c>
      <c r="R207" s="666"/>
      <c r="S207" s="666"/>
      <c r="T207" s="666"/>
      <c r="U207" s="668" t="s">
        <v>18</v>
      </c>
      <c r="V207" s="911">
        <v>700714.95513795561</v>
      </c>
      <c r="W207" s="909">
        <v>1376000</v>
      </c>
      <c r="X207" s="1093">
        <v>18.5</v>
      </c>
      <c r="Y207" s="911">
        <f t="shared" si="137"/>
        <v>666332.2552461772</v>
      </c>
      <c r="Z207" s="1083">
        <f t="shared" si="138"/>
        <v>0.33741508597717368</v>
      </c>
      <c r="AA207" s="1097">
        <f t="shared" si="139"/>
        <v>0.32626045714871171</v>
      </c>
      <c r="AB207" s="666"/>
      <c r="AC207" s="668" t="s">
        <v>18</v>
      </c>
      <c r="AD207" s="911">
        <v>720570.58</v>
      </c>
      <c r="AE207" s="909"/>
      <c r="AF207" s="909">
        <v>1302000</v>
      </c>
      <c r="AG207" s="1093">
        <v>18.5</v>
      </c>
      <c r="AH207" s="909"/>
      <c r="AI207" s="1083">
        <f t="shared" si="140"/>
        <v>0.35626473910245443</v>
      </c>
      <c r="AJ207" s="1084"/>
      <c r="AK207" s="844"/>
    </row>
    <row r="208" spans="3:37" ht="15.75" x14ac:dyDescent="0.25">
      <c r="C208" s="668" t="s">
        <v>19</v>
      </c>
      <c r="D208" s="911">
        <v>2940182.2877142858</v>
      </c>
      <c r="E208" s="1095">
        <v>6004966.9999999991</v>
      </c>
      <c r="F208" s="1093">
        <v>16.75</v>
      </c>
      <c r="G208" s="1118">
        <f t="shared" si="131"/>
        <v>2299885.8334182361</v>
      </c>
      <c r="H208" s="1083">
        <f t="shared" si="132"/>
        <v>0.32869013061106533</v>
      </c>
      <c r="I208" s="1097">
        <f t="shared" si="133"/>
        <v>0.27693276203084921</v>
      </c>
      <c r="J208" s="949"/>
      <c r="K208" s="668" t="s">
        <v>19</v>
      </c>
      <c r="L208" s="911">
        <v>2823397.6259999997</v>
      </c>
      <c r="M208" s="909">
        <v>5893000</v>
      </c>
      <c r="N208" s="1093">
        <v>16.75</v>
      </c>
      <c r="O208" s="911">
        <f t="shared" si="134"/>
        <v>2254763.0400433275</v>
      </c>
      <c r="P208" s="1083">
        <f t="shared" si="135"/>
        <v>0.32391794720081757</v>
      </c>
      <c r="Q208" s="1097">
        <f t="shared" si="136"/>
        <v>0.27673399790371628</v>
      </c>
      <c r="R208" s="666"/>
      <c r="S208" s="666"/>
      <c r="T208" s="666"/>
      <c r="U208" s="668" t="s">
        <v>19</v>
      </c>
      <c r="V208" s="911">
        <v>2774752.3332723374</v>
      </c>
      <c r="W208" s="909">
        <v>4999000</v>
      </c>
      <c r="X208" s="1093">
        <v>16.25</v>
      </c>
      <c r="Y208" s="911">
        <f t="shared" si="137"/>
        <v>2363359.3597819796</v>
      </c>
      <c r="Z208" s="1083">
        <f t="shared" si="138"/>
        <v>0.35693860754942702</v>
      </c>
      <c r="AA208" s="1097">
        <f t="shared" si="139"/>
        <v>0.32100570541179957</v>
      </c>
      <c r="AB208" s="666"/>
      <c r="AC208" s="668" t="s">
        <v>19</v>
      </c>
      <c r="AD208" s="911">
        <v>2962125.7555000004</v>
      </c>
      <c r="AE208" s="909"/>
      <c r="AF208" s="909">
        <v>5109000</v>
      </c>
      <c r="AG208" s="1093">
        <v>16.25</v>
      </c>
      <c r="AH208" s="909"/>
      <c r="AI208" s="1083">
        <f t="shared" si="140"/>
        <v>0.36700280050542949</v>
      </c>
      <c r="AJ208" s="1084"/>
      <c r="AK208" s="844"/>
    </row>
    <row r="209" spans="3:37" ht="15.75" x14ac:dyDescent="0.25">
      <c r="C209" s="668" t="s">
        <v>20</v>
      </c>
      <c r="D209" s="911">
        <v>231250.28291428569</v>
      </c>
      <c r="E209" s="1095">
        <v>418808.99999999994</v>
      </c>
      <c r="F209" s="1093">
        <v>18</v>
      </c>
      <c r="G209" s="1118">
        <f t="shared" si="131"/>
        <v>181312.46232153935</v>
      </c>
      <c r="H209" s="1083">
        <f t="shared" si="132"/>
        <v>0.35573722119245155</v>
      </c>
      <c r="I209" s="1097">
        <f t="shared" si="133"/>
        <v>0.30212627560451066</v>
      </c>
      <c r="J209" s="949"/>
      <c r="K209" s="668" t="s">
        <v>20</v>
      </c>
      <c r="L209" s="911">
        <v>279788.45800000004</v>
      </c>
      <c r="M209" s="909">
        <v>411000</v>
      </c>
      <c r="N209" s="1093">
        <v>18</v>
      </c>
      <c r="O209" s="911">
        <f t="shared" si="134"/>
        <v>235888.06505160956</v>
      </c>
      <c r="P209" s="1083">
        <f t="shared" si="135"/>
        <v>0.4050276966266278</v>
      </c>
      <c r="Q209" s="1097">
        <f t="shared" si="136"/>
        <v>0.36465051342814636</v>
      </c>
      <c r="R209" s="666"/>
      <c r="S209" s="666"/>
      <c r="T209" s="666"/>
      <c r="U209" s="668" t="s">
        <v>20</v>
      </c>
      <c r="V209" s="911">
        <v>277989.16146676196</v>
      </c>
      <c r="W209" s="909">
        <v>360000</v>
      </c>
      <c r="X209" s="1093">
        <v>18</v>
      </c>
      <c r="Y209" s="911">
        <f t="shared" si="137"/>
        <v>260999.7304024304</v>
      </c>
      <c r="Z209" s="1083">
        <f t="shared" si="138"/>
        <v>0.435727091080441</v>
      </c>
      <c r="AA209" s="1097">
        <f t="shared" si="139"/>
        <v>0.42028960340013849</v>
      </c>
      <c r="AB209" s="666"/>
      <c r="AC209" s="668" t="s">
        <v>20</v>
      </c>
      <c r="AD209" s="911">
        <v>320661.65400000004</v>
      </c>
      <c r="AE209" s="909"/>
      <c r="AF209" s="909">
        <v>381000</v>
      </c>
      <c r="AG209" s="1093">
        <v>18</v>
      </c>
      <c r="AH209" s="909"/>
      <c r="AI209" s="1083">
        <f t="shared" si="140"/>
        <v>0.45700324675288584</v>
      </c>
      <c r="AJ209" s="1084"/>
      <c r="AK209" s="844"/>
    </row>
    <row r="210" spans="3:37" ht="15.75" x14ac:dyDescent="0.25">
      <c r="C210" s="668" t="s">
        <v>21</v>
      </c>
      <c r="D210" s="911">
        <v>2224415.4191999999</v>
      </c>
      <c r="E210" s="1095">
        <v>3538986.9999999995</v>
      </c>
      <c r="F210" s="1093">
        <v>19.5</v>
      </c>
      <c r="G210" s="1118">
        <f t="shared" si="131"/>
        <v>2093356.6915770338</v>
      </c>
      <c r="H210" s="1083">
        <f t="shared" si="132"/>
        <v>0.38595524959174449</v>
      </c>
      <c r="I210" s="1097">
        <f t="shared" si="133"/>
        <v>0.37166707257363807</v>
      </c>
      <c r="J210" s="949"/>
      <c r="K210" s="668" t="s">
        <v>21</v>
      </c>
      <c r="L210" s="911">
        <v>2159562.2279999997</v>
      </c>
      <c r="M210" s="909">
        <v>3473000</v>
      </c>
      <c r="N210" s="1093">
        <v>19.5</v>
      </c>
      <c r="O210" s="911">
        <f t="shared" si="134"/>
        <v>2106350.9950047904</v>
      </c>
      <c r="P210" s="1083">
        <f t="shared" si="135"/>
        <v>0.38340672336731785</v>
      </c>
      <c r="Q210" s="1097">
        <f t="shared" si="136"/>
        <v>0.37752616691271312</v>
      </c>
      <c r="R210" s="666"/>
      <c r="S210" s="666"/>
      <c r="T210" s="666"/>
      <c r="U210" s="668" t="s">
        <v>21</v>
      </c>
      <c r="V210" s="911">
        <v>2111357.3397884206</v>
      </c>
      <c r="W210" s="909">
        <v>3036000</v>
      </c>
      <c r="X210" s="1093">
        <v>19</v>
      </c>
      <c r="Y210" s="911">
        <f t="shared" si="137"/>
        <v>2150140.4144398049</v>
      </c>
      <c r="Z210" s="1083">
        <f t="shared" si="138"/>
        <v>0.41018277932015634</v>
      </c>
      <c r="AA210" s="1097">
        <f t="shared" si="139"/>
        <v>0.41459355949043625</v>
      </c>
      <c r="AB210" s="666"/>
      <c r="AC210" s="668" t="s">
        <v>21</v>
      </c>
      <c r="AD210" s="911">
        <v>2326119.4759999998</v>
      </c>
      <c r="AE210" s="909"/>
      <c r="AF210" s="909">
        <v>3127000</v>
      </c>
      <c r="AG210" s="1093">
        <v>19</v>
      </c>
      <c r="AH210" s="909"/>
      <c r="AI210" s="1083">
        <f t="shared" si="140"/>
        <v>0.42656675435731822</v>
      </c>
      <c r="AJ210" s="1084"/>
      <c r="AK210" s="844"/>
    </row>
    <row r="211" spans="3:37" ht="15.75" x14ac:dyDescent="0.25">
      <c r="C211" s="668" t="s">
        <v>22</v>
      </c>
      <c r="D211" s="911">
        <v>1436928.0260000001</v>
      </c>
      <c r="E211" s="1095">
        <v>1284958.9999999998</v>
      </c>
      <c r="F211" s="1093">
        <v>18.5</v>
      </c>
      <c r="G211" s="1118">
        <f t="shared" si="131"/>
        <v>1243096.0211442928</v>
      </c>
      <c r="H211" s="1083">
        <f t="shared" si="132"/>
        <v>0.52791611564851193</v>
      </c>
      <c r="I211" s="1097">
        <f t="shared" si="133"/>
        <v>0.4917203188804099</v>
      </c>
      <c r="J211" s="949"/>
      <c r="K211" s="668" t="s">
        <v>22</v>
      </c>
      <c r="L211" s="911">
        <v>1428427.97</v>
      </c>
      <c r="M211" s="909">
        <v>1261000</v>
      </c>
      <c r="N211" s="1093">
        <v>18.5</v>
      </c>
      <c r="O211" s="911">
        <f t="shared" si="134"/>
        <v>1397328.7384256423</v>
      </c>
      <c r="P211" s="1083">
        <f t="shared" si="135"/>
        <v>0.53112705970704999</v>
      </c>
      <c r="Q211" s="1097">
        <f t="shared" si="136"/>
        <v>0.52564181330454651</v>
      </c>
      <c r="R211" s="666"/>
      <c r="S211" s="666"/>
      <c r="T211" s="666"/>
      <c r="U211" s="668" t="s">
        <v>22</v>
      </c>
      <c r="V211" s="911">
        <v>1360146.6790107221</v>
      </c>
      <c r="W211" s="909">
        <v>1019000</v>
      </c>
      <c r="X211" s="1093">
        <v>18</v>
      </c>
      <c r="Y211" s="911">
        <f t="shared" si="137"/>
        <v>1254938.8578124351</v>
      </c>
      <c r="Z211" s="1083">
        <f t="shared" si="138"/>
        <v>0.57169517584190632</v>
      </c>
      <c r="AA211" s="1097">
        <f t="shared" si="139"/>
        <v>0.55187889221423736</v>
      </c>
      <c r="AB211" s="666"/>
      <c r="AC211" s="668" t="s">
        <v>22</v>
      </c>
      <c r="AD211" s="911">
        <v>1377136.3990000002</v>
      </c>
      <c r="AE211" s="909"/>
      <c r="AF211" s="909">
        <v>1087000</v>
      </c>
      <c r="AG211" s="1093">
        <v>18</v>
      </c>
      <c r="AH211" s="909"/>
      <c r="AI211" s="1083">
        <f t="shared" si="140"/>
        <v>0.55887182201394048</v>
      </c>
      <c r="AJ211" s="1084"/>
      <c r="AK211" s="844"/>
    </row>
    <row r="212" spans="3:37" ht="16.5" thickBot="1" x14ac:dyDescent="0.3">
      <c r="C212" s="668" t="s">
        <v>23</v>
      </c>
      <c r="D212" s="911">
        <v>5945790.9233142864</v>
      </c>
      <c r="E212" s="1095">
        <v>53556601.999999993</v>
      </c>
      <c r="F212" s="1093">
        <v>17.75</v>
      </c>
      <c r="G212" s="1123">
        <f t="shared" si="131"/>
        <v>5987048.4652225776</v>
      </c>
      <c r="H212" s="1083">
        <f t="shared" si="132"/>
        <v>9.9925240502127796E-2</v>
      </c>
      <c r="I212" s="1097">
        <f t="shared" si="133"/>
        <v>0.10054889847103697</v>
      </c>
      <c r="J212" s="949"/>
      <c r="K212" s="668" t="s">
        <v>23</v>
      </c>
      <c r="L212" s="911">
        <v>5886408.9280000012</v>
      </c>
      <c r="M212" s="909">
        <v>52558000</v>
      </c>
      <c r="N212" s="1093">
        <v>17.25</v>
      </c>
      <c r="O212" s="911">
        <f t="shared" si="134"/>
        <v>5678734.5744338334</v>
      </c>
      <c r="P212" s="1083">
        <f t="shared" si="135"/>
        <v>0.10071808468884856</v>
      </c>
      <c r="Q212" s="1097">
        <f t="shared" si="136"/>
        <v>9.7511212054235283E-2</v>
      </c>
      <c r="R212" s="666"/>
      <c r="S212" s="666"/>
      <c r="T212" s="666"/>
      <c r="U212" s="668" t="s">
        <v>23</v>
      </c>
      <c r="V212" s="911">
        <v>5715986.097562544</v>
      </c>
      <c r="W212" s="909">
        <v>40669000</v>
      </c>
      <c r="X212" s="1093">
        <v>16.5</v>
      </c>
      <c r="Y212" s="911">
        <f t="shared" si="137"/>
        <v>5623714.5413873866</v>
      </c>
      <c r="Z212" s="1083">
        <f t="shared" si="138"/>
        <v>0.12322922950844455</v>
      </c>
      <c r="AA212" s="1097">
        <f t="shared" si="139"/>
        <v>0.12148163263054232</v>
      </c>
      <c r="AB212" s="666"/>
      <c r="AC212" s="668" t="s">
        <v>23</v>
      </c>
      <c r="AD212" s="911">
        <v>7152641.3330000006</v>
      </c>
      <c r="AE212" s="909"/>
      <c r="AF212" s="909">
        <v>40480000</v>
      </c>
      <c r="AG212" s="1093">
        <v>16.5</v>
      </c>
      <c r="AH212" s="909"/>
      <c r="AI212" s="1083">
        <f t="shared" si="140"/>
        <v>0.15016260137656137</v>
      </c>
      <c r="AJ212" s="1084"/>
      <c r="AK212" s="844"/>
    </row>
    <row r="213" spans="3:37" ht="16.5" thickBot="1" x14ac:dyDescent="0.3">
      <c r="C213" s="668"/>
      <c r="D213" s="664"/>
      <c r="E213" s="827"/>
      <c r="F213" s="666"/>
      <c r="G213" s="909"/>
      <c r="H213" s="1083"/>
      <c r="I213" s="1097"/>
      <c r="J213" s="949"/>
      <c r="K213" s="668"/>
      <c r="L213" s="664"/>
      <c r="M213" s="666"/>
      <c r="N213" s="666"/>
      <c r="O213" s="909"/>
      <c r="P213" s="1083"/>
      <c r="Q213" s="1097"/>
      <c r="R213" s="666"/>
      <c r="S213" s="666"/>
      <c r="T213" s="666"/>
      <c r="U213" s="668"/>
      <c r="V213" s="664"/>
      <c r="W213" s="666"/>
      <c r="X213" s="666"/>
      <c r="Y213" s="909"/>
      <c r="Z213" s="1083"/>
      <c r="AA213" s="1097"/>
      <c r="AB213" s="666"/>
      <c r="AC213" s="668"/>
      <c r="AD213" s="664"/>
      <c r="AE213" s="666"/>
      <c r="AF213" s="666"/>
      <c r="AG213" s="666"/>
      <c r="AH213" s="909"/>
      <c r="AI213" s="1083"/>
      <c r="AJ213" s="1084"/>
      <c r="AK213" s="844"/>
    </row>
    <row r="214" spans="3:37" ht="16.5" thickBot="1" x14ac:dyDescent="0.3">
      <c r="C214" s="884" t="s">
        <v>578</v>
      </c>
      <c r="D214" s="913">
        <v>34553653.505133338</v>
      </c>
      <c r="E214" s="827">
        <v>111710931.99999999</v>
      </c>
      <c r="F214" s="1089"/>
      <c r="G214" s="1089">
        <f>C189</f>
        <v>33142238.442148115</v>
      </c>
      <c r="H214" s="1090">
        <f t="shared" si="132"/>
        <v>0.23624073719417635</v>
      </c>
      <c r="I214" s="1098">
        <f>G214/(G214+E214)</f>
        <v>0.22879884741897705</v>
      </c>
      <c r="J214" s="949"/>
      <c r="K214" s="884" t="s">
        <v>578</v>
      </c>
      <c r="L214" s="913">
        <f>SUM(L197:L212)</f>
        <v>33799867.541999996</v>
      </c>
      <c r="M214" s="1089">
        <f>SUM(M197:M212)</f>
        <v>109628000</v>
      </c>
      <c r="N214" s="1089"/>
      <c r="O214" s="1089">
        <f>SUM(O197:O212)</f>
        <v>32844868.470892943</v>
      </c>
      <c r="P214" s="1090">
        <f>L214/(M214+L214)</f>
        <v>0.23565760351350393</v>
      </c>
      <c r="Q214" s="1098">
        <f>O214/(O214+M214)</f>
        <v>0.23053419800839567</v>
      </c>
      <c r="R214" s="666"/>
      <c r="S214" s="666"/>
      <c r="T214" s="666"/>
      <c r="U214" s="884" t="s">
        <v>578</v>
      </c>
      <c r="V214" s="913">
        <v>33958527.633756258</v>
      </c>
      <c r="W214" s="1089">
        <v>92205000</v>
      </c>
      <c r="X214" s="1089"/>
      <c r="Y214" s="1089">
        <f>C166</f>
        <v>33003511.949356813</v>
      </c>
      <c r="Z214" s="1090">
        <f t="shared" si="138"/>
        <v>0.26916279427708656</v>
      </c>
      <c r="AA214" s="1098">
        <f>Y214/(Y214+W214)</f>
        <v>0.26358840493772318</v>
      </c>
      <c r="AB214" s="666"/>
      <c r="AC214" s="884" t="s">
        <v>578</v>
      </c>
      <c r="AD214" s="913">
        <f>SUM(AD197:AD212)</f>
        <v>37319760.702</v>
      </c>
      <c r="AE214" s="913"/>
      <c r="AF214" s="913">
        <f>SUM(AF197:AF212)</f>
        <v>90448000</v>
      </c>
      <c r="AG214" s="1089"/>
      <c r="AH214" s="1089"/>
      <c r="AI214" s="1090">
        <f>AD214/(AF214+AD214)</f>
        <v>0.29209059074802912</v>
      </c>
      <c r="AJ214" s="1091"/>
      <c r="AK214" s="844"/>
    </row>
    <row r="215" spans="3:37" x14ac:dyDescent="0.2">
      <c r="C215" s="664"/>
      <c r="D215" s="666"/>
      <c r="E215" s="666"/>
      <c r="F215" s="666"/>
      <c r="G215" s="666"/>
      <c r="H215" s="666"/>
      <c r="I215" s="666"/>
      <c r="J215" s="666"/>
      <c r="K215" s="666"/>
      <c r="L215" s="666"/>
      <c r="M215" s="666"/>
      <c r="N215" s="666"/>
      <c r="O215" s="666"/>
      <c r="P215" s="666"/>
      <c r="Q215" s="666"/>
      <c r="R215" s="666"/>
      <c r="S215" s="666"/>
      <c r="T215" s="666"/>
      <c r="U215" s="666"/>
      <c r="V215" s="666"/>
      <c r="W215" s="1145">
        <v>35428424</v>
      </c>
      <c r="X215" s="666"/>
      <c r="Y215" s="1086">
        <f>SUM(Y197:Y212)</f>
        <v>33003511.949356809</v>
      </c>
      <c r="Z215" s="666"/>
      <c r="AA215" s="666"/>
      <c r="AB215" s="666"/>
      <c r="AC215" s="666"/>
      <c r="AD215" s="1087">
        <v>37319760.701999992</v>
      </c>
      <c r="AE215" s="1087"/>
      <c r="AF215" s="1145">
        <v>39524248.021999992</v>
      </c>
      <c r="AG215" s="666"/>
      <c r="AH215" s="666"/>
      <c r="AI215" s="666"/>
      <c r="AJ215" s="666"/>
      <c r="AK215" s="844"/>
    </row>
    <row r="216" spans="3:37" ht="18.75" customHeight="1" thickBot="1" x14ac:dyDescent="0.3">
      <c r="C216" s="664"/>
      <c r="D216" s="1034">
        <v>2011</v>
      </c>
      <c r="E216" s="666"/>
      <c r="F216" s="666"/>
      <c r="G216" s="666"/>
      <c r="H216" s="666"/>
      <c r="I216" s="666"/>
      <c r="J216" s="949"/>
      <c r="K216" s="666"/>
      <c r="L216" s="1034">
        <v>2010</v>
      </c>
      <c r="M216" s="666"/>
      <c r="N216" s="666"/>
      <c r="O216" s="666"/>
      <c r="P216" s="666"/>
      <c r="Q216" s="666"/>
      <c r="R216" s="666"/>
      <c r="S216" s="666"/>
      <c r="T216" s="666"/>
      <c r="U216" s="666"/>
      <c r="V216" s="1034">
        <v>2009</v>
      </c>
      <c r="W216" s="666"/>
      <c r="X216" s="666"/>
      <c r="Y216" s="666"/>
      <c r="Z216" s="666"/>
      <c r="AA216" s="666"/>
      <c r="AB216" s="666"/>
      <c r="AC216" s="666"/>
      <c r="AD216" s="1034">
        <v>2008</v>
      </c>
      <c r="AE216" s="1034"/>
      <c r="AF216" s="666"/>
      <c r="AG216" s="666"/>
      <c r="AH216" s="666"/>
      <c r="AI216" s="666"/>
      <c r="AJ216" s="666"/>
      <c r="AK216" s="844"/>
    </row>
    <row r="217" spans="3:37" ht="15" customHeight="1" x14ac:dyDescent="0.2">
      <c r="C217" s="664"/>
      <c r="D217" s="1394" t="s">
        <v>579</v>
      </c>
      <c r="E217" s="1394" t="s">
        <v>574</v>
      </c>
      <c r="F217" s="1394" t="s">
        <v>573</v>
      </c>
      <c r="G217" s="1394" t="s">
        <v>575</v>
      </c>
      <c r="H217" s="1394" t="s">
        <v>576</v>
      </c>
      <c r="I217" s="1394" t="s">
        <v>577</v>
      </c>
      <c r="J217" s="949"/>
      <c r="K217" s="666"/>
      <c r="L217" s="1099" t="s">
        <v>579</v>
      </c>
      <c r="M217" s="1099" t="s">
        <v>574</v>
      </c>
      <c r="N217" s="1099" t="s">
        <v>573</v>
      </c>
      <c r="O217" s="1099" t="s">
        <v>575</v>
      </c>
      <c r="P217" s="1099" t="s">
        <v>576</v>
      </c>
      <c r="Q217" s="1099" t="s">
        <v>577</v>
      </c>
      <c r="R217" s="666"/>
      <c r="S217" s="666"/>
      <c r="T217" s="666"/>
      <c r="U217" s="666"/>
      <c r="V217" s="1394" t="s">
        <v>579</v>
      </c>
      <c r="W217" s="1394" t="s">
        <v>574</v>
      </c>
      <c r="X217" s="1394" t="s">
        <v>573</v>
      </c>
      <c r="Y217" s="1394" t="s">
        <v>575</v>
      </c>
      <c r="Z217" s="1394" t="s">
        <v>576</v>
      </c>
      <c r="AA217" s="1394" t="s">
        <v>577</v>
      </c>
      <c r="AB217" s="666"/>
      <c r="AC217" s="666"/>
      <c r="AD217" s="1394" t="s">
        <v>579</v>
      </c>
      <c r="AE217" s="1152"/>
      <c r="AF217" s="1394" t="s">
        <v>574</v>
      </c>
      <c r="AG217" s="1394" t="s">
        <v>573</v>
      </c>
      <c r="AH217" s="1394" t="s">
        <v>575</v>
      </c>
      <c r="AI217" s="1394" t="s">
        <v>576</v>
      </c>
      <c r="AJ217" s="1394" t="s">
        <v>577</v>
      </c>
      <c r="AK217" s="844"/>
    </row>
    <row r="218" spans="3:37" ht="16.5" thickBot="1" x14ac:dyDescent="0.3">
      <c r="C218" s="1079"/>
      <c r="D218" s="1395"/>
      <c r="E218" s="1395"/>
      <c r="F218" s="1395"/>
      <c r="G218" s="1395"/>
      <c r="H218" s="1395"/>
      <c r="I218" s="1395"/>
      <c r="J218" s="949"/>
      <c r="K218" s="948"/>
      <c r="L218" s="1100"/>
      <c r="M218" s="1100"/>
      <c r="N218" s="1100"/>
      <c r="O218" s="1100"/>
      <c r="P218" s="1100"/>
      <c r="Q218" s="1100"/>
      <c r="R218" s="666"/>
      <c r="S218" s="666"/>
      <c r="T218" s="666"/>
      <c r="U218" s="948"/>
      <c r="V218" s="1395"/>
      <c r="W218" s="1395"/>
      <c r="X218" s="1395"/>
      <c r="Y218" s="1395"/>
      <c r="Z218" s="1395"/>
      <c r="AA218" s="1395"/>
      <c r="AB218" s="666"/>
      <c r="AC218" s="948"/>
      <c r="AD218" s="1395"/>
      <c r="AE218" s="1153"/>
      <c r="AF218" s="1395"/>
      <c r="AG218" s="1395"/>
      <c r="AH218" s="1395"/>
      <c r="AI218" s="1395"/>
      <c r="AJ218" s="1395"/>
      <c r="AK218" s="844"/>
    </row>
    <row r="219" spans="3:37" ht="15.75" x14ac:dyDescent="0.25">
      <c r="C219" s="667" t="s">
        <v>8</v>
      </c>
      <c r="D219" s="910">
        <v>1264913.7300000002</v>
      </c>
      <c r="E219" s="1080">
        <v>1421000</v>
      </c>
      <c r="F219" s="1092">
        <v>17</v>
      </c>
      <c r="G219" s="1080"/>
      <c r="H219" s="1081">
        <f>D219/(E219+D219)</f>
        <v>0.47094354367070457</v>
      </c>
      <c r="I219" s="1082"/>
      <c r="J219" s="949"/>
      <c r="K219" s="667" t="s">
        <v>8</v>
      </c>
      <c r="L219" s="910">
        <v>1227944.8734500001</v>
      </c>
      <c r="M219" s="1080">
        <v>1360000</v>
      </c>
      <c r="N219" s="1092">
        <v>17</v>
      </c>
      <c r="O219" s="1080"/>
      <c r="P219" s="1081">
        <f>L219/(M219+L219)</f>
        <v>0.47448648773303342</v>
      </c>
      <c r="Q219" s="1082"/>
      <c r="R219" s="666"/>
      <c r="S219" s="666"/>
      <c r="T219" s="666"/>
      <c r="U219" s="667" t="s">
        <v>8</v>
      </c>
      <c r="V219" s="910">
        <v>1309271.3306499999</v>
      </c>
      <c r="W219" s="1080">
        <v>1464000</v>
      </c>
      <c r="X219" s="842">
        <v>17</v>
      </c>
      <c r="Y219" s="1080"/>
      <c r="Z219" s="1081">
        <f>V219/(W219+V219)</f>
        <v>0.47210358257413371</v>
      </c>
      <c r="AA219" s="1082"/>
      <c r="AB219" s="666"/>
      <c r="AC219" s="667" t="s">
        <v>8</v>
      </c>
      <c r="AD219" s="910">
        <v>1290786.8239</v>
      </c>
      <c r="AE219" s="1080"/>
      <c r="AF219" s="1080">
        <v>1302000</v>
      </c>
      <c r="AG219" s="842">
        <v>17</v>
      </c>
      <c r="AH219" s="1080"/>
      <c r="AI219" s="1081">
        <f>AD219/(AF219+AD219)</f>
        <v>0.49783762089566358</v>
      </c>
      <c r="AJ219" s="1082"/>
      <c r="AK219" s="844"/>
    </row>
    <row r="220" spans="3:37" ht="15.75" x14ac:dyDescent="0.25">
      <c r="C220" s="668" t="s">
        <v>9</v>
      </c>
      <c r="D220" s="911">
        <v>2312618.9000000004</v>
      </c>
      <c r="E220" s="909">
        <v>2916000</v>
      </c>
      <c r="F220" s="1093">
        <v>18</v>
      </c>
      <c r="G220" s="909"/>
      <c r="H220" s="1083">
        <f t="shared" ref="H220:H234" si="141">D220/(E220+D220)</f>
        <v>0.44230014545523677</v>
      </c>
      <c r="I220" s="1084"/>
      <c r="J220" s="949"/>
      <c r="K220" s="668" t="s">
        <v>9</v>
      </c>
      <c r="L220" s="911">
        <v>2296360.0142500005</v>
      </c>
      <c r="M220" s="909">
        <v>2482000</v>
      </c>
      <c r="N220" s="1093">
        <v>18.25</v>
      </c>
      <c r="O220" s="909"/>
      <c r="P220" s="1083">
        <f t="shared" ref="P220:P234" si="142">L220/(M220+L220)</f>
        <v>0.48057492683720088</v>
      </c>
      <c r="Q220" s="1084"/>
      <c r="R220" s="666"/>
      <c r="S220" s="666"/>
      <c r="T220" s="666"/>
      <c r="U220" s="668" t="s">
        <v>9</v>
      </c>
      <c r="V220" s="911">
        <v>2308891.2677499996</v>
      </c>
      <c r="W220" s="909">
        <v>2432000</v>
      </c>
      <c r="X220" s="666">
        <v>18.25</v>
      </c>
      <c r="Y220" s="909"/>
      <c r="Z220" s="1083">
        <f t="shared" ref="Z220:Z234" si="143">V220/(W220+V220)</f>
        <v>0.48701628815161302</v>
      </c>
      <c r="AA220" s="1084"/>
      <c r="AB220" s="666"/>
      <c r="AC220" s="668" t="s">
        <v>9</v>
      </c>
      <c r="AD220" s="911">
        <v>2186829.0419999999</v>
      </c>
      <c r="AE220" s="909"/>
      <c r="AF220" s="909">
        <v>2401000</v>
      </c>
      <c r="AG220" s="666">
        <v>18</v>
      </c>
      <c r="AH220" s="909"/>
      <c r="AI220" s="1083">
        <f t="shared" ref="AI220:AI234" si="144">AD220/(AF220+AD220)</f>
        <v>0.47665879046065818</v>
      </c>
      <c r="AJ220" s="1084"/>
      <c r="AK220" s="844"/>
    </row>
    <row r="221" spans="3:37" ht="15.75" x14ac:dyDescent="0.25">
      <c r="C221" s="668" t="s">
        <v>10</v>
      </c>
      <c r="D221" s="911">
        <v>3505272.33</v>
      </c>
      <c r="E221" s="909">
        <v>8010000</v>
      </c>
      <c r="F221" s="1093">
        <v>19.5</v>
      </c>
      <c r="G221" s="909"/>
      <c r="H221" s="1083">
        <f t="shared" si="141"/>
        <v>0.30440203492781831</v>
      </c>
      <c r="I221" s="1084"/>
      <c r="J221" s="949"/>
      <c r="K221" s="668" t="s">
        <v>10</v>
      </c>
      <c r="L221" s="911">
        <v>3414377.1360000004</v>
      </c>
      <c r="M221" s="909">
        <v>7694000</v>
      </c>
      <c r="N221" s="1093">
        <v>19.5</v>
      </c>
      <c r="O221" s="909"/>
      <c r="P221" s="1083">
        <f t="shared" si="142"/>
        <v>0.30736957290860206</v>
      </c>
      <c r="Q221" s="1084"/>
      <c r="R221" s="666"/>
      <c r="S221" s="666"/>
      <c r="T221" s="666"/>
      <c r="U221" s="668" t="s">
        <v>10</v>
      </c>
      <c r="V221" s="911">
        <v>3325238.5745000001</v>
      </c>
      <c r="W221" s="909">
        <v>7371000</v>
      </c>
      <c r="X221" s="666">
        <v>19.5</v>
      </c>
      <c r="Y221" s="909"/>
      <c r="Z221" s="1083">
        <f t="shared" si="143"/>
        <v>0.31087924519815974</v>
      </c>
      <c r="AA221" s="1084"/>
      <c r="AB221" s="666"/>
      <c r="AC221" s="668" t="s">
        <v>10</v>
      </c>
      <c r="AD221" s="911">
        <v>2974623.4409999996</v>
      </c>
      <c r="AE221" s="909"/>
      <c r="AF221" s="909">
        <v>6874000</v>
      </c>
      <c r="AG221" s="666">
        <v>18.5</v>
      </c>
      <c r="AH221" s="909"/>
      <c r="AI221" s="1083">
        <f t="shared" si="144"/>
        <v>0.3020344374845918</v>
      </c>
      <c r="AJ221" s="1084"/>
      <c r="AK221" s="844"/>
    </row>
    <row r="222" spans="3:37" ht="15.75" x14ac:dyDescent="0.25">
      <c r="C222" s="668" t="s">
        <v>11</v>
      </c>
      <c r="D222" s="911">
        <v>1528251.0100000002</v>
      </c>
      <c r="E222" s="909">
        <v>1948000</v>
      </c>
      <c r="F222" s="1093">
        <v>17.25</v>
      </c>
      <c r="G222" s="909"/>
      <c r="H222" s="1083">
        <f t="shared" si="141"/>
        <v>0.43962619661346036</v>
      </c>
      <c r="I222" s="1084"/>
      <c r="J222" s="949"/>
      <c r="K222" s="668" t="s">
        <v>11</v>
      </c>
      <c r="L222" s="911">
        <v>1562506.1526499998</v>
      </c>
      <c r="M222" s="909">
        <v>1596000</v>
      </c>
      <c r="N222" s="1093">
        <v>17</v>
      </c>
      <c r="O222" s="909"/>
      <c r="P222" s="1083">
        <f t="shared" si="142"/>
        <v>0.49469783408180185</v>
      </c>
      <c r="Q222" s="1084"/>
      <c r="R222" s="666"/>
      <c r="S222" s="666"/>
      <c r="T222" s="666"/>
      <c r="U222" s="668" t="s">
        <v>11</v>
      </c>
      <c r="V222" s="911">
        <v>1589396.6424499999</v>
      </c>
      <c r="W222" s="909">
        <v>1793000</v>
      </c>
      <c r="X222" s="666">
        <v>17</v>
      </c>
      <c r="Y222" s="909"/>
      <c r="Z222" s="1083">
        <f t="shared" si="143"/>
        <v>0.46990250123319027</v>
      </c>
      <c r="AA222" s="1084"/>
      <c r="AB222" s="666"/>
      <c r="AC222" s="668" t="s">
        <v>11</v>
      </c>
      <c r="AD222" s="911">
        <v>1524774.0461000004</v>
      </c>
      <c r="AE222" s="909"/>
      <c r="AF222" s="909">
        <v>1852000</v>
      </c>
      <c r="AG222" s="666">
        <v>17</v>
      </c>
      <c r="AH222" s="909"/>
      <c r="AI222" s="1083">
        <f t="shared" si="144"/>
        <v>0.451547549609082</v>
      </c>
      <c r="AJ222" s="1084"/>
      <c r="AK222" s="844"/>
    </row>
    <row r="223" spans="3:37" ht="15.75" x14ac:dyDescent="0.25">
      <c r="C223" s="668" t="s">
        <v>12</v>
      </c>
      <c r="D223" s="911">
        <v>1578129.26</v>
      </c>
      <c r="E223" s="909">
        <v>1009000</v>
      </c>
      <c r="F223" s="1093">
        <v>17.75</v>
      </c>
      <c r="G223" s="909"/>
      <c r="H223" s="1083">
        <f t="shared" si="141"/>
        <v>0.60999242844170842</v>
      </c>
      <c r="I223" s="1084"/>
      <c r="J223" s="949"/>
      <c r="K223" s="668" t="s">
        <v>12</v>
      </c>
      <c r="L223" s="911">
        <v>1541165.0231000001</v>
      </c>
      <c r="M223" s="909">
        <v>975000</v>
      </c>
      <c r="N223" s="1093">
        <v>18.5</v>
      </c>
      <c r="O223" s="909"/>
      <c r="P223" s="1083">
        <f t="shared" si="142"/>
        <v>0.61250554274108504</v>
      </c>
      <c r="Q223" s="1084"/>
      <c r="R223" s="666"/>
      <c r="S223" s="666"/>
      <c r="T223" s="666"/>
      <c r="U223" s="668" t="s">
        <v>12</v>
      </c>
      <c r="V223" s="911">
        <v>1456274.9226000004</v>
      </c>
      <c r="W223" s="909">
        <v>988000</v>
      </c>
      <c r="X223" s="666">
        <v>18.5</v>
      </c>
      <c r="Y223" s="909"/>
      <c r="Z223" s="1083">
        <f t="shared" si="143"/>
        <v>0.5957901499275482</v>
      </c>
      <c r="AA223" s="1084"/>
      <c r="AB223" s="666"/>
      <c r="AC223" s="668" t="s">
        <v>12</v>
      </c>
      <c r="AD223" s="911">
        <v>1349991.5599000002</v>
      </c>
      <c r="AE223" s="909"/>
      <c r="AF223" s="909">
        <v>965000</v>
      </c>
      <c r="AG223" s="666">
        <v>18.5</v>
      </c>
      <c r="AH223" s="909"/>
      <c r="AI223" s="1083">
        <f t="shared" si="144"/>
        <v>0.58315182797397125</v>
      </c>
      <c r="AJ223" s="1084"/>
      <c r="AK223" s="844"/>
    </row>
    <row r="224" spans="3:37" ht="15.75" x14ac:dyDescent="0.25">
      <c r="C224" s="668" t="s">
        <v>13</v>
      </c>
      <c r="D224" s="911">
        <v>2887227.95</v>
      </c>
      <c r="E224" s="909">
        <v>3808000</v>
      </c>
      <c r="F224" s="1093">
        <v>16.5</v>
      </c>
      <c r="G224" s="909"/>
      <c r="H224" s="1083">
        <f t="shared" si="141"/>
        <v>0.43123669150054855</v>
      </c>
      <c r="I224" s="1084"/>
      <c r="J224" s="949"/>
      <c r="K224" s="668" t="s">
        <v>13</v>
      </c>
      <c r="L224" s="911">
        <v>2778107.1614999999</v>
      </c>
      <c r="M224" s="909">
        <v>3483000</v>
      </c>
      <c r="N224" s="1093">
        <v>16.5</v>
      </c>
      <c r="O224" s="909"/>
      <c r="P224" s="1083">
        <f t="shared" si="142"/>
        <v>0.4437086109279173</v>
      </c>
      <c r="Q224" s="1084"/>
      <c r="R224" s="666"/>
      <c r="S224" s="666"/>
      <c r="T224" s="666"/>
      <c r="U224" s="668" t="s">
        <v>13</v>
      </c>
      <c r="V224" s="911">
        <v>2782630.2492499999</v>
      </c>
      <c r="W224" s="909">
        <v>3349000</v>
      </c>
      <c r="X224" s="666">
        <v>16.5</v>
      </c>
      <c r="Y224" s="909"/>
      <c r="Z224" s="1083">
        <f t="shared" si="143"/>
        <v>0.45381572862948832</v>
      </c>
      <c r="AA224" s="1084"/>
      <c r="AB224" s="666"/>
      <c r="AC224" s="668" t="s">
        <v>13</v>
      </c>
      <c r="AD224" s="911">
        <v>2631325.3380000005</v>
      </c>
      <c r="AE224" s="909"/>
      <c r="AF224" s="909">
        <v>3462000</v>
      </c>
      <c r="AG224" s="666">
        <v>16.5</v>
      </c>
      <c r="AH224" s="909"/>
      <c r="AI224" s="1083">
        <f t="shared" si="144"/>
        <v>0.43183732888677084</v>
      </c>
      <c r="AJ224" s="1084"/>
      <c r="AK224" s="844"/>
    </row>
    <row r="225" spans="3:37" ht="15.75" x14ac:dyDescent="0.25">
      <c r="C225" s="668" t="s">
        <v>14</v>
      </c>
      <c r="D225" s="911">
        <v>4449993.9100000011</v>
      </c>
      <c r="E225" s="909">
        <v>12838000</v>
      </c>
      <c r="F225" s="1093">
        <v>17</v>
      </c>
      <c r="G225" s="909"/>
      <c r="H225" s="1083">
        <f t="shared" si="141"/>
        <v>0.25740371804654349</v>
      </c>
      <c r="I225" s="1084"/>
      <c r="J225" s="949"/>
      <c r="K225" s="668" t="s">
        <v>14</v>
      </c>
      <c r="L225" s="911">
        <v>4280232.4247500002</v>
      </c>
      <c r="M225" s="909">
        <v>12094000</v>
      </c>
      <c r="N225" s="1093">
        <v>17</v>
      </c>
      <c r="O225" s="909"/>
      <c r="P225" s="1083">
        <f t="shared" si="142"/>
        <v>0.26140049278159372</v>
      </c>
      <c r="Q225" s="1084"/>
      <c r="R225" s="666"/>
      <c r="S225" s="666"/>
      <c r="T225" s="666"/>
      <c r="U225" s="668" t="s">
        <v>14</v>
      </c>
      <c r="V225" s="911">
        <v>4204760.8375000004</v>
      </c>
      <c r="W225" s="909">
        <v>11237000</v>
      </c>
      <c r="X225" s="666">
        <v>17</v>
      </c>
      <c r="Y225" s="909"/>
      <c r="Z225" s="1083">
        <f t="shared" si="143"/>
        <v>0.27229801586415098</v>
      </c>
      <c r="AA225" s="1084"/>
      <c r="AB225" s="666"/>
      <c r="AC225" s="668" t="s">
        <v>14</v>
      </c>
      <c r="AD225" s="911">
        <v>3720077.7374999993</v>
      </c>
      <c r="AE225" s="909"/>
      <c r="AF225" s="909">
        <v>10350000</v>
      </c>
      <c r="AG225" s="666">
        <v>17</v>
      </c>
      <c r="AH225" s="909"/>
      <c r="AI225" s="1083">
        <f t="shared" si="144"/>
        <v>0.26439638834298229</v>
      </c>
      <c r="AJ225" s="1084"/>
      <c r="AK225" s="844"/>
    </row>
    <row r="226" spans="3:37" ht="15.75" x14ac:dyDescent="0.25">
      <c r="C226" s="668" t="s">
        <v>15</v>
      </c>
      <c r="D226" s="911">
        <v>845814.28</v>
      </c>
      <c r="E226" s="909">
        <v>1055000</v>
      </c>
      <c r="F226" s="1093">
        <v>18.5</v>
      </c>
      <c r="G226" s="909"/>
      <c r="H226" s="1083">
        <f t="shared" si="141"/>
        <v>0.4449747084181207</v>
      </c>
      <c r="I226" s="1084"/>
      <c r="J226" s="949"/>
      <c r="K226" s="668" t="s">
        <v>15</v>
      </c>
      <c r="L226" s="911">
        <v>799817.25465000002</v>
      </c>
      <c r="M226" s="909">
        <v>1179000</v>
      </c>
      <c r="N226" s="1093">
        <v>18.5</v>
      </c>
      <c r="O226" s="909"/>
      <c r="P226" s="1083">
        <f t="shared" si="142"/>
        <v>0.40418954947482827</v>
      </c>
      <c r="Q226" s="1084"/>
      <c r="R226" s="666"/>
      <c r="S226" s="666"/>
      <c r="T226" s="666"/>
      <c r="U226" s="668" t="s">
        <v>15</v>
      </c>
      <c r="V226" s="911">
        <v>852330.37705000024</v>
      </c>
      <c r="W226" s="909">
        <v>1042000</v>
      </c>
      <c r="X226" s="666">
        <v>18.5</v>
      </c>
      <c r="Y226" s="909"/>
      <c r="Z226" s="1083">
        <f t="shared" si="143"/>
        <v>0.44993755438653521</v>
      </c>
      <c r="AA226" s="1084"/>
      <c r="AB226" s="666"/>
      <c r="AC226" s="668" t="s">
        <v>15</v>
      </c>
      <c r="AD226" s="911">
        <v>807833.76710000006</v>
      </c>
      <c r="AE226" s="909"/>
      <c r="AF226" s="909">
        <v>1129000</v>
      </c>
      <c r="AG226" s="666">
        <v>18.5</v>
      </c>
      <c r="AH226" s="909"/>
      <c r="AI226" s="1083">
        <f t="shared" si="144"/>
        <v>0.41708988185886531</v>
      </c>
      <c r="AJ226" s="1084"/>
      <c r="AK226" s="844"/>
    </row>
    <row r="227" spans="3:37" ht="15.75" x14ac:dyDescent="0.25">
      <c r="C227" s="668" t="s">
        <v>16</v>
      </c>
      <c r="D227" s="911">
        <v>734351.77</v>
      </c>
      <c r="E227" s="909">
        <v>705000</v>
      </c>
      <c r="F227" s="1093">
        <v>18.5</v>
      </c>
      <c r="G227" s="909"/>
      <c r="H227" s="1083">
        <f t="shared" si="141"/>
        <v>0.51019617671363271</v>
      </c>
      <c r="I227" s="1084"/>
      <c r="J227" s="949"/>
      <c r="K227" s="668" t="s">
        <v>16</v>
      </c>
      <c r="L227" s="911">
        <v>790448.54630000005</v>
      </c>
      <c r="M227" s="909">
        <v>671000</v>
      </c>
      <c r="N227" s="1093">
        <v>18.5</v>
      </c>
      <c r="O227" s="909"/>
      <c r="P227" s="1083">
        <f t="shared" si="142"/>
        <v>0.54086649051121649</v>
      </c>
      <c r="Q227" s="1084"/>
      <c r="R227" s="666"/>
      <c r="S227" s="666"/>
      <c r="T227" s="666"/>
      <c r="U227" s="668" t="s">
        <v>16</v>
      </c>
      <c r="V227" s="911">
        <v>842483.01509999996</v>
      </c>
      <c r="W227" s="909">
        <v>663000</v>
      </c>
      <c r="X227" s="666">
        <v>18.5</v>
      </c>
      <c r="Y227" s="909"/>
      <c r="Z227" s="1083">
        <f t="shared" si="143"/>
        <v>0.55960977749326457</v>
      </c>
      <c r="AA227" s="1084"/>
      <c r="AB227" s="666"/>
      <c r="AC227" s="668" t="s">
        <v>16</v>
      </c>
      <c r="AD227" s="911">
        <v>835205.26780000015</v>
      </c>
      <c r="AE227" s="909"/>
      <c r="AF227" s="909">
        <v>762000</v>
      </c>
      <c r="AG227" s="666">
        <v>18.5</v>
      </c>
      <c r="AH227" s="909"/>
      <c r="AI227" s="1083">
        <f t="shared" si="144"/>
        <v>0.5229166749183195</v>
      </c>
      <c r="AJ227" s="1084"/>
      <c r="AK227" s="844"/>
    </row>
    <row r="228" spans="3:37" ht="15.75" x14ac:dyDescent="0.25">
      <c r="C228" s="668" t="s">
        <v>17</v>
      </c>
      <c r="D228" s="911">
        <v>2702174.15</v>
      </c>
      <c r="E228" s="909">
        <v>5226000</v>
      </c>
      <c r="F228" s="1093">
        <v>16.5</v>
      </c>
      <c r="G228" s="909"/>
      <c r="H228" s="1083">
        <f t="shared" si="141"/>
        <v>0.34083183578907633</v>
      </c>
      <c r="I228" s="1084"/>
      <c r="J228" s="949"/>
      <c r="K228" s="668" t="s">
        <v>17</v>
      </c>
      <c r="L228" s="911">
        <v>2765998.1082500005</v>
      </c>
      <c r="M228" s="909">
        <v>4836000</v>
      </c>
      <c r="N228" s="1093">
        <v>16.5</v>
      </c>
      <c r="O228" s="909"/>
      <c r="P228" s="1083">
        <f t="shared" si="142"/>
        <v>0.36385145969034455</v>
      </c>
      <c r="Q228" s="1084"/>
      <c r="R228" s="666"/>
      <c r="S228" s="666"/>
      <c r="T228" s="666"/>
      <c r="U228" s="668" t="s">
        <v>17</v>
      </c>
      <c r="V228" s="911">
        <v>2639104.5237500002</v>
      </c>
      <c r="W228" s="909">
        <v>4750000</v>
      </c>
      <c r="X228" s="666">
        <v>16.5</v>
      </c>
      <c r="Y228" s="909"/>
      <c r="Z228" s="1083">
        <f t="shared" si="143"/>
        <v>0.35716161752312636</v>
      </c>
      <c r="AA228" s="1084"/>
      <c r="AB228" s="666"/>
      <c r="AC228" s="668" t="s">
        <v>17</v>
      </c>
      <c r="AD228" s="911">
        <v>2379456.3030000003</v>
      </c>
      <c r="AE228" s="909"/>
      <c r="AF228" s="909">
        <v>4677000</v>
      </c>
      <c r="AG228" s="666">
        <v>17</v>
      </c>
      <c r="AH228" s="909"/>
      <c r="AI228" s="1083">
        <f t="shared" si="144"/>
        <v>0.33720272624495556</v>
      </c>
      <c r="AJ228" s="1084"/>
      <c r="AK228" s="844"/>
    </row>
    <row r="229" spans="3:37" ht="15.75" x14ac:dyDescent="0.25">
      <c r="C229" s="668" t="s">
        <v>18</v>
      </c>
      <c r="D229" s="911">
        <v>729028.52999999991</v>
      </c>
      <c r="E229" s="909">
        <v>1326000</v>
      </c>
      <c r="F229" s="1093">
        <v>18.5</v>
      </c>
      <c r="G229" s="909"/>
      <c r="H229" s="1083">
        <f t="shared" si="141"/>
        <v>0.3547534836414169</v>
      </c>
      <c r="I229" s="1084"/>
      <c r="J229" s="949"/>
      <c r="K229" s="668" t="s">
        <v>18</v>
      </c>
      <c r="L229" s="911">
        <v>669409.45075000008</v>
      </c>
      <c r="M229" s="909">
        <v>1179000</v>
      </c>
      <c r="N229" s="1093">
        <v>18.5</v>
      </c>
      <c r="O229" s="909"/>
      <c r="P229" s="1083">
        <f t="shared" si="142"/>
        <v>0.36215431082024835</v>
      </c>
      <c r="Q229" s="1084"/>
      <c r="R229" s="666"/>
      <c r="S229" s="666"/>
      <c r="T229" s="666"/>
      <c r="U229" s="668" t="s">
        <v>18</v>
      </c>
      <c r="V229" s="911">
        <v>628586.53824999998</v>
      </c>
      <c r="W229" s="909">
        <v>1111000</v>
      </c>
      <c r="X229" s="666">
        <v>18.5</v>
      </c>
      <c r="Y229" s="909"/>
      <c r="Z229" s="1083">
        <f t="shared" si="143"/>
        <v>0.36134249399420471</v>
      </c>
      <c r="AA229" s="1084"/>
      <c r="AB229" s="666"/>
      <c r="AC229" s="668" t="s">
        <v>18</v>
      </c>
      <c r="AD229" s="911">
        <v>577909.08200000005</v>
      </c>
      <c r="AE229" s="909"/>
      <c r="AF229" s="909">
        <v>1158000</v>
      </c>
      <c r="AG229" s="666">
        <v>18.5</v>
      </c>
      <c r="AH229" s="909"/>
      <c r="AI229" s="1083">
        <f t="shared" si="144"/>
        <v>0.33291437206732699</v>
      </c>
      <c r="AJ229" s="1084"/>
      <c r="AK229" s="844"/>
    </row>
    <row r="230" spans="3:37" ht="15.75" x14ac:dyDescent="0.25">
      <c r="C230" s="668" t="s">
        <v>19</v>
      </c>
      <c r="D230" s="911">
        <v>2859936.1199999996</v>
      </c>
      <c r="E230" s="909">
        <v>4843000</v>
      </c>
      <c r="F230" s="1093">
        <v>16.25</v>
      </c>
      <c r="G230" s="909"/>
      <c r="H230" s="1083">
        <f t="shared" si="141"/>
        <v>0.37127870145183028</v>
      </c>
      <c r="I230" s="1084"/>
      <c r="J230" s="949"/>
      <c r="K230" s="668" t="s">
        <v>19</v>
      </c>
      <c r="L230" s="911">
        <v>2644982.9955000002</v>
      </c>
      <c r="M230" s="909">
        <v>4487000</v>
      </c>
      <c r="N230" s="1093">
        <v>16.25</v>
      </c>
      <c r="O230" s="909"/>
      <c r="P230" s="1083">
        <f t="shared" si="142"/>
        <v>0.3708622128191949</v>
      </c>
      <c r="Q230" s="1084"/>
      <c r="R230" s="666"/>
      <c r="S230" s="666"/>
      <c r="T230" s="666"/>
      <c r="U230" s="668" t="s">
        <v>19</v>
      </c>
      <c r="V230" s="911">
        <v>2486983.2337500001</v>
      </c>
      <c r="W230" s="909">
        <v>4317000</v>
      </c>
      <c r="X230" s="666">
        <v>16.5</v>
      </c>
      <c r="Y230" s="909"/>
      <c r="Z230" s="1083">
        <f t="shared" si="143"/>
        <v>0.36551871871372982</v>
      </c>
      <c r="AA230" s="1084"/>
      <c r="AB230" s="666"/>
      <c r="AC230" s="668" t="s">
        <v>19</v>
      </c>
      <c r="AD230" s="911">
        <v>2338238.9840000006</v>
      </c>
      <c r="AE230" s="909"/>
      <c r="AF230" s="909">
        <v>4778000</v>
      </c>
      <c r="AG230" s="666">
        <v>16.75</v>
      </c>
      <c r="AH230" s="909"/>
      <c r="AI230" s="1083">
        <f t="shared" si="144"/>
        <v>0.32857791724775504</v>
      </c>
      <c r="AJ230" s="1084"/>
      <c r="AK230" s="844"/>
    </row>
    <row r="231" spans="3:37" ht="15.75" x14ac:dyDescent="0.25">
      <c r="C231" s="668" t="s">
        <v>20</v>
      </c>
      <c r="D231" s="911">
        <v>313317.13</v>
      </c>
      <c r="E231" s="909">
        <v>361000</v>
      </c>
      <c r="F231" s="1093">
        <v>18</v>
      </c>
      <c r="G231" s="909"/>
      <c r="H231" s="1083">
        <f t="shared" si="141"/>
        <v>0.46464358691288177</v>
      </c>
      <c r="I231" s="1084"/>
      <c r="J231" s="949"/>
      <c r="K231" s="668" t="s">
        <v>20</v>
      </c>
      <c r="L231" s="911">
        <v>299812.16415000003</v>
      </c>
      <c r="M231" s="909">
        <v>349000</v>
      </c>
      <c r="N231" s="1093">
        <v>17.5</v>
      </c>
      <c r="O231" s="909"/>
      <c r="P231" s="1083">
        <f t="shared" si="142"/>
        <v>0.46209393213639854</v>
      </c>
      <c r="Q231" s="1084"/>
      <c r="R231" s="666"/>
      <c r="S231" s="666"/>
      <c r="T231" s="666"/>
      <c r="U231" s="668" t="s">
        <v>20</v>
      </c>
      <c r="V231" s="911">
        <v>290077.14715000003</v>
      </c>
      <c r="W231" s="909">
        <v>297000</v>
      </c>
      <c r="X231" s="666">
        <v>17.5</v>
      </c>
      <c r="Y231" s="909"/>
      <c r="Z231" s="1083">
        <f t="shared" si="143"/>
        <v>0.49410396667319839</v>
      </c>
      <c r="AA231" s="1084"/>
      <c r="AB231" s="666"/>
      <c r="AC231" s="668" t="s">
        <v>20</v>
      </c>
      <c r="AD231" s="911">
        <v>284774.125</v>
      </c>
      <c r="AE231" s="909"/>
      <c r="AF231" s="909">
        <v>379000</v>
      </c>
      <c r="AG231" s="666">
        <v>17.5</v>
      </c>
      <c r="AH231" s="909"/>
      <c r="AI231" s="1083">
        <f t="shared" si="144"/>
        <v>0.42902263627706189</v>
      </c>
      <c r="AJ231" s="1084"/>
      <c r="AK231" s="844"/>
    </row>
    <row r="232" spans="3:37" ht="15.75" x14ac:dyDescent="0.25">
      <c r="C232" s="668" t="s">
        <v>21</v>
      </c>
      <c r="D232" s="911">
        <v>2235680.9000000004</v>
      </c>
      <c r="E232" s="909">
        <v>2803000</v>
      </c>
      <c r="F232" s="1093">
        <v>18.5</v>
      </c>
      <c r="G232" s="909"/>
      <c r="H232" s="1083">
        <f t="shared" si="141"/>
        <v>0.44370360901401795</v>
      </c>
      <c r="I232" s="1084"/>
      <c r="J232" s="949"/>
      <c r="K232" s="668" t="s">
        <v>21</v>
      </c>
      <c r="L232" s="911">
        <v>2150249.9849999999</v>
      </c>
      <c r="M232" s="909">
        <v>2852000</v>
      </c>
      <c r="N232" s="1093">
        <v>18.5</v>
      </c>
      <c r="O232" s="909"/>
      <c r="P232" s="1083">
        <f t="shared" si="142"/>
        <v>0.42985656283629337</v>
      </c>
      <c r="Q232" s="1084"/>
      <c r="R232" s="666"/>
      <c r="S232" s="666"/>
      <c r="T232" s="666"/>
      <c r="U232" s="668" t="s">
        <v>21</v>
      </c>
      <c r="V232" s="911">
        <v>2119729.4759999998</v>
      </c>
      <c r="W232" s="909">
        <v>2749000</v>
      </c>
      <c r="X232" s="666">
        <v>18.5</v>
      </c>
      <c r="Y232" s="909"/>
      <c r="Z232" s="1083">
        <f t="shared" si="143"/>
        <v>0.43537631048285419</v>
      </c>
      <c r="AA232" s="1084"/>
      <c r="AB232" s="666"/>
      <c r="AC232" s="668" t="s">
        <v>21</v>
      </c>
      <c r="AD232" s="911">
        <v>1937122.7960000001</v>
      </c>
      <c r="AE232" s="909"/>
      <c r="AF232" s="909">
        <v>2639000</v>
      </c>
      <c r="AG232" s="666">
        <v>18.5</v>
      </c>
      <c r="AH232" s="909"/>
      <c r="AI232" s="1083">
        <f t="shared" si="144"/>
        <v>0.4233109298756676</v>
      </c>
      <c r="AJ232" s="1084"/>
      <c r="AK232" s="844"/>
    </row>
    <row r="233" spans="3:37" ht="15.75" x14ac:dyDescent="0.25">
      <c r="C233" s="668" t="s">
        <v>22</v>
      </c>
      <c r="D233" s="911">
        <v>1337931.68</v>
      </c>
      <c r="E233" s="909">
        <v>1037000</v>
      </c>
      <c r="F233" s="1093">
        <v>17.5</v>
      </c>
      <c r="G233" s="909"/>
      <c r="H233" s="1083">
        <f t="shared" si="141"/>
        <v>0.56335586040942454</v>
      </c>
      <c r="I233" s="1084"/>
      <c r="J233" s="949"/>
      <c r="K233" s="668" t="s">
        <v>22</v>
      </c>
      <c r="L233" s="911">
        <v>1213603.5919999999</v>
      </c>
      <c r="M233" s="909">
        <v>919000</v>
      </c>
      <c r="N233" s="1093">
        <v>17.5</v>
      </c>
      <c r="O233" s="909"/>
      <c r="P233" s="1083">
        <f t="shared" si="142"/>
        <v>0.56907134385057334</v>
      </c>
      <c r="Q233" s="1084"/>
      <c r="R233" s="666"/>
      <c r="S233" s="666"/>
      <c r="T233" s="666"/>
      <c r="U233" s="668" t="s">
        <v>22</v>
      </c>
      <c r="V233" s="911">
        <v>1131953.5240500001</v>
      </c>
      <c r="W233" s="909">
        <v>992000</v>
      </c>
      <c r="X233" s="666">
        <v>17.5</v>
      </c>
      <c r="Y233" s="909"/>
      <c r="Z233" s="1083">
        <f t="shared" si="143"/>
        <v>0.5329464657454307</v>
      </c>
      <c r="AA233" s="1084"/>
      <c r="AB233" s="666"/>
      <c r="AC233" s="668" t="s">
        <v>22</v>
      </c>
      <c r="AD233" s="911">
        <v>995094.16650000005</v>
      </c>
      <c r="AE233" s="909"/>
      <c r="AF233" s="909">
        <v>1075000</v>
      </c>
      <c r="AG233" s="666">
        <v>17.5</v>
      </c>
      <c r="AH233" s="909"/>
      <c r="AI233" s="1083">
        <f t="shared" si="144"/>
        <v>0.48069995201351146</v>
      </c>
      <c r="AJ233" s="1084"/>
      <c r="AK233" s="844"/>
    </row>
    <row r="234" spans="3:37" ht="15.75" x14ac:dyDescent="0.25">
      <c r="C234" s="668" t="s">
        <v>23</v>
      </c>
      <c r="D234" s="911">
        <v>6979326.7600000007</v>
      </c>
      <c r="E234" s="909">
        <v>43683000</v>
      </c>
      <c r="F234" s="1093">
        <v>16.5</v>
      </c>
      <c r="G234" s="909"/>
      <c r="H234" s="1083">
        <f t="shared" si="141"/>
        <v>0.13776167038404694</v>
      </c>
      <c r="I234" s="1084"/>
      <c r="J234" s="949"/>
      <c r="K234" s="668" t="s">
        <v>23</v>
      </c>
      <c r="L234" s="911">
        <v>6847570.4823999992</v>
      </c>
      <c r="M234" s="909">
        <v>39943000</v>
      </c>
      <c r="N234" s="1093">
        <v>16.5</v>
      </c>
      <c r="O234" s="909"/>
      <c r="P234" s="1083">
        <f t="shared" si="142"/>
        <v>0.1463450950010467</v>
      </c>
      <c r="Q234" s="1084"/>
      <c r="R234" s="666"/>
      <c r="S234" s="666"/>
      <c r="T234" s="666"/>
      <c r="U234" s="668" t="s">
        <v>23</v>
      </c>
      <c r="V234" s="911">
        <v>6787864.5766500011</v>
      </c>
      <c r="W234" s="909">
        <v>40367000</v>
      </c>
      <c r="X234" s="666">
        <v>16.5</v>
      </c>
      <c r="Y234" s="909"/>
      <c r="Z234" s="1083">
        <f t="shared" si="143"/>
        <v>0.1439483420764863</v>
      </c>
      <c r="AA234" s="1084"/>
      <c r="AB234" s="666"/>
      <c r="AC234" s="668" t="s">
        <v>23</v>
      </c>
      <c r="AD234" s="911">
        <v>5812697.8520000009</v>
      </c>
      <c r="AE234" s="909"/>
      <c r="AF234" s="909">
        <v>40414000</v>
      </c>
      <c r="AG234" s="666">
        <v>16</v>
      </c>
      <c r="AH234" s="909"/>
      <c r="AI234" s="1083">
        <f t="shared" si="144"/>
        <v>0.12574330683558688</v>
      </c>
      <c r="AJ234" s="1084"/>
      <c r="AK234" s="844"/>
    </row>
    <row r="235" spans="3:37" ht="16.5" thickBot="1" x14ac:dyDescent="0.3">
      <c r="C235" s="668"/>
      <c r="D235" s="664"/>
      <c r="E235" s="666"/>
      <c r="F235" s="666"/>
      <c r="G235" s="909"/>
      <c r="H235" s="1083"/>
      <c r="I235" s="1084"/>
      <c r="J235" s="949"/>
      <c r="K235" s="668"/>
      <c r="L235" s="664"/>
      <c r="M235" s="666"/>
      <c r="N235" s="666"/>
      <c r="O235" s="909"/>
      <c r="P235" s="1083"/>
      <c r="Q235" s="1084"/>
      <c r="R235" s="666"/>
      <c r="S235" s="666"/>
      <c r="T235" s="666"/>
      <c r="U235" s="668"/>
      <c r="V235" s="664"/>
      <c r="W235" s="666"/>
      <c r="X235" s="666"/>
      <c r="Y235" s="909"/>
      <c r="Z235" s="1083"/>
      <c r="AA235" s="1084"/>
      <c r="AB235" s="666"/>
      <c r="AC235" s="668"/>
      <c r="AD235" s="664"/>
      <c r="AE235" s="666"/>
      <c r="AF235" s="666"/>
      <c r="AG235" s="666"/>
      <c r="AH235" s="909"/>
      <c r="AI235" s="1083"/>
      <c r="AJ235" s="1084"/>
      <c r="AK235" s="844"/>
    </row>
    <row r="236" spans="3:37" ht="16.5" thickBot="1" x14ac:dyDescent="0.3">
      <c r="C236" s="884" t="s">
        <v>578</v>
      </c>
      <c r="D236" s="913">
        <f>SUM(D219:D234)</f>
        <v>36263968.409999996</v>
      </c>
      <c r="E236" s="913">
        <f>SUM(E219:E234)</f>
        <v>92989000</v>
      </c>
      <c r="F236" s="1089"/>
      <c r="G236" s="1089"/>
      <c r="H236" s="1090">
        <f>D236/(E236+D236)</f>
        <v>0.2805658458455515</v>
      </c>
      <c r="I236" s="1091"/>
      <c r="J236" s="949"/>
      <c r="K236" s="1085" t="s">
        <v>578</v>
      </c>
      <c r="L236" s="913">
        <f>SUM(L219:L234)</f>
        <v>35282585.364700004</v>
      </c>
      <c r="M236" s="913">
        <f>SUM(M219:M234)</f>
        <v>86099000</v>
      </c>
      <c r="N236" s="1089"/>
      <c r="O236" s="1089"/>
      <c r="P236" s="1090">
        <f>L236/(M236+L236)</f>
        <v>0.29067494265040988</v>
      </c>
      <c r="Q236" s="1091"/>
      <c r="R236" s="666"/>
      <c r="S236" s="666"/>
      <c r="T236" s="666"/>
      <c r="U236" s="884" t="s">
        <v>578</v>
      </c>
      <c r="V236" s="913">
        <f>SUM(V219:V234)</f>
        <v>34755576.236450002</v>
      </c>
      <c r="W236" s="913">
        <f>SUM(W219:W234)</f>
        <v>84922000</v>
      </c>
      <c r="X236" s="1089"/>
      <c r="Y236" s="1089"/>
      <c r="Z236" s="1090">
        <f>V236/(W236+V236)</f>
        <v>0.29041009460103484</v>
      </c>
      <c r="AA236" s="1091"/>
      <c r="AB236" s="554"/>
      <c r="AC236" s="884" t="s">
        <v>578</v>
      </c>
      <c r="AD236" s="913">
        <f>SUM(AD219:AD234)</f>
        <v>31646740.331799999</v>
      </c>
      <c r="AE236" s="913"/>
      <c r="AF236" s="913">
        <f>SUM(AF219:AF234)</f>
        <v>84217000</v>
      </c>
      <c r="AG236" s="1089"/>
      <c r="AH236" s="1089"/>
      <c r="AI236" s="1090">
        <f>AD236/(AF236+AD236)</f>
        <v>0.27313756867483263</v>
      </c>
      <c r="AJ236" s="1091"/>
      <c r="AK236" s="844"/>
    </row>
    <row r="237" spans="3:37" ht="15.75" x14ac:dyDescent="0.25">
      <c r="C237" s="664"/>
      <c r="D237" s="1087">
        <v>36263968.410000004</v>
      </c>
      <c r="E237" s="666"/>
      <c r="F237" s="666"/>
      <c r="G237" s="666"/>
      <c r="H237" s="666"/>
      <c r="I237" s="666"/>
      <c r="J237" s="949"/>
      <c r="K237" s="666"/>
      <c r="L237" s="1087">
        <v>35282585.364700004</v>
      </c>
      <c r="M237" s="666"/>
      <c r="N237" s="666"/>
      <c r="O237" s="666"/>
      <c r="P237" s="666"/>
      <c r="Q237" s="666"/>
      <c r="R237" s="1088"/>
      <c r="S237" s="666"/>
      <c r="T237" s="666"/>
      <c r="U237" s="666"/>
      <c r="V237" s="1088">
        <v>34755576.236449994</v>
      </c>
      <c r="W237" s="909"/>
      <c r="X237" s="909"/>
      <c r="Y237" s="909"/>
      <c r="Z237" s="909"/>
      <c r="AA237" s="909"/>
      <c r="AB237" s="909"/>
      <c r="AC237" s="948"/>
      <c r="AD237" s="1088">
        <v>31646740.331800006</v>
      </c>
      <c r="AE237" s="1088"/>
      <c r="AF237" s="666"/>
      <c r="AG237" s="666"/>
      <c r="AH237" s="666"/>
      <c r="AI237" s="666"/>
      <c r="AJ237" s="666"/>
      <c r="AK237" s="844"/>
    </row>
    <row r="238" spans="3:37" x14ac:dyDescent="0.2">
      <c r="C238" s="664"/>
      <c r="D238" s="666"/>
      <c r="E238" s="666"/>
      <c r="F238" s="666"/>
      <c r="G238" s="666"/>
      <c r="H238" s="666"/>
      <c r="I238" s="666"/>
      <c r="J238" s="666"/>
      <c r="K238" s="666"/>
      <c r="L238" s="666"/>
      <c r="M238" s="666"/>
      <c r="N238" s="666"/>
      <c r="O238" s="666"/>
      <c r="P238" s="666"/>
      <c r="Q238" s="666"/>
      <c r="R238" s="666"/>
      <c r="S238" s="666"/>
      <c r="T238" s="666"/>
      <c r="U238" s="666"/>
      <c r="V238" s="666"/>
      <c r="W238" s="666"/>
      <c r="X238" s="666"/>
      <c r="Y238" s="666"/>
      <c r="Z238" s="666"/>
      <c r="AA238" s="666"/>
      <c r="AB238" s="666"/>
      <c r="AC238" s="666"/>
      <c r="AD238" s="666"/>
      <c r="AE238" s="666"/>
      <c r="AF238" s="666"/>
      <c r="AG238" s="666"/>
      <c r="AH238" s="666"/>
      <c r="AI238" s="666"/>
      <c r="AJ238" s="666"/>
      <c r="AK238" s="844"/>
    </row>
    <row r="239" spans="3:37" x14ac:dyDescent="0.2">
      <c r="C239" s="664"/>
      <c r="D239" s="1145">
        <v>38681229</v>
      </c>
      <c r="E239" s="666"/>
      <c r="F239" s="666"/>
      <c r="G239" s="666"/>
      <c r="H239" s="666"/>
      <c r="I239" s="666"/>
      <c r="J239" s="666"/>
      <c r="K239" s="666"/>
      <c r="L239" s="1145">
        <v>37768954.554700002</v>
      </c>
      <c r="M239" s="666"/>
      <c r="N239" s="666"/>
      <c r="O239" s="666"/>
      <c r="P239" s="666"/>
      <c r="Q239" s="666"/>
      <c r="R239" s="666"/>
      <c r="S239" s="666"/>
      <c r="T239" s="666"/>
      <c r="U239" s="666"/>
      <c r="V239" s="1145">
        <v>41896526.616449997</v>
      </c>
      <c r="W239" s="666"/>
      <c r="X239" s="666"/>
      <c r="Y239" s="666"/>
      <c r="Z239" s="666"/>
      <c r="AA239" s="666"/>
      <c r="AB239" s="666"/>
      <c r="AC239" s="666"/>
      <c r="AD239" s="666"/>
      <c r="AE239" s="666"/>
      <c r="AF239" s="666"/>
      <c r="AG239" s="666"/>
      <c r="AH239" s="666"/>
      <c r="AI239" s="666"/>
      <c r="AJ239" s="666"/>
      <c r="AK239" s="844"/>
    </row>
    <row r="240" spans="3:37" x14ac:dyDescent="0.2">
      <c r="C240" s="664"/>
      <c r="D240" s="666"/>
      <c r="E240" s="666"/>
      <c r="F240" s="666"/>
      <c r="G240" s="666"/>
      <c r="H240" s="666"/>
      <c r="I240" s="666"/>
      <c r="J240" s="666"/>
      <c r="K240" s="666"/>
      <c r="L240" s="666"/>
      <c r="M240" s="666"/>
      <c r="N240" s="666"/>
      <c r="O240" s="666"/>
      <c r="P240" s="666"/>
      <c r="Q240" s="666"/>
      <c r="R240" s="666"/>
      <c r="S240" s="666"/>
      <c r="T240" s="666"/>
      <c r="U240" s="666"/>
      <c r="V240" s="666"/>
      <c r="W240" s="666"/>
      <c r="X240" s="666"/>
      <c r="Y240" s="666"/>
      <c r="Z240" s="666"/>
      <c r="AA240" s="666"/>
      <c r="AB240" s="666"/>
      <c r="AC240" s="666"/>
      <c r="AD240" s="666"/>
      <c r="AE240" s="666"/>
      <c r="AF240" s="666"/>
      <c r="AG240" s="666"/>
      <c r="AH240" s="666"/>
      <c r="AI240" s="666"/>
      <c r="AJ240" s="666"/>
      <c r="AK240" s="844"/>
    </row>
    <row r="241" spans="3:37" ht="15.75" thickBot="1" x14ac:dyDescent="0.25">
      <c r="C241" s="669"/>
      <c r="D241" s="845"/>
      <c r="E241" s="845"/>
      <c r="F241" s="845"/>
      <c r="G241" s="845"/>
      <c r="H241" s="845"/>
      <c r="I241" s="845"/>
      <c r="J241" s="845"/>
      <c r="K241" s="845"/>
      <c r="L241" s="845"/>
      <c r="M241" s="845"/>
      <c r="N241" s="845"/>
      <c r="O241" s="845"/>
      <c r="P241" s="845"/>
      <c r="Q241" s="845"/>
      <c r="R241" s="845"/>
      <c r="S241" s="845"/>
      <c r="T241" s="845"/>
      <c r="U241" s="845"/>
      <c r="V241" s="845"/>
      <c r="W241" s="845"/>
      <c r="X241" s="845"/>
      <c r="Y241" s="845"/>
      <c r="Z241" s="845"/>
      <c r="AA241" s="845"/>
      <c r="AB241" s="845"/>
      <c r="AC241" s="845"/>
      <c r="AD241" s="845"/>
      <c r="AE241" s="845"/>
      <c r="AF241" s="845"/>
      <c r="AG241" s="845"/>
      <c r="AH241" s="845"/>
      <c r="AI241" s="845"/>
      <c r="AJ241" s="845"/>
      <c r="AK241" s="846"/>
    </row>
    <row r="253" spans="3:37" x14ac:dyDescent="0.2">
      <c r="E253" s="9"/>
      <c r="F253" s="9"/>
      <c r="G253" s="9"/>
      <c r="H253" s="9"/>
      <c r="I253" s="9"/>
      <c r="J253" s="9"/>
      <c r="K253" s="9"/>
      <c r="L253" s="9"/>
      <c r="M253" s="9"/>
      <c r="N253" s="9"/>
      <c r="O253" s="9"/>
      <c r="P253" s="9"/>
      <c r="Q253" s="9"/>
    </row>
    <row r="254" spans="3:37" x14ac:dyDescent="0.2">
      <c r="E254" s="9"/>
      <c r="F254" s="9"/>
      <c r="G254" s="9"/>
      <c r="H254" s="9"/>
      <c r="I254" s="9"/>
      <c r="J254" s="9"/>
      <c r="K254" s="9"/>
      <c r="L254" s="9"/>
      <c r="M254" s="9"/>
      <c r="N254" s="9"/>
      <c r="O254" s="9"/>
      <c r="P254" s="9"/>
      <c r="Q254" s="9"/>
    </row>
    <row r="255" spans="3:37" x14ac:dyDescent="0.2">
      <c r="E255" s="9"/>
      <c r="F255" s="9"/>
      <c r="G255" s="9"/>
      <c r="H255" s="1214"/>
      <c r="I255" s="9"/>
      <c r="J255" s="9"/>
      <c r="K255" s="9"/>
      <c r="L255" s="9"/>
      <c r="M255" s="9"/>
      <c r="N255" s="9"/>
      <c r="O255" s="9"/>
      <c r="P255" s="9"/>
      <c r="Q255" s="9"/>
    </row>
    <row r="256" spans="3:37" x14ac:dyDescent="0.2">
      <c r="E256" s="9"/>
      <c r="F256" s="9"/>
      <c r="G256" s="9"/>
      <c r="H256" s="1215"/>
      <c r="I256" s="9"/>
      <c r="J256" s="9"/>
      <c r="K256" s="9"/>
      <c r="L256" s="9"/>
      <c r="M256" s="9"/>
      <c r="N256" s="9"/>
      <c r="O256" s="9"/>
      <c r="P256" s="9"/>
      <c r="Q256" s="9"/>
    </row>
    <row r="257" spans="5:17" x14ac:dyDescent="0.2">
      <c r="E257" s="9"/>
      <c r="F257" s="9"/>
      <c r="G257" s="9"/>
      <c r="H257" s="1215"/>
      <c r="I257" s="9"/>
      <c r="J257" s="9"/>
      <c r="K257" s="9"/>
      <c r="L257" s="9"/>
      <c r="M257" s="9"/>
      <c r="N257" s="9"/>
      <c r="O257" s="9"/>
      <c r="P257" s="9"/>
      <c r="Q257" s="9"/>
    </row>
    <row r="258" spans="5:17" x14ac:dyDescent="0.2">
      <c r="E258" s="9"/>
      <c r="F258" s="9"/>
      <c r="G258" s="9"/>
      <c r="H258" s="1215"/>
      <c r="I258" s="9"/>
      <c r="J258" s="9"/>
      <c r="K258" s="9"/>
      <c r="L258" s="9"/>
      <c r="M258" s="9"/>
      <c r="N258" s="9"/>
      <c r="O258" s="9"/>
      <c r="P258" s="9"/>
      <c r="Q258" s="9"/>
    </row>
    <row r="259" spans="5:17" x14ac:dyDescent="0.2">
      <c r="E259" s="9"/>
      <c r="F259" s="9"/>
      <c r="G259" s="9"/>
      <c r="H259" s="1215"/>
      <c r="I259" s="9"/>
      <c r="J259" s="9"/>
      <c r="K259" s="9"/>
      <c r="L259" s="9"/>
      <c r="M259" s="9"/>
      <c r="N259" s="9"/>
      <c r="O259" s="9"/>
      <c r="P259" s="9"/>
      <c r="Q259" s="9"/>
    </row>
    <row r="260" spans="5:17" x14ac:dyDescent="0.2">
      <c r="E260" s="9"/>
      <c r="F260" s="9"/>
      <c r="G260" s="9"/>
      <c r="H260" s="1215"/>
      <c r="I260" s="9"/>
      <c r="J260" s="9"/>
      <c r="K260" s="9"/>
      <c r="L260" s="9"/>
      <c r="M260" s="9"/>
      <c r="N260" s="9"/>
      <c r="O260" s="9"/>
      <c r="P260" s="9"/>
      <c r="Q260" s="9"/>
    </row>
    <row r="261" spans="5:17" x14ac:dyDescent="0.2">
      <c r="E261" s="9"/>
      <c r="F261" s="9"/>
      <c r="G261" s="9"/>
      <c r="H261" s="1216"/>
      <c r="I261" s="9"/>
      <c r="J261" s="9"/>
      <c r="K261" s="9"/>
      <c r="L261" s="9"/>
      <c r="M261" s="9"/>
      <c r="N261" s="9"/>
      <c r="O261" s="9"/>
      <c r="P261" s="9"/>
      <c r="Q261" s="9"/>
    </row>
    <row r="262" spans="5:17" x14ac:dyDescent="0.2">
      <c r="E262" s="9"/>
      <c r="F262" s="9"/>
      <c r="G262" s="9"/>
      <c r="H262" s="1216"/>
      <c r="I262" s="9"/>
      <c r="J262" s="9"/>
      <c r="K262" s="9"/>
      <c r="L262" s="9"/>
      <c r="M262" s="9"/>
      <c r="N262" s="9"/>
      <c r="O262" s="9"/>
      <c r="P262" s="9"/>
      <c r="Q262" s="9"/>
    </row>
    <row r="263" spans="5:17" x14ac:dyDescent="0.2">
      <c r="E263" s="9"/>
      <c r="F263" s="9"/>
      <c r="G263" s="9"/>
      <c r="H263" s="1217"/>
      <c r="I263" s="9"/>
      <c r="J263" s="9"/>
      <c r="K263" s="9"/>
      <c r="L263" s="9"/>
      <c r="M263" s="9"/>
      <c r="N263" s="9"/>
      <c r="O263" s="9"/>
      <c r="P263" s="9"/>
      <c r="Q263" s="9"/>
    </row>
    <row r="264" spans="5:17" x14ac:dyDescent="0.2">
      <c r="E264" s="9"/>
      <c r="F264" s="9"/>
      <c r="G264" s="9"/>
      <c r="H264" s="1215"/>
      <c r="I264" s="9"/>
      <c r="J264" s="9"/>
      <c r="K264" s="9"/>
      <c r="L264" s="9"/>
      <c r="M264" s="9"/>
      <c r="N264" s="9"/>
      <c r="O264" s="9"/>
      <c r="P264" s="9"/>
      <c r="Q264" s="9"/>
    </row>
    <row r="265" spans="5:17" x14ac:dyDescent="0.2">
      <c r="E265" s="9"/>
      <c r="F265" s="9"/>
      <c r="G265" s="9"/>
      <c r="H265" s="1215"/>
      <c r="I265" s="9"/>
      <c r="J265" s="9"/>
      <c r="K265" s="9"/>
      <c r="L265" s="9"/>
      <c r="M265" s="9"/>
      <c r="N265" s="9"/>
      <c r="O265" s="9"/>
      <c r="P265" s="9"/>
      <c r="Q265" s="9"/>
    </row>
    <row r="266" spans="5:17" x14ac:dyDescent="0.2">
      <c r="E266" s="9"/>
      <c r="F266" s="9"/>
      <c r="G266" s="9"/>
      <c r="H266" s="1215"/>
      <c r="I266" s="9"/>
      <c r="J266" s="9"/>
      <c r="K266" s="9"/>
      <c r="L266" s="9"/>
      <c r="M266" s="9"/>
      <c r="N266" s="9"/>
      <c r="O266" s="9"/>
      <c r="P266" s="9"/>
      <c r="Q266" s="9"/>
    </row>
    <row r="267" spans="5:17" x14ac:dyDescent="0.2">
      <c r="E267" s="9"/>
      <c r="F267" s="9"/>
      <c r="G267" s="9"/>
      <c r="H267" s="1215"/>
      <c r="I267" s="9"/>
      <c r="J267" s="9"/>
      <c r="K267" s="9"/>
      <c r="L267" s="9"/>
      <c r="M267" s="9"/>
      <c r="N267" s="9"/>
      <c r="O267" s="9"/>
      <c r="P267" s="9"/>
      <c r="Q267" s="9"/>
    </row>
    <row r="268" spans="5:17" x14ac:dyDescent="0.2">
      <c r="E268" s="9"/>
      <c r="F268" s="9"/>
      <c r="G268" s="9"/>
      <c r="H268" s="1215"/>
      <c r="I268" s="9"/>
      <c r="J268" s="9"/>
      <c r="K268" s="9"/>
      <c r="L268" s="9"/>
      <c r="M268" s="9"/>
      <c r="N268" s="9"/>
      <c r="O268" s="9"/>
      <c r="P268" s="9"/>
      <c r="Q268" s="9"/>
    </row>
    <row r="269" spans="5:17" x14ac:dyDescent="0.2">
      <c r="E269" s="9"/>
      <c r="F269" s="9"/>
      <c r="G269" s="9"/>
      <c r="H269" s="1215"/>
      <c r="I269" s="9"/>
      <c r="J269" s="9"/>
      <c r="K269" s="9"/>
      <c r="L269" s="9"/>
      <c r="M269" s="9"/>
      <c r="N269" s="9"/>
      <c r="O269" s="9"/>
      <c r="P269" s="9"/>
      <c r="Q269" s="9"/>
    </row>
    <row r="270" spans="5:17" x14ac:dyDescent="0.2">
      <c r="E270" s="9"/>
      <c r="F270" s="9"/>
      <c r="G270" s="9"/>
      <c r="H270" s="1215"/>
      <c r="I270" s="9"/>
      <c r="J270" s="9"/>
      <c r="K270" s="9"/>
      <c r="L270" s="9"/>
      <c r="M270" s="9"/>
      <c r="N270" s="9"/>
      <c r="O270" s="9"/>
      <c r="P270" s="9"/>
      <c r="Q270" s="9"/>
    </row>
    <row r="271" spans="5:17" ht="15.75" x14ac:dyDescent="0.25">
      <c r="E271" s="9"/>
      <c r="F271" s="9"/>
      <c r="G271" s="9"/>
      <c r="H271" s="1218"/>
      <c r="I271" s="9"/>
      <c r="J271" s="9"/>
      <c r="K271" s="9"/>
      <c r="L271" s="9"/>
      <c r="M271" s="9"/>
      <c r="N271" s="9"/>
      <c r="O271" s="9"/>
      <c r="P271" s="9"/>
      <c r="Q271" s="9"/>
    </row>
    <row r="272" spans="5:17" x14ac:dyDescent="0.2">
      <c r="E272" s="9"/>
      <c r="F272" s="9"/>
      <c r="G272" s="9"/>
      <c r="H272" s="9"/>
      <c r="I272" s="9"/>
      <c r="J272" s="9"/>
      <c r="K272" s="9"/>
      <c r="L272" s="9"/>
      <c r="M272" s="9"/>
      <c r="N272" s="9"/>
      <c r="O272" s="9"/>
      <c r="P272" s="9"/>
      <c r="Q272" s="9"/>
    </row>
    <row r="273" spans="5:17" x14ac:dyDescent="0.2">
      <c r="E273" s="9"/>
      <c r="F273" s="9"/>
      <c r="G273" s="9"/>
      <c r="H273" s="9"/>
      <c r="I273" s="9"/>
      <c r="J273" s="9"/>
      <c r="K273" s="9"/>
      <c r="L273" s="9"/>
      <c r="M273" s="9"/>
      <c r="N273" s="9"/>
      <c r="O273" s="9"/>
      <c r="P273" s="9"/>
      <c r="Q273" s="9"/>
    </row>
    <row r="274" spans="5:17" x14ac:dyDescent="0.2">
      <c r="E274" s="9"/>
      <c r="F274" s="9"/>
      <c r="G274" s="9"/>
      <c r="H274" s="9"/>
      <c r="I274" s="9"/>
      <c r="J274" s="9"/>
      <c r="K274" s="9"/>
      <c r="L274" s="9"/>
      <c r="M274" s="9"/>
      <c r="N274" s="9"/>
      <c r="O274" s="9"/>
      <c r="P274" s="9"/>
      <c r="Q274" s="9"/>
    </row>
    <row r="275" spans="5:17" x14ac:dyDescent="0.2">
      <c r="E275" s="9"/>
      <c r="F275" s="9"/>
      <c r="G275" s="9"/>
      <c r="H275" s="9"/>
      <c r="I275" s="9"/>
      <c r="J275" s="9"/>
      <c r="K275" s="9"/>
      <c r="L275" s="9"/>
      <c r="M275" s="9"/>
      <c r="N275" s="9"/>
      <c r="O275" s="9"/>
      <c r="P275" s="9"/>
      <c r="Q275" s="9"/>
    </row>
    <row r="276" spans="5:17" x14ac:dyDescent="0.2">
      <c r="E276" s="9"/>
      <c r="F276" s="9"/>
      <c r="G276" s="9"/>
      <c r="H276" s="9"/>
      <c r="I276" s="9"/>
      <c r="J276" s="9"/>
      <c r="K276" s="9"/>
      <c r="L276" s="9"/>
      <c r="M276" s="9"/>
      <c r="N276" s="9"/>
      <c r="O276" s="9"/>
      <c r="P276" s="9"/>
      <c r="Q276" s="9"/>
    </row>
    <row r="277" spans="5:17" x14ac:dyDescent="0.2">
      <c r="E277" s="9"/>
      <c r="F277" s="9"/>
      <c r="G277" s="9"/>
      <c r="H277" s="9"/>
      <c r="I277" s="9"/>
      <c r="J277" s="9"/>
      <c r="K277" s="9"/>
      <c r="L277" s="9"/>
      <c r="M277" s="9"/>
      <c r="N277" s="9"/>
      <c r="O277" s="9"/>
      <c r="P277" s="9"/>
      <c r="Q277" s="9"/>
    </row>
    <row r="278" spans="5:17" x14ac:dyDescent="0.2">
      <c r="E278" s="9"/>
      <c r="F278" s="9"/>
      <c r="G278" s="9"/>
      <c r="H278" s="9"/>
      <c r="I278" s="9"/>
      <c r="J278" s="9"/>
      <c r="K278" s="9"/>
      <c r="L278" s="9"/>
      <c r="M278" s="9"/>
      <c r="N278" s="9"/>
      <c r="O278" s="9"/>
      <c r="P278" s="9"/>
      <c r="Q278" s="9"/>
    </row>
    <row r="279" spans="5:17" x14ac:dyDescent="0.2">
      <c r="E279" s="9"/>
      <c r="F279" s="9"/>
      <c r="G279" s="9"/>
      <c r="H279" s="9"/>
      <c r="I279" s="9"/>
      <c r="J279" s="9"/>
      <c r="K279" s="9"/>
      <c r="L279" s="9"/>
      <c r="M279" s="9"/>
      <c r="N279" s="9"/>
      <c r="O279" s="9"/>
      <c r="P279" s="9"/>
      <c r="Q279" s="9"/>
    </row>
    <row r="280" spans="5:17" x14ac:dyDescent="0.2">
      <c r="E280" s="9"/>
      <c r="F280" s="9"/>
      <c r="G280" s="9"/>
      <c r="H280" s="9"/>
      <c r="I280" s="9"/>
      <c r="J280" s="9"/>
      <c r="K280" s="9"/>
      <c r="L280" s="9"/>
      <c r="M280" s="9"/>
      <c r="N280" s="9"/>
      <c r="O280" s="9"/>
      <c r="P280" s="9"/>
      <c r="Q280" s="9"/>
    </row>
    <row r="281" spans="5:17" x14ac:dyDescent="0.2">
      <c r="E281" s="9"/>
      <c r="F281" s="9"/>
      <c r="G281" s="9"/>
      <c r="H281" s="9"/>
      <c r="I281" s="9"/>
      <c r="J281" s="9"/>
      <c r="K281" s="9"/>
      <c r="L281" s="9"/>
      <c r="M281" s="9"/>
      <c r="N281" s="9"/>
      <c r="O281" s="9"/>
      <c r="P281" s="9"/>
      <c r="Q281" s="9"/>
    </row>
    <row r="282" spans="5:17" x14ac:dyDescent="0.2">
      <c r="E282" s="9"/>
      <c r="F282" s="9"/>
      <c r="G282" s="9"/>
      <c r="H282" s="9"/>
      <c r="I282" s="9"/>
      <c r="J282" s="9"/>
      <c r="K282" s="9"/>
      <c r="L282" s="9"/>
      <c r="M282" s="9"/>
      <c r="N282" s="9"/>
      <c r="O282" s="9"/>
      <c r="P282" s="9"/>
      <c r="Q282" s="9"/>
    </row>
    <row r="283" spans="5:17" x14ac:dyDescent="0.2">
      <c r="E283" s="9"/>
      <c r="F283" s="9"/>
      <c r="G283" s="9"/>
      <c r="H283" s="9"/>
      <c r="I283" s="9"/>
      <c r="J283" s="9"/>
      <c r="K283" s="9"/>
      <c r="L283" s="9"/>
      <c r="M283" s="9"/>
      <c r="N283" s="9"/>
      <c r="O283" s="9"/>
      <c r="P283" s="9"/>
      <c r="Q283" s="9"/>
    </row>
    <row r="284" spans="5:17" x14ac:dyDescent="0.2">
      <c r="E284" s="9"/>
      <c r="F284" s="9"/>
      <c r="G284" s="9"/>
      <c r="H284" s="9"/>
      <c r="I284" s="9"/>
      <c r="J284" s="9"/>
      <c r="K284" s="9"/>
      <c r="L284" s="9"/>
      <c r="M284" s="9"/>
      <c r="N284" s="9"/>
      <c r="O284" s="9"/>
      <c r="P284" s="9"/>
      <c r="Q284" s="9"/>
    </row>
    <row r="285" spans="5:17" x14ac:dyDescent="0.2">
      <c r="E285" s="9"/>
      <c r="F285" s="9"/>
      <c r="G285" s="9"/>
      <c r="H285" s="9"/>
      <c r="I285" s="9"/>
      <c r="J285" s="9"/>
      <c r="K285" s="9"/>
      <c r="L285" s="9"/>
      <c r="M285" s="9"/>
      <c r="N285" s="9"/>
      <c r="O285" s="9"/>
      <c r="P285" s="9"/>
      <c r="Q285" s="9"/>
    </row>
    <row r="286" spans="5:17" x14ac:dyDescent="0.2">
      <c r="E286" s="9"/>
      <c r="F286" s="9"/>
      <c r="G286" s="9"/>
      <c r="H286" s="9"/>
      <c r="I286" s="9"/>
      <c r="J286" s="9"/>
      <c r="K286" s="9"/>
      <c r="L286" s="9"/>
      <c r="M286" s="9"/>
      <c r="N286" s="9"/>
      <c r="O286" s="9"/>
      <c r="P286" s="9"/>
      <c r="Q286" s="9"/>
    </row>
    <row r="287" spans="5:17" x14ac:dyDescent="0.2">
      <c r="E287" s="9"/>
      <c r="F287" s="9"/>
      <c r="G287" s="9"/>
      <c r="H287" s="9"/>
      <c r="I287" s="9"/>
      <c r="J287" s="9"/>
      <c r="K287" s="9"/>
      <c r="L287" s="9"/>
      <c r="M287" s="9"/>
      <c r="N287" s="9"/>
      <c r="O287" s="9"/>
      <c r="P287" s="9"/>
      <c r="Q287" s="9"/>
    </row>
    <row r="288" spans="5:17" x14ac:dyDescent="0.2">
      <c r="E288" s="9"/>
      <c r="F288" s="9"/>
      <c r="G288" s="9"/>
      <c r="H288" s="9"/>
      <c r="I288" s="9"/>
      <c r="J288" s="9"/>
      <c r="K288" s="9"/>
      <c r="L288" s="9"/>
      <c r="M288" s="9"/>
      <c r="N288" s="9"/>
      <c r="O288" s="9"/>
      <c r="P288" s="9"/>
      <c r="Q288" s="9"/>
    </row>
    <row r="289" spans="5:17" x14ac:dyDescent="0.2">
      <c r="E289" s="9"/>
      <c r="F289" s="9"/>
      <c r="G289" s="9"/>
      <c r="H289" s="9"/>
      <c r="I289" s="9"/>
      <c r="J289" s="9"/>
      <c r="K289" s="9"/>
      <c r="L289" s="9"/>
      <c r="M289" s="9"/>
      <c r="N289" s="9"/>
      <c r="O289" s="9"/>
      <c r="P289" s="9"/>
      <c r="Q289" s="9"/>
    </row>
    <row r="290" spans="5:17" x14ac:dyDescent="0.2">
      <c r="E290" s="9"/>
      <c r="F290" s="9"/>
      <c r="G290" s="9"/>
      <c r="H290" s="9"/>
      <c r="I290" s="9"/>
      <c r="J290" s="9"/>
      <c r="K290" s="9"/>
      <c r="L290" s="9"/>
      <c r="M290" s="9"/>
      <c r="N290" s="9"/>
      <c r="O290" s="9"/>
      <c r="P290" s="9"/>
      <c r="Q290" s="9"/>
    </row>
    <row r="291" spans="5:17" x14ac:dyDescent="0.2">
      <c r="E291" s="9"/>
      <c r="F291" s="9"/>
      <c r="G291" s="9"/>
      <c r="H291" s="9"/>
      <c r="I291" s="9"/>
      <c r="J291" s="9"/>
      <c r="K291" s="9"/>
      <c r="L291" s="9"/>
      <c r="M291" s="9"/>
      <c r="N291" s="9"/>
      <c r="O291" s="9"/>
      <c r="P291" s="9"/>
      <c r="Q291" s="9"/>
    </row>
    <row r="292" spans="5:17" x14ac:dyDescent="0.2">
      <c r="E292" s="9"/>
      <c r="F292" s="9"/>
      <c r="G292" s="9"/>
      <c r="H292" s="9"/>
      <c r="I292" s="9"/>
      <c r="J292" s="9"/>
      <c r="K292" s="9"/>
      <c r="L292" s="9"/>
      <c r="M292" s="9"/>
      <c r="N292" s="9"/>
      <c r="O292" s="9"/>
      <c r="P292" s="9"/>
      <c r="Q292" s="9"/>
    </row>
    <row r="293" spans="5:17" x14ac:dyDescent="0.2">
      <c r="E293" s="9"/>
      <c r="F293" s="9"/>
      <c r="G293" s="9"/>
      <c r="H293" s="9"/>
      <c r="I293" s="9"/>
      <c r="J293" s="9"/>
      <c r="K293" s="9"/>
      <c r="L293" s="9"/>
      <c r="M293" s="9"/>
      <c r="N293" s="9"/>
      <c r="O293" s="9"/>
      <c r="P293" s="9"/>
      <c r="Q293" s="9"/>
    </row>
    <row r="294" spans="5:17" x14ac:dyDescent="0.2">
      <c r="E294" s="9"/>
      <c r="F294" s="9"/>
      <c r="G294" s="9"/>
      <c r="H294" s="9"/>
      <c r="I294" s="9"/>
      <c r="J294" s="9"/>
      <c r="K294" s="9"/>
      <c r="L294" s="9"/>
      <c r="M294" s="9"/>
      <c r="N294" s="9"/>
      <c r="O294" s="9"/>
      <c r="P294" s="9"/>
      <c r="Q294" s="9"/>
    </row>
    <row r="295" spans="5:17" x14ac:dyDescent="0.2">
      <c r="E295" s="9"/>
      <c r="F295" s="9"/>
      <c r="G295" s="9"/>
      <c r="H295" s="9"/>
      <c r="I295" s="9"/>
      <c r="J295" s="9"/>
      <c r="K295" s="9"/>
      <c r="L295" s="9"/>
      <c r="M295" s="9"/>
      <c r="N295" s="9"/>
      <c r="O295" s="9"/>
      <c r="P295" s="9"/>
      <c r="Q295" s="9"/>
    </row>
    <row r="296" spans="5:17" x14ac:dyDescent="0.2">
      <c r="E296" s="9"/>
      <c r="F296" s="9"/>
      <c r="G296" s="9"/>
      <c r="H296" s="9"/>
      <c r="I296" s="9"/>
      <c r="J296" s="9"/>
      <c r="K296" s="9"/>
      <c r="L296" s="9"/>
      <c r="M296" s="9"/>
      <c r="N296" s="9"/>
      <c r="O296" s="9"/>
      <c r="P296" s="9"/>
      <c r="Q296" s="9"/>
    </row>
    <row r="297" spans="5:17" x14ac:dyDescent="0.2">
      <c r="E297" s="9"/>
      <c r="F297" s="9"/>
      <c r="G297" s="9"/>
      <c r="H297" s="9"/>
      <c r="I297" s="9"/>
      <c r="J297" s="9"/>
      <c r="K297" s="9"/>
      <c r="L297" s="9"/>
      <c r="M297" s="9"/>
      <c r="N297" s="9"/>
      <c r="O297" s="9"/>
      <c r="P297" s="9"/>
      <c r="Q297" s="9"/>
    </row>
    <row r="298" spans="5:17" x14ac:dyDescent="0.2">
      <c r="E298" s="9"/>
      <c r="F298" s="9"/>
      <c r="G298" s="9"/>
      <c r="H298" s="9"/>
      <c r="I298" s="9"/>
      <c r="J298" s="9"/>
      <c r="K298" s="9"/>
      <c r="L298" s="9"/>
      <c r="M298" s="9"/>
      <c r="N298" s="9"/>
      <c r="O298" s="9"/>
      <c r="P298" s="9"/>
      <c r="Q298" s="9"/>
    </row>
    <row r="299" spans="5:17" x14ac:dyDescent="0.2">
      <c r="E299" s="9"/>
      <c r="F299" s="9"/>
      <c r="G299" s="9"/>
      <c r="H299" s="9"/>
      <c r="I299" s="9"/>
      <c r="J299" s="9"/>
      <c r="K299" s="9"/>
      <c r="L299" s="9"/>
      <c r="M299" s="9"/>
      <c r="N299" s="9"/>
      <c r="O299" s="9"/>
      <c r="P299" s="9"/>
      <c r="Q299" s="9"/>
    </row>
    <row r="300" spans="5:17" x14ac:dyDescent="0.2">
      <c r="E300" s="9"/>
      <c r="F300" s="9"/>
      <c r="G300" s="9"/>
      <c r="H300" s="9"/>
      <c r="I300" s="9"/>
      <c r="J300" s="9"/>
      <c r="K300" s="9"/>
      <c r="L300" s="9"/>
      <c r="M300" s="9"/>
      <c r="N300" s="9"/>
      <c r="O300" s="9"/>
      <c r="P300" s="9"/>
      <c r="Q300" s="9"/>
    </row>
  </sheetData>
  <mergeCells count="49">
    <mergeCell ref="AG217:AG218"/>
    <mergeCell ref="AH217:AH218"/>
    <mergeCell ref="AI217:AI218"/>
    <mergeCell ref="AJ217:AJ218"/>
    <mergeCell ref="B5:E5"/>
    <mergeCell ref="B6:E6"/>
    <mergeCell ref="B7:E7"/>
    <mergeCell ref="B8:E8"/>
    <mergeCell ref="B9:E9"/>
    <mergeCell ref="Y217:Y218"/>
    <mergeCell ref="Z217:Z218"/>
    <mergeCell ref="AA217:AA218"/>
    <mergeCell ref="AD217:AD218"/>
    <mergeCell ref="AF217:AF218"/>
    <mergeCell ref="AJ195:AJ196"/>
    <mergeCell ref="D217:D218"/>
    <mergeCell ref="E217:E218"/>
    <mergeCell ref="F217:F218"/>
    <mergeCell ref="G217:G218"/>
    <mergeCell ref="H217:H218"/>
    <mergeCell ref="I217:I218"/>
    <mergeCell ref="V217:V218"/>
    <mergeCell ref="W217:W218"/>
    <mergeCell ref="X217:X218"/>
    <mergeCell ref="AD195:AD196"/>
    <mergeCell ref="AF195:AF196"/>
    <mergeCell ref="AG195:AG196"/>
    <mergeCell ref="AH195:AH196"/>
    <mergeCell ref="AI195:AI196"/>
    <mergeCell ref="V195:V196"/>
    <mergeCell ref="W195:W196"/>
    <mergeCell ref="X195:X196"/>
    <mergeCell ref="Y195:Y196"/>
    <mergeCell ref="Z195:Z196"/>
    <mergeCell ref="AA195:AA196"/>
    <mergeCell ref="H37:J38"/>
    <mergeCell ref="O147:O148"/>
    <mergeCell ref="P147:P148"/>
    <mergeCell ref="I195:I196"/>
    <mergeCell ref="C147:C148"/>
    <mergeCell ref="D147:D148"/>
    <mergeCell ref="E147:E148"/>
    <mergeCell ref="N147:N148"/>
    <mergeCell ref="D195:D196"/>
    <mergeCell ref="E195:E196"/>
    <mergeCell ref="F195:F196"/>
    <mergeCell ref="G195:G196"/>
    <mergeCell ref="H195:H196"/>
    <mergeCell ref="C170:C17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AO137"/>
  <sheetViews>
    <sheetView topLeftCell="A7" zoomScale="70" zoomScaleNormal="70" workbookViewId="0">
      <selection activeCell="I51" sqref="I51"/>
    </sheetView>
  </sheetViews>
  <sheetFormatPr defaultColWidth="8.88671875" defaultRowHeight="15" x14ac:dyDescent="0.2"/>
  <cols>
    <col min="1" max="1" width="8.88671875" style="1"/>
    <col min="2" max="2" width="14.88671875" style="1" customWidth="1"/>
    <col min="3" max="3" width="8.88671875" style="1"/>
    <col min="4" max="4" width="12" style="1" customWidth="1"/>
    <col min="5" max="6" width="8.88671875" style="1"/>
    <col min="7" max="7" width="18.6640625" style="1" customWidth="1"/>
    <col min="8" max="8" width="12.109375" style="1" customWidth="1"/>
    <col min="9" max="9" width="19.44140625" style="1" customWidth="1"/>
    <col min="10" max="10" width="22.88671875" style="1" customWidth="1"/>
    <col min="11" max="11" width="7.33203125" style="1" customWidth="1"/>
    <col min="12" max="12" width="7.88671875" style="1" customWidth="1"/>
    <col min="13" max="13" width="10.77734375" style="1" customWidth="1"/>
    <col min="14" max="19" width="10.44140625" style="1" bestFit="1" customWidth="1"/>
    <col min="20" max="22" width="8.88671875" style="1"/>
    <col min="23" max="23" width="11.109375" style="1" customWidth="1"/>
    <col min="24" max="24" width="8.88671875" style="1"/>
    <col min="25" max="25" width="8.88671875" style="235"/>
    <col min="26" max="31" width="8.88671875" style="1"/>
    <col min="32" max="32" width="13.109375" style="1" customWidth="1"/>
    <col min="33" max="16384" width="8.88671875" style="1"/>
  </cols>
  <sheetData>
    <row r="15" spans="2:2" ht="16.5" thickBot="1" x14ac:dyDescent="0.3">
      <c r="B15" s="234" t="s">
        <v>101</v>
      </c>
    </row>
    <row r="17" spans="1:41" x14ac:dyDescent="0.2">
      <c r="Y17" s="235" t="s">
        <v>102</v>
      </c>
      <c r="Z17" s="1">
        <f>C29</f>
        <v>50</v>
      </c>
      <c r="AB17" s="1" t="s">
        <v>103</v>
      </c>
      <c r="AD17" s="1" t="str">
        <f>I23</f>
        <v>0-40</v>
      </c>
      <c r="AE17" s="1" t="str">
        <f t="shared" ref="AE17:AN17" si="0">J23</f>
        <v>40-60</v>
      </c>
      <c r="AF17" s="1" t="str">
        <f t="shared" si="0"/>
        <v>60-80</v>
      </c>
      <c r="AG17" s="1" t="str">
        <f t="shared" si="0"/>
        <v>80-100</v>
      </c>
      <c r="AH17" s="1" t="str">
        <f t="shared" si="0"/>
        <v>100-150</v>
      </c>
      <c r="AI17" s="1" t="str">
        <f t="shared" si="0"/>
        <v>150-200</v>
      </c>
      <c r="AJ17" s="1" t="str">
        <f t="shared" si="0"/>
        <v>200-250</v>
      </c>
      <c r="AK17" s="1" t="str">
        <f t="shared" si="0"/>
        <v>250-350</v>
      </c>
      <c r="AL17" s="1" t="str">
        <f t="shared" si="0"/>
        <v>350-450</v>
      </c>
      <c r="AM17" s="1" t="str">
        <f t="shared" si="0"/>
        <v>450-650</v>
      </c>
      <c r="AN17" s="1" t="str">
        <f t="shared" si="0"/>
        <v>650-2000</v>
      </c>
    </row>
    <row r="18" spans="1:41" ht="16.5" thickBot="1" x14ac:dyDescent="0.3">
      <c r="G18" s="5" t="s">
        <v>104</v>
      </c>
      <c r="AD18" s="1">
        <f t="shared" ref="AD18:AO18" si="1">I24</f>
        <v>0</v>
      </c>
      <c r="AE18" s="1">
        <f t="shared" si="1"/>
        <v>40</v>
      </c>
      <c r="AF18" s="1">
        <f t="shared" si="1"/>
        <v>60</v>
      </c>
      <c r="AG18" s="1">
        <f t="shared" si="1"/>
        <v>80</v>
      </c>
      <c r="AH18" s="1">
        <f t="shared" si="1"/>
        <v>100</v>
      </c>
      <c r="AI18" s="1">
        <f t="shared" si="1"/>
        <v>150</v>
      </c>
      <c r="AJ18" s="1">
        <f t="shared" si="1"/>
        <v>200</v>
      </c>
      <c r="AK18" s="1">
        <f t="shared" si="1"/>
        <v>250</v>
      </c>
      <c r="AL18" s="1">
        <f t="shared" si="1"/>
        <v>350</v>
      </c>
      <c r="AM18" s="1">
        <f t="shared" si="1"/>
        <v>450</v>
      </c>
      <c r="AN18" s="1">
        <f t="shared" si="1"/>
        <v>650</v>
      </c>
      <c r="AO18" s="1">
        <f t="shared" si="1"/>
        <v>2000</v>
      </c>
    </row>
    <row r="19" spans="1:41" ht="15.75" x14ac:dyDescent="0.25">
      <c r="B19" s="229" t="s">
        <v>105</v>
      </c>
      <c r="G19" s="99"/>
      <c r="H19" s="100"/>
      <c r="I19" s="100"/>
      <c r="J19" s="100"/>
      <c r="K19" s="100"/>
      <c r="L19" s="100"/>
      <c r="M19" s="100"/>
      <c r="N19" s="100"/>
      <c r="O19" s="100"/>
      <c r="P19" s="100"/>
      <c r="Q19" s="100"/>
      <c r="R19" s="100"/>
      <c r="S19" s="100"/>
      <c r="T19" s="101"/>
      <c r="Y19" s="235" t="s">
        <v>33</v>
      </c>
      <c r="Z19" s="1">
        <f>SUM(AD19:AO19)</f>
        <v>224265.60000000001</v>
      </c>
      <c r="AB19" s="1" t="s">
        <v>106</v>
      </c>
      <c r="AD19" s="1">
        <f>IF($Z$17&gt;AD18,(IF($Z$17-AE18&gt;0,(AE18-AD18)*$B$21*AD21,($Z$17-AD18)*$B$21*AD21)),0)</f>
        <v>194076</v>
      </c>
      <c r="AE19" s="1">
        <f t="shared" ref="AE19:AN19" si="2">IF($Z$17&gt;AE18,(IF($Z$17-AF18&gt;0,(AF18-AE18)*$B$21*AE21,($Z$17-AE18)*$B$21*AE21)),0)</f>
        <v>30189.600000000002</v>
      </c>
      <c r="AF19" s="1">
        <f t="shared" si="2"/>
        <v>0</v>
      </c>
      <c r="AG19" s="1">
        <f t="shared" si="2"/>
        <v>0</v>
      </c>
      <c r="AH19" s="1">
        <f t="shared" si="2"/>
        <v>0</v>
      </c>
      <c r="AI19" s="1">
        <f t="shared" si="2"/>
        <v>0</v>
      </c>
      <c r="AJ19" s="1">
        <f t="shared" si="2"/>
        <v>0</v>
      </c>
      <c r="AK19" s="1">
        <f t="shared" si="2"/>
        <v>0</v>
      </c>
      <c r="AL19" s="1">
        <f t="shared" si="2"/>
        <v>0</v>
      </c>
      <c r="AM19" s="1">
        <f t="shared" si="2"/>
        <v>0</v>
      </c>
      <c r="AN19" s="1">
        <f t="shared" si="2"/>
        <v>0</v>
      </c>
    </row>
    <row r="20" spans="1:41" ht="15.75" x14ac:dyDescent="0.25">
      <c r="B20" s="236" t="s">
        <v>0</v>
      </c>
      <c r="C20" s="1">
        <v>10782</v>
      </c>
      <c r="G20" s="237"/>
      <c r="H20" s="97"/>
      <c r="I20" s="66" t="s">
        <v>107</v>
      </c>
      <c r="J20" s="97"/>
      <c r="K20" s="97"/>
      <c r="L20" s="97"/>
      <c r="M20" s="97"/>
      <c r="N20" s="97"/>
      <c r="O20" s="97"/>
      <c r="P20" s="97"/>
      <c r="Q20" s="97"/>
      <c r="R20" s="97"/>
      <c r="S20" s="97"/>
      <c r="T20" s="102"/>
    </row>
    <row r="21" spans="1:41" ht="15.75" x14ac:dyDescent="0.25">
      <c r="B21" s="238">
        <f>Kontrollpanel!H21</f>
        <v>10782</v>
      </c>
      <c r="C21" s="239">
        <v>303.55799872530275</v>
      </c>
      <c r="G21" s="237"/>
      <c r="H21" s="240" t="s">
        <v>108</v>
      </c>
      <c r="I21" s="241">
        <v>1</v>
      </c>
      <c r="J21" s="97"/>
      <c r="K21" s="97"/>
      <c r="L21" s="97"/>
      <c r="M21" s="97"/>
      <c r="N21" s="97"/>
      <c r="O21" s="97"/>
      <c r="P21" s="97"/>
      <c r="Q21" s="97"/>
      <c r="R21" s="97"/>
      <c r="S21" s="97"/>
      <c r="T21" s="102"/>
      <c r="AB21" s="1" t="s">
        <v>109</v>
      </c>
      <c r="AD21" s="218">
        <f t="shared" ref="AD21:AO21" si="3">I27</f>
        <v>0.45</v>
      </c>
      <c r="AE21" s="218">
        <f t="shared" si="3"/>
        <v>0.28000000000000003</v>
      </c>
      <c r="AF21" s="218">
        <f t="shared" si="3"/>
        <v>0.2</v>
      </c>
      <c r="AG21" s="218">
        <f t="shared" si="3"/>
        <v>0.08</v>
      </c>
      <c r="AH21" s="218">
        <f t="shared" si="3"/>
        <v>0.04</v>
      </c>
      <c r="AI21" s="218">
        <f t="shared" si="3"/>
        <v>2.5000000000000001E-2</v>
      </c>
      <c r="AJ21" s="218">
        <f t="shared" si="3"/>
        <v>2.5000000000000001E-2</v>
      </c>
      <c r="AK21" s="218">
        <f t="shared" si="3"/>
        <v>2.5000000000000001E-2</v>
      </c>
      <c r="AL21" s="218">
        <f t="shared" si="3"/>
        <v>2.5000000000000001E-2</v>
      </c>
      <c r="AM21" s="218">
        <f t="shared" si="3"/>
        <v>2.5000000000000001E-2</v>
      </c>
      <c r="AN21" s="218">
        <f t="shared" si="3"/>
        <v>2.5000000000000001E-2</v>
      </c>
      <c r="AO21" s="218">
        <f t="shared" si="3"/>
        <v>0</v>
      </c>
    </row>
    <row r="22" spans="1:41" x14ac:dyDescent="0.2">
      <c r="G22" s="237"/>
      <c r="H22" s="97"/>
      <c r="I22" s="97"/>
      <c r="J22" s="97"/>
      <c r="K22" s="97"/>
      <c r="L22" s="97"/>
      <c r="M22" s="97"/>
      <c r="N22" s="97"/>
      <c r="O22" s="97"/>
      <c r="P22" s="97"/>
      <c r="Q22" s="97"/>
      <c r="R22" s="97"/>
      <c r="S22" s="97"/>
      <c r="T22" s="102"/>
    </row>
    <row r="23" spans="1:41" ht="15.75" x14ac:dyDescent="0.25">
      <c r="G23" s="242" t="s">
        <v>103</v>
      </c>
      <c r="H23" s="243"/>
      <c r="I23" s="243" t="str">
        <f>Kontrollpanel!E26</f>
        <v>0-40</v>
      </c>
      <c r="J23" s="243" t="str">
        <f>Kontrollpanel!F26</f>
        <v>40-60</v>
      </c>
      <c r="K23" s="243" t="str">
        <f>Kontrollpanel!G26</f>
        <v>60-80</v>
      </c>
      <c r="L23" s="243" t="str">
        <f>Kontrollpanel!H26</f>
        <v>80-100</v>
      </c>
      <c r="M23" s="243" t="str">
        <f>Kontrollpanel!I26</f>
        <v>100-150</v>
      </c>
      <c r="N23" s="243" t="str">
        <f>Kontrollpanel!J26</f>
        <v>150-200</v>
      </c>
      <c r="O23" s="243" t="str">
        <f>Kontrollpanel!K26</f>
        <v>200-250</v>
      </c>
      <c r="P23" s="243" t="str">
        <f>Kontrollpanel!L26</f>
        <v>250-350</v>
      </c>
      <c r="Q23" s="243" t="str">
        <f>Kontrollpanel!M26</f>
        <v>350-450</v>
      </c>
      <c r="R23" s="243" t="str">
        <f>Kontrollpanel!N26</f>
        <v>450-650</v>
      </c>
      <c r="S23" s="243" t="str">
        <f>Kontrollpanel!O26</f>
        <v>650-2000</v>
      </c>
      <c r="T23" s="244"/>
      <c r="U23" s="5"/>
      <c r="V23" s="5"/>
      <c r="W23" s="5"/>
      <c r="X23" s="5"/>
      <c r="Z23" s="5"/>
      <c r="AA23" s="5"/>
      <c r="AB23" s="5"/>
      <c r="AC23" s="5"/>
      <c r="AD23" s="5"/>
    </row>
    <row r="24" spans="1:41" ht="15.75" x14ac:dyDescent="0.25">
      <c r="F24" s="245" t="s">
        <v>121</v>
      </c>
      <c r="G24" s="229" t="s">
        <v>122</v>
      </c>
      <c r="H24" s="229"/>
      <c r="I24" s="229">
        <f>Kontrollpanel!E27</f>
        <v>0</v>
      </c>
      <c r="J24" s="229">
        <f>Kontrollpanel!F27</f>
        <v>40</v>
      </c>
      <c r="K24" s="229">
        <f>Kontrollpanel!G27</f>
        <v>60</v>
      </c>
      <c r="L24" s="229">
        <f>Kontrollpanel!H27</f>
        <v>80</v>
      </c>
      <c r="M24" s="229">
        <f>Kontrollpanel!I27</f>
        <v>100</v>
      </c>
      <c r="N24" s="229">
        <f>Kontrollpanel!J27</f>
        <v>150</v>
      </c>
      <c r="O24" s="229">
        <f>Kontrollpanel!K27</f>
        <v>200</v>
      </c>
      <c r="P24" s="229">
        <f>Kontrollpanel!L27</f>
        <v>250</v>
      </c>
      <c r="Q24" s="229">
        <f>Kontrollpanel!M27</f>
        <v>350</v>
      </c>
      <c r="R24" s="229">
        <f>Kontrollpanel!N27</f>
        <v>450</v>
      </c>
      <c r="S24" s="229">
        <f>Kontrollpanel!O27</f>
        <v>650</v>
      </c>
      <c r="T24" s="229">
        <f>Kontrollpanel!P27</f>
        <v>2000</v>
      </c>
    </row>
    <row r="25" spans="1:41" ht="15.75" x14ac:dyDescent="0.25">
      <c r="G25" s="246" t="s">
        <v>106</v>
      </c>
      <c r="H25" s="97"/>
      <c r="I25" s="98">
        <f>IF($I$21&gt;I24,(IF($I$21-J24&gt;0,(J24-I24)*$B$21*I27,($I$21-I24)*$B$21*I27)),0)</f>
        <v>4851.9000000000005</v>
      </c>
      <c r="J25" s="98">
        <f t="shared" ref="J25:S25" si="4">IF($I$21&gt;J24,(IF($I$21-K24&gt;0,(K24-J24)*$B$21*J27,($I$21-J24)*$B$21*J27)),0)</f>
        <v>0</v>
      </c>
      <c r="K25" s="98">
        <f t="shared" si="4"/>
        <v>0</v>
      </c>
      <c r="L25" s="98">
        <f t="shared" si="4"/>
        <v>0</v>
      </c>
      <c r="M25" s="98">
        <f t="shared" si="4"/>
        <v>0</v>
      </c>
      <c r="N25" s="98">
        <f t="shared" si="4"/>
        <v>0</v>
      </c>
      <c r="O25" s="98">
        <f t="shared" si="4"/>
        <v>0</v>
      </c>
      <c r="P25" s="98">
        <f t="shared" si="4"/>
        <v>0</v>
      </c>
      <c r="Q25" s="98">
        <f t="shared" si="4"/>
        <v>0</v>
      </c>
      <c r="R25" s="98">
        <f t="shared" si="4"/>
        <v>0</v>
      </c>
      <c r="S25" s="98">
        <f t="shared" si="4"/>
        <v>0</v>
      </c>
      <c r="T25" s="247"/>
      <c r="Y25" s="235" t="s">
        <v>8</v>
      </c>
      <c r="Z25" s="1">
        <f>C30</f>
        <v>46</v>
      </c>
      <c r="AB25" s="1" t="s">
        <v>103</v>
      </c>
      <c r="AD25" s="1" t="str">
        <f t="shared" ref="AD25:AO26" si="5">AD17</f>
        <v>0-40</v>
      </c>
      <c r="AE25" s="1" t="str">
        <f t="shared" si="5"/>
        <v>40-60</v>
      </c>
      <c r="AF25" s="1" t="str">
        <f t="shared" si="5"/>
        <v>60-80</v>
      </c>
      <c r="AG25" s="1" t="str">
        <f t="shared" si="5"/>
        <v>80-100</v>
      </c>
      <c r="AH25" s="1" t="str">
        <f t="shared" si="5"/>
        <v>100-150</v>
      </c>
      <c r="AI25" s="1" t="str">
        <f t="shared" si="5"/>
        <v>150-200</v>
      </c>
      <c r="AJ25" s="1" t="str">
        <f t="shared" si="5"/>
        <v>200-250</v>
      </c>
      <c r="AK25" s="1" t="str">
        <f t="shared" si="5"/>
        <v>250-350</v>
      </c>
      <c r="AL25" s="1" t="str">
        <f t="shared" si="5"/>
        <v>350-450</v>
      </c>
      <c r="AM25" s="1" t="str">
        <f t="shared" si="5"/>
        <v>450-650</v>
      </c>
      <c r="AN25" s="1" t="str">
        <f t="shared" si="5"/>
        <v>650-2000</v>
      </c>
    </row>
    <row r="26" spans="1:41" ht="15.75" x14ac:dyDescent="0.25">
      <c r="A26" s="5"/>
      <c r="B26" s="5"/>
      <c r="C26" s="5"/>
      <c r="G26" s="237"/>
      <c r="H26" s="97"/>
      <c r="I26" s="97"/>
      <c r="J26" s="97"/>
      <c r="K26" s="97"/>
      <c r="L26" s="97"/>
      <c r="M26" s="97"/>
      <c r="N26" s="97"/>
      <c r="O26" s="97"/>
      <c r="P26" s="97"/>
      <c r="Q26" s="97"/>
      <c r="R26" s="97"/>
      <c r="S26" s="97"/>
      <c r="T26" s="102"/>
      <c r="AD26" s="1">
        <f t="shared" si="5"/>
        <v>0</v>
      </c>
      <c r="AE26" s="1">
        <f t="shared" si="5"/>
        <v>40</v>
      </c>
      <c r="AF26" s="1">
        <f t="shared" si="5"/>
        <v>60</v>
      </c>
      <c r="AG26" s="1">
        <f t="shared" si="5"/>
        <v>80</v>
      </c>
      <c r="AH26" s="1">
        <f t="shared" si="5"/>
        <v>100</v>
      </c>
      <c r="AI26" s="1">
        <f t="shared" si="5"/>
        <v>150</v>
      </c>
      <c r="AJ26" s="1">
        <f t="shared" si="5"/>
        <v>200</v>
      </c>
      <c r="AK26" s="1">
        <f t="shared" si="5"/>
        <v>250</v>
      </c>
      <c r="AL26" s="1">
        <f t="shared" si="5"/>
        <v>350</v>
      </c>
      <c r="AM26" s="1">
        <f t="shared" si="5"/>
        <v>450</v>
      </c>
      <c r="AN26" s="1">
        <f t="shared" si="5"/>
        <v>650</v>
      </c>
      <c r="AO26" s="1">
        <f t="shared" si="5"/>
        <v>2000</v>
      </c>
    </row>
    <row r="27" spans="1:41" ht="15.75" x14ac:dyDescent="0.25">
      <c r="A27" s="5"/>
      <c r="B27" s="5" t="s">
        <v>123</v>
      </c>
      <c r="C27" s="5" t="s">
        <v>124</v>
      </c>
      <c r="F27" s="245" t="s">
        <v>125</v>
      </c>
      <c r="G27" s="248" t="s">
        <v>109</v>
      </c>
      <c r="H27" s="249"/>
      <c r="I27" s="250">
        <f>Kontrollpanel!E28</f>
        <v>0.45</v>
      </c>
      <c r="J27" s="250">
        <f>Kontrollpanel!F28</f>
        <v>0.28000000000000003</v>
      </c>
      <c r="K27" s="250">
        <f>Kontrollpanel!G28</f>
        <v>0.2</v>
      </c>
      <c r="L27" s="250">
        <f>Kontrollpanel!H28</f>
        <v>0.08</v>
      </c>
      <c r="M27" s="250">
        <f>Kontrollpanel!I28</f>
        <v>0.04</v>
      </c>
      <c r="N27" s="250">
        <f>Kontrollpanel!J28</f>
        <v>2.5000000000000001E-2</v>
      </c>
      <c r="O27" s="250">
        <f>Kontrollpanel!K28</f>
        <v>2.5000000000000001E-2</v>
      </c>
      <c r="P27" s="250">
        <f>Kontrollpanel!L28</f>
        <v>2.5000000000000001E-2</v>
      </c>
      <c r="Q27" s="250">
        <f>Kontrollpanel!M28</f>
        <v>2.5000000000000001E-2</v>
      </c>
      <c r="R27" s="250">
        <f>Kontrollpanel!N28</f>
        <v>2.5000000000000001E-2</v>
      </c>
      <c r="S27" s="250">
        <f>Kontrollpanel!O28</f>
        <v>2.5000000000000001E-2</v>
      </c>
      <c r="T27" s="250">
        <f>Kontrollpanel!P28</f>
        <v>0</v>
      </c>
      <c r="Y27" s="235" t="s">
        <v>33</v>
      </c>
      <c r="Z27" s="1">
        <f>SUM(AD27:AO27)</f>
        <v>212189.76</v>
      </c>
      <c r="AB27" s="1" t="s">
        <v>106</v>
      </c>
      <c r="AD27" s="1">
        <f>IF($Z$25&gt;AD26,(IF($Z$25-AE26&gt;0,(AE26-AD26)*$B$21*AD29,($Z$25-AD26)*$B$21*AD29)),0)</f>
        <v>194076</v>
      </c>
      <c r="AE27" s="1">
        <f t="shared" ref="AE27:AN27" si="6">IF($Z$25&gt;AE26,(IF($Z$25-AF26&gt;0,(AF26-AE26)*$B$21*AE29,($Z$25-AE26)*$B$21*AE29)),0)</f>
        <v>18113.760000000002</v>
      </c>
      <c r="AF27" s="1">
        <f t="shared" si="6"/>
        <v>0</v>
      </c>
      <c r="AG27" s="1">
        <f t="shared" si="6"/>
        <v>0</v>
      </c>
      <c r="AH27" s="1">
        <f t="shared" si="6"/>
        <v>0</v>
      </c>
      <c r="AI27" s="1">
        <f t="shared" si="6"/>
        <v>0</v>
      </c>
      <c r="AJ27" s="1">
        <f t="shared" si="6"/>
        <v>0</v>
      </c>
      <c r="AK27" s="1">
        <f t="shared" si="6"/>
        <v>0</v>
      </c>
      <c r="AL27" s="1">
        <f t="shared" si="6"/>
        <v>0</v>
      </c>
      <c r="AM27" s="1">
        <f t="shared" si="6"/>
        <v>0</v>
      </c>
      <c r="AN27" s="1">
        <f t="shared" si="6"/>
        <v>0</v>
      </c>
    </row>
    <row r="28" spans="1:41" ht="15.75" x14ac:dyDescent="0.25">
      <c r="A28" s="252" t="s">
        <v>126</v>
      </c>
      <c r="B28" s="5"/>
      <c r="C28" s="5" t="s">
        <v>127</v>
      </c>
      <c r="G28" s="237"/>
      <c r="H28" s="97"/>
      <c r="I28" s="97"/>
      <c r="J28" s="97"/>
      <c r="K28" s="97"/>
      <c r="L28" s="97"/>
      <c r="M28" s="97"/>
      <c r="N28" s="97"/>
      <c r="O28" s="97"/>
      <c r="P28" s="97"/>
      <c r="Q28" s="97"/>
      <c r="R28" s="97"/>
      <c r="S28" s="97"/>
      <c r="T28" s="102"/>
    </row>
    <row r="29" spans="1:41" ht="16.5" thickBot="1" x14ac:dyDescent="0.3">
      <c r="B29" s="229" t="s">
        <v>102</v>
      </c>
      <c r="C29" s="229">
        <v>50</v>
      </c>
      <c r="G29" s="253"/>
      <c r="H29" s="105"/>
      <c r="I29" s="105"/>
      <c r="J29" s="105"/>
      <c r="K29" s="105"/>
      <c r="L29" s="105"/>
      <c r="M29" s="105"/>
      <c r="N29" s="105"/>
      <c r="O29" s="105"/>
      <c r="P29" s="105"/>
      <c r="Q29" s="105"/>
      <c r="R29" s="105"/>
      <c r="S29" s="105"/>
      <c r="T29" s="106"/>
      <c r="AB29" s="1" t="s">
        <v>109</v>
      </c>
      <c r="AD29" s="218">
        <f t="shared" ref="AD29:AO29" si="7">AD21</f>
        <v>0.45</v>
      </c>
      <c r="AE29" s="218">
        <f t="shared" si="7"/>
        <v>0.28000000000000003</v>
      </c>
      <c r="AF29" s="218">
        <f t="shared" si="7"/>
        <v>0.2</v>
      </c>
      <c r="AG29" s="218">
        <f t="shared" si="7"/>
        <v>0.08</v>
      </c>
      <c r="AH29" s="218">
        <f t="shared" si="7"/>
        <v>0.04</v>
      </c>
      <c r="AI29" s="218">
        <f t="shared" si="7"/>
        <v>2.5000000000000001E-2</v>
      </c>
      <c r="AJ29" s="218">
        <f t="shared" si="7"/>
        <v>2.5000000000000001E-2</v>
      </c>
      <c r="AK29" s="218">
        <f t="shared" si="7"/>
        <v>2.5000000000000001E-2</v>
      </c>
      <c r="AL29" s="218">
        <f t="shared" si="7"/>
        <v>2.5000000000000001E-2</v>
      </c>
      <c r="AM29" s="218">
        <f t="shared" si="7"/>
        <v>2.5000000000000001E-2</v>
      </c>
      <c r="AN29" s="218">
        <f t="shared" si="7"/>
        <v>2.5000000000000001E-2</v>
      </c>
      <c r="AO29" s="218">
        <f t="shared" si="7"/>
        <v>0</v>
      </c>
    </row>
    <row r="30" spans="1:41" ht="15.75" x14ac:dyDescent="0.25">
      <c r="B30" s="229" t="s">
        <v>8</v>
      </c>
      <c r="C30" s="229">
        <v>46</v>
      </c>
    </row>
    <row r="31" spans="1:41" ht="15.75" x14ac:dyDescent="0.25">
      <c r="B31" s="229" t="s">
        <v>11</v>
      </c>
      <c r="C31" s="229">
        <v>65</v>
      </c>
      <c r="L31" s="22"/>
    </row>
    <row r="32" spans="1:41" ht="15.75" x14ac:dyDescent="0.25">
      <c r="B32" s="254" t="s">
        <v>22</v>
      </c>
      <c r="C32" s="255">
        <v>44</v>
      </c>
      <c r="Y32" s="235" t="s">
        <v>11</v>
      </c>
      <c r="Z32" s="1">
        <f>C31</f>
        <v>65</v>
      </c>
      <c r="AB32" s="1" t="s">
        <v>103</v>
      </c>
      <c r="AD32" s="1" t="str">
        <f t="shared" ref="AD32:AN32" si="8">AD25</f>
        <v>0-40</v>
      </c>
      <c r="AE32" s="1" t="str">
        <f t="shared" si="8"/>
        <v>40-60</v>
      </c>
      <c r="AF32" s="1" t="str">
        <f t="shared" si="8"/>
        <v>60-80</v>
      </c>
      <c r="AG32" s="1" t="str">
        <f t="shared" si="8"/>
        <v>80-100</v>
      </c>
      <c r="AH32" s="1" t="str">
        <f t="shared" si="8"/>
        <v>100-150</v>
      </c>
      <c r="AI32" s="1" t="str">
        <f t="shared" si="8"/>
        <v>150-200</v>
      </c>
      <c r="AJ32" s="1" t="str">
        <f t="shared" si="8"/>
        <v>200-250</v>
      </c>
      <c r="AK32" s="1" t="str">
        <f t="shared" si="8"/>
        <v>250-350</v>
      </c>
      <c r="AL32" s="1" t="str">
        <f t="shared" si="8"/>
        <v>350-450</v>
      </c>
      <c r="AM32" s="1" t="str">
        <f t="shared" si="8"/>
        <v>450-650</v>
      </c>
      <c r="AN32" s="1" t="str">
        <f t="shared" si="8"/>
        <v>650-2000</v>
      </c>
    </row>
    <row r="33" spans="2:41" ht="15.75" x14ac:dyDescent="0.25">
      <c r="B33" s="229" t="s">
        <v>15</v>
      </c>
      <c r="C33" s="229">
        <v>33</v>
      </c>
      <c r="AD33" s="1">
        <f t="shared" ref="AD33:AO33" si="9">AD18</f>
        <v>0</v>
      </c>
      <c r="AE33" s="1">
        <f t="shared" si="9"/>
        <v>40</v>
      </c>
      <c r="AF33" s="1">
        <f t="shared" si="9"/>
        <v>60</v>
      </c>
      <c r="AG33" s="1">
        <f t="shared" si="9"/>
        <v>80</v>
      </c>
      <c r="AH33" s="1">
        <f t="shared" si="9"/>
        <v>100</v>
      </c>
      <c r="AI33" s="1">
        <f t="shared" si="9"/>
        <v>150</v>
      </c>
      <c r="AJ33" s="1">
        <f t="shared" si="9"/>
        <v>200</v>
      </c>
      <c r="AK33" s="1">
        <f t="shared" si="9"/>
        <v>250</v>
      </c>
      <c r="AL33" s="1">
        <f t="shared" si="9"/>
        <v>350</v>
      </c>
      <c r="AM33" s="1">
        <f t="shared" si="9"/>
        <v>450</v>
      </c>
      <c r="AN33" s="1">
        <f t="shared" si="9"/>
        <v>650</v>
      </c>
      <c r="AO33" s="1">
        <f t="shared" si="9"/>
        <v>2000</v>
      </c>
    </row>
    <row r="34" spans="2:41" ht="15.75" x14ac:dyDescent="0.25">
      <c r="B34" s="229" t="s">
        <v>128</v>
      </c>
      <c r="C34" s="229">
        <v>8</v>
      </c>
      <c r="G34" s="5" t="s">
        <v>33</v>
      </c>
      <c r="H34" s="5"/>
      <c r="I34" s="217">
        <f>SUM(I25:S25)</f>
        <v>4851.9000000000005</v>
      </c>
      <c r="Y34" s="235" t="s">
        <v>33</v>
      </c>
      <c r="Z34" s="1">
        <f>SUM(AD34:AO34)</f>
        <v>265237.2</v>
      </c>
      <c r="AB34" s="1" t="s">
        <v>106</v>
      </c>
      <c r="AD34" s="1">
        <f>IF($Z$32&gt;AD33,(IF($Z$32-AE33&gt;0,(AE33-AD33)*$B$21*AD36,($Z$32-AD33)*$B$21*AD36)),0)</f>
        <v>194076</v>
      </c>
      <c r="AE34" s="1">
        <f t="shared" ref="AE34:AN34" si="10">IF($Z$32&gt;AE33,(IF($Z$32-AF33&gt;0,(AF33-AE33)*$B$21*AE36,($Z$32-AE33)*$B$21*AE36)),0)</f>
        <v>60379.200000000004</v>
      </c>
      <c r="AF34" s="1">
        <f t="shared" si="10"/>
        <v>10782</v>
      </c>
      <c r="AG34" s="1">
        <f t="shared" si="10"/>
        <v>0</v>
      </c>
      <c r="AH34" s="1">
        <f t="shared" si="10"/>
        <v>0</v>
      </c>
      <c r="AI34" s="1">
        <f t="shared" si="10"/>
        <v>0</v>
      </c>
      <c r="AJ34" s="1">
        <f t="shared" si="10"/>
        <v>0</v>
      </c>
      <c r="AK34" s="1">
        <f t="shared" si="10"/>
        <v>0</v>
      </c>
      <c r="AL34" s="1">
        <f t="shared" si="10"/>
        <v>0</v>
      </c>
      <c r="AM34" s="1">
        <f t="shared" si="10"/>
        <v>0</v>
      </c>
      <c r="AN34" s="1">
        <f t="shared" si="10"/>
        <v>0</v>
      </c>
    </row>
    <row r="35" spans="2:41" ht="15.75" x14ac:dyDescent="0.25">
      <c r="B35" s="229" t="s">
        <v>16</v>
      </c>
      <c r="C35" s="229">
        <v>30</v>
      </c>
    </row>
    <row r="36" spans="2:41" ht="15.75" x14ac:dyDescent="0.25">
      <c r="B36" s="229" t="s">
        <v>9</v>
      </c>
      <c r="C36" s="229">
        <v>89</v>
      </c>
      <c r="AB36" s="1" t="s">
        <v>109</v>
      </c>
      <c r="AD36" s="218">
        <f t="shared" ref="AD36:AO36" si="11">AD21</f>
        <v>0.45</v>
      </c>
      <c r="AE36" s="218">
        <f t="shared" si="11"/>
        <v>0.28000000000000003</v>
      </c>
      <c r="AF36" s="218">
        <f t="shared" si="11"/>
        <v>0.2</v>
      </c>
      <c r="AG36" s="218">
        <f t="shared" si="11"/>
        <v>0.08</v>
      </c>
      <c r="AH36" s="218">
        <f t="shared" si="11"/>
        <v>0.04</v>
      </c>
      <c r="AI36" s="218">
        <f t="shared" si="11"/>
        <v>2.5000000000000001E-2</v>
      </c>
      <c r="AJ36" s="218">
        <f t="shared" si="11"/>
        <v>2.5000000000000001E-2</v>
      </c>
      <c r="AK36" s="218">
        <f t="shared" si="11"/>
        <v>2.5000000000000001E-2</v>
      </c>
      <c r="AL36" s="218">
        <f t="shared" si="11"/>
        <v>2.5000000000000001E-2</v>
      </c>
      <c r="AM36" s="218">
        <f t="shared" si="11"/>
        <v>2.5000000000000001E-2</v>
      </c>
      <c r="AN36" s="218">
        <f t="shared" si="11"/>
        <v>2.5000000000000001E-2</v>
      </c>
      <c r="AO36" s="218">
        <f t="shared" si="11"/>
        <v>0</v>
      </c>
    </row>
    <row r="37" spans="2:41" ht="16.5" thickBot="1" x14ac:dyDescent="0.3">
      <c r="B37" s="256" t="s">
        <v>21</v>
      </c>
      <c r="C37" s="256">
        <v>103</v>
      </c>
      <c r="N37" s="1" t="s">
        <v>273</v>
      </c>
    </row>
    <row r="38" spans="2:41" ht="15.75" x14ac:dyDescent="0.25">
      <c r="B38" s="229" t="s">
        <v>18</v>
      </c>
      <c r="C38" s="229">
        <v>51</v>
      </c>
      <c r="G38" s="257"/>
      <c r="H38" s="258"/>
      <c r="I38" s="258"/>
      <c r="J38" s="258"/>
      <c r="K38" s="258"/>
      <c r="L38" s="258"/>
      <c r="M38" s="258"/>
      <c r="N38" s="258"/>
      <c r="O38" s="258"/>
      <c r="P38" s="258"/>
      <c r="Q38" s="258"/>
      <c r="R38" s="258"/>
      <c r="S38" s="258"/>
      <c r="T38" s="259"/>
    </row>
    <row r="39" spans="2:41" ht="15.75" x14ac:dyDescent="0.25">
      <c r="B39" s="229" t="s">
        <v>13</v>
      </c>
      <c r="C39" s="229">
        <v>173</v>
      </c>
      <c r="G39" s="260"/>
      <c r="H39" s="261" t="s">
        <v>123</v>
      </c>
      <c r="I39" s="261" t="s">
        <v>129</v>
      </c>
      <c r="J39" s="261" t="s">
        <v>130</v>
      </c>
      <c r="K39" s="262" t="s">
        <v>131</v>
      </c>
      <c r="L39" s="262"/>
      <c r="M39" s="262" t="s">
        <v>132</v>
      </c>
      <c r="N39" s="263"/>
      <c r="O39" s="263"/>
      <c r="P39" s="263"/>
      <c r="Q39" s="263"/>
      <c r="R39" s="263"/>
      <c r="S39" s="263"/>
      <c r="T39" s="264"/>
    </row>
    <row r="40" spans="2:41" ht="15.75" x14ac:dyDescent="0.25">
      <c r="B40" s="229" t="s">
        <v>17</v>
      </c>
      <c r="C40" s="229">
        <v>275</v>
      </c>
      <c r="G40" s="265" t="s">
        <v>102</v>
      </c>
      <c r="H40" s="266">
        <v>50</v>
      </c>
      <c r="I40" s="267">
        <f>Z19</f>
        <v>224265.60000000001</v>
      </c>
      <c r="J40" s="268">
        <v>382256.63416726235</v>
      </c>
      <c r="K40" s="269">
        <f>I40/J40</f>
        <v>0.58668857504215111</v>
      </c>
      <c r="L40" s="263"/>
      <c r="M40" s="270">
        <f>I40/H40</f>
        <v>4485.3119999999999</v>
      </c>
      <c r="N40" s="263"/>
      <c r="O40" s="263"/>
      <c r="P40" s="263"/>
      <c r="Q40" s="263"/>
      <c r="R40" s="263"/>
      <c r="S40" s="263"/>
      <c r="T40" s="264"/>
      <c r="Y40" s="235" t="s">
        <v>22</v>
      </c>
      <c r="Z40" s="1">
        <f>C32</f>
        <v>44</v>
      </c>
      <c r="AB40" s="1" t="s">
        <v>103</v>
      </c>
      <c r="AD40" s="1" t="str">
        <f t="shared" ref="AD40:AN40" si="12">AD25</f>
        <v>0-40</v>
      </c>
      <c r="AE40" s="1" t="str">
        <f t="shared" si="12"/>
        <v>40-60</v>
      </c>
      <c r="AF40" s="1" t="str">
        <f t="shared" si="12"/>
        <v>60-80</v>
      </c>
      <c r="AG40" s="1" t="str">
        <f t="shared" si="12"/>
        <v>80-100</v>
      </c>
      <c r="AH40" s="1" t="str">
        <f t="shared" si="12"/>
        <v>100-150</v>
      </c>
      <c r="AI40" s="1" t="str">
        <f t="shared" si="12"/>
        <v>150-200</v>
      </c>
      <c r="AJ40" s="1" t="str">
        <f t="shared" si="12"/>
        <v>200-250</v>
      </c>
      <c r="AK40" s="1" t="str">
        <f t="shared" si="12"/>
        <v>250-350</v>
      </c>
      <c r="AL40" s="1" t="str">
        <f t="shared" si="12"/>
        <v>350-450</v>
      </c>
      <c r="AM40" s="1" t="str">
        <f t="shared" si="12"/>
        <v>450-650</v>
      </c>
      <c r="AN40" s="1" t="str">
        <f t="shared" si="12"/>
        <v>650-2000</v>
      </c>
    </row>
    <row r="41" spans="2:41" ht="15.75" x14ac:dyDescent="0.25">
      <c r="B41" s="229" t="s">
        <v>19</v>
      </c>
      <c r="C41" s="229">
        <v>208</v>
      </c>
      <c r="G41" s="265" t="s">
        <v>8</v>
      </c>
      <c r="H41" s="271">
        <v>46</v>
      </c>
      <c r="I41" s="268">
        <f>Z27</f>
        <v>212189.76</v>
      </c>
      <c r="J41" s="268">
        <v>351676.10343388136</v>
      </c>
      <c r="K41" s="269">
        <f t="shared" ref="K41:K57" si="13">I41/J41</f>
        <v>0.60336701279418548</v>
      </c>
      <c r="L41" s="263"/>
      <c r="M41" s="270">
        <f t="shared" ref="M41:M57" si="14">I41/H41</f>
        <v>4612.8208695652174</v>
      </c>
      <c r="N41" s="263"/>
      <c r="O41" s="263"/>
      <c r="P41" s="263"/>
      <c r="Q41" s="263"/>
      <c r="R41" s="263"/>
      <c r="S41" s="263"/>
      <c r="T41" s="264"/>
      <c r="AD41" s="1">
        <f t="shared" ref="AD41:AO41" si="15">AD18</f>
        <v>0</v>
      </c>
      <c r="AE41" s="1">
        <f t="shared" si="15"/>
        <v>40</v>
      </c>
      <c r="AF41" s="1">
        <f t="shared" si="15"/>
        <v>60</v>
      </c>
      <c r="AG41" s="1">
        <f t="shared" si="15"/>
        <v>80</v>
      </c>
      <c r="AH41" s="1">
        <f t="shared" si="15"/>
        <v>100</v>
      </c>
      <c r="AI41" s="1">
        <f t="shared" si="15"/>
        <v>150</v>
      </c>
      <c r="AJ41" s="1">
        <f t="shared" si="15"/>
        <v>200</v>
      </c>
      <c r="AK41" s="1">
        <f t="shared" si="15"/>
        <v>250</v>
      </c>
      <c r="AL41" s="1">
        <f t="shared" si="15"/>
        <v>350</v>
      </c>
      <c r="AM41" s="1">
        <f t="shared" si="15"/>
        <v>450</v>
      </c>
      <c r="AN41" s="1">
        <f t="shared" si="15"/>
        <v>650</v>
      </c>
      <c r="AO41" s="1">
        <f t="shared" si="15"/>
        <v>2000</v>
      </c>
    </row>
    <row r="42" spans="2:41" ht="15.75" x14ac:dyDescent="0.25">
      <c r="B42" s="229" t="s">
        <v>133</v>
      </c>
      <c r="C42" s="229">
        <v>318</v>
      </c>
      <c r="G42" s="265" t="s">
        <v>11</v>
      </c>
      <c r="H42" s="266">
        <v>65</v>
      </c>
      <c r="I42" s="267">
        <f>Z34</f>
        <v>265237.2</v>
      </c>
      <c r="J42" s="268">
        <v>496933.62441744097</v>
      </c>
      <c r="K42" s="269">
        <f t="shared" si="13"/>
        <v>0.53374774208716425</v>
      </c>
      <c r="L42" s="263"/>
      <c r="M42" s="270">
        <f t="shared" si="14"/>
        <v>4080.5723076923077</v>
      </c>
      <c r="N42" s="263"/>
      <c r="O42" s="263"/>
      <c r="P42" s="263"/>
      <c r="Q42" s="263"/>
      <c r="R42" s="263"/>
      <c r="S42" s="263"/>
      <c r="T42" s="264"/>
      <c r="Y42" s="235" t="s">
        <v>33</v>
      </c>
      <c r="Z42" s="1">
        <f>SUM(AD42:AO42)</f>
        <v>206151.84</v>
      </c>
      <c r="AB42" s="1" t="s">
        <v>106</v>
      </c>
      <c r="AD42" s="1">
        <f>IF($Z$40&gt;AD41,(IF($Z$40-AE41&gt;0,(AE41-AD41)*$B$21*AD44,($Z$40-AD41)*$B$21*AD44)),0)</f>
        <v>194076</v>
      </c>
      <c r="AE42" s="1">
        <f t="shared" ref="AE42:AN42" si="16">IF($Z$40&gt;AE41,(IF($Z$40-AF41&gt;0,(AF41-AE41)*$B$21*AE44,($Z$40-AE41)*$B$21*AE44)),0)</f>
        <v>12075.840000000002</v>
      </c>
      <c r="AF42" s="1">
        <f t="shared" si="16"/>
        <v>0</v>
      </c>
      <c r="AG42" s="1">
        <f t="shared" si="16"/>
        <v>0</v>
      </c>
      <c r="AH42" s="1">
        <f t="shared" si="16"/>
        <v>0</v>
      </c>
      <c r="AI42" s="1">
        <f t="shared" si="16"/>
        <v>0</v>
      </c>
      <c r="AJ42" s="1">
        <f t="shared" si="16"/>
        <v>0</v>
      </c>
      <c r="AK42" s="1">
        <f t="shared" si="16"/>
        <v>0</v>
      </c>
      <c r="AL42" s="1">
        <f t="shared" si="16"/>
        <v>0</v>
      </c>
      <c r="AM42" s="1">
        <f t="shared" si="16"/>
        <v>0</v>
      </c>
      <c r="AN42" s="1">
        <f t="shared" si="16"/>
        <v>0</v>
      </c>
    </row>
    <row r="43" spans="2:41" ht="15.75" x14ac:dyDescent="0.25">
      <c r="B43" s="229" t="s">
        <v>134</v>
      </c>
      <c r="C43" s="229">
        <v>565</v>
      </c>
      <c r="G43" s="265" t="s">
        <v>22</v>
      </c>
      <c r="H43" s="266">
        <v>44</v>
      </c>
      <c r="I43" s="267">
        <f>Z42</f>
        <v>206151.84</v>
      </c>
      <c r="J43" s="268">
        <v>336385.83806719084</v>
      </c>
      <c r="K43" s="269">
        <f t="shared" si="13"/>
        <v>0.61284339788056874</v>
      </c>
      <c r="L43" s="263"/>
      <c r="M43" s="270">
        <f t="shared" si="14"/>
        <v>4685.2690909090907</v>
      </c>
      <c r="N43" s="263"/>
      <c r="O43" s="263"/>
      <c r="P43" s="263"/>
      <c r="Q43" s="263"/>
      <c r="R43" s="263"/>
      <c r="S43" s="263"/>
      <c r="T43" s="264"/>
    </row>
    <row r="44" spans="2:41" ht="15.75" customHeight="1" x14ac:dyDescent="0.25">
      <c r="B44" s="229" t="s">
        <v>135</v>
      </c>
      <c r="C44" s="229">
        <v>1080</v>
      </c>
      <c r="G44" s="265" t="s">
        <v>15</v>
      </c>
      <c r="H44" s="266">
        <v>33</v>
      </c>
      <c r="I44" s="267">
        <f>Z49</f>
        <v>160112.70000000001</v>
      </c>
      <c r="J44" s="268">
        <v>252289.37855039316</v>
      </c>
      <c r="K44" s="269">
        <f t="shared" si="13"/>
        <v>0.63463908357925003</v>
      </c>
      <c r="L44" s="263"/>
      <c r="M44" s="270">
        <f t="shared" si="14"/>
        <v>4851.9000000000005</v>
      </c>
      <c r="N44" s="263"/>
      <c r="O44" s="263"/>
      <c r="P44" s="263"/>
      <c r="Q44" s="263"/>
      <c r="R44" s="263"/>
      <c r="S44" s="263"/>
      <c r="T44" s="264"/>
      <c r="AB44" s="1" t="s">
        <v>109</v>
      </c>
      <c r="AD44" s="218">
        <f t="shared" ref="AD44:AO44" si="17">AD21</f>
        <v>0.45</v>
      </c>
      <c r="AE44" s="218">
        <f t="shared" si="17"/>
        <v>0.28000000000000003</v>
      </c>
      <c r="AF44" s="218">
        <f t="shared" si="17"/>
        <v>0.2</v>
      </c>
      <c r="AG44" s="218">
        <f t="shared" si="17"/>
        <v>0.08</v>
      </c>
      <c r="AH44" s="218">
        <f t="shared" si="17"/>
        <v>0.04</v>
      </c>
      <c r="AI44" s="218">
        <f t="shared" si="17"/>
        <v>2.5000000000000001E-2</v>
      </c>
      <c r="AJ44" s="218">
        <f t="shared" si="17"/>
        <v>2.5000000000000001E-2</v>
      </c>
      <c r="AK44" s="218">
        <f t="shared" si="17"/>
        <v>2.5000000000000001E-2</v>
      </c>
      <c r="AL44" s="218">
        <f t="shared" si="17"/>
        <v>2.5000000000000001E-2</v>
      </c>
      <c r="AM44" s="218">
        <f t="shared" si="17"/>
        <v>2.5000000000000001E-2</v>
      </c>
      <c r="AN44" s="218">
        <f t="shared" si="17"/>
        <v>2.5000000000000001E-2</v>
      </c>
      <c r="AO44" s="218">
        <f t="shared" si="17"/>
        <v>0</v>
      </c>
    </row>
    <row r="45" spans="2:41" ht="15" customHeight="1" x14ac:dyDescent="0.25">
      <c r="B45" s="229"/>
      <c r="C45" s="229"/>
      <c r="G45" s="265" t="s">
        <v>128</v>
      </c>
      <c r="H45" s="266">
        <v>8</v>
      </c>
      <c r="I45" s="267">
        <f>Z57</f>
        <v>38815.200000000004</v>
      </c>
      <c r="J45" s="268">
        <v>61161.061466761974</v>
      </c>
      <c r="K45" s="269">
        <f t="shared" si="13"/>
        <v>0.63463908357925014</v>
      </c>
      <c r="L45" s="263"/>
      <c r="M45" s="270">
        <f t="shared" si="14"/>
        <v>4851.9000000000005</v>
      </c>
      <c r="N45" s="263"/>
      <c r="O45" s="263"/>
      <c r="P45" s="263"/>
      <c r="Q45" s="263"/>
      <c r="R45" s="263"/>
      <c r="S45" s="263"/>
      <c r="T45" s="264"/>
    </row>
    <row r="46" spans="2:41" ht="15.75" x14ac:dyDescent="0.25">
      <c r="B46" s="229" t="s">
        <v>32</v>
      </c>
      <c r="C46" s="229">
        <f>SUM(C29:C44)</f>
        <v>3138</v>
      </c>
      <c r="G46" s="265" t="s">
        <v>16</v>
      </c>
      <c r="H46" s="266">
        <v>30</v>
      </c>
      <c r="I46" s="267">
        <f>Z64</f>
        <v>145557</v>
      </c>
      <c r="J46" s="268">
        <v>229353.98050035737</v>
      </c>
      <c r="K46" s="269">
        <f t="shared" si="13"/>
        <v>0.63463908357925014</v>
      </c>
      <c r="L46" s="263"/>
      <c r="M46" s="270">
        <f t="shared" si="14"/>
        <v>4851.8999999999996</v>
      </c>
      <c r="N46" s="263"/>
      <c r="O46" s="263"/>
      <c r="P46" s="263"/>
      <c r="Q46" s="263"/>
      <c r="R46" s="263"/>
      <c r="S46" s="263"/>
      <c r="T46" s="264"/>
    </row>
    <row r="47" spans="2:41" ht="15.75" x14ac:dyDescent="0.25">
      <c r="B47" s="229"/>
      <c r="C47" s="229"/>
      <c r="G47" s="265" t="s">
        <v>9</v>
      </c>
      <c r="H47" s="266">
        <v>89</v>
      </c>
      <c r="I47" s="267">
        <f>Z72</f>
        <v>305346.24</v>
      </c>
      <c r="J47" s="268">
        <v>510312.60661329515</v>
      </c>
      <c r="K47" s="269">
        <f t="shared" si="13"/>
        <v>0.59835135570418185</v>
      </c>
      <c r="L47" s="263"/>
      <c r="M47" s="270">
        <f t="shared" si="14"/>
        <v>3430.8566292134828</v>
      </c>
      <c r="N47" s="263"/>
      <c r="O47" s="263"/>
      <c r="P47" s="263"/>
      <c r="Q47" s="263"/>
      <c r="R47" s="263"/>
      <c r="S47" s="263"/>
      <c r="T47" s="264"/>
      <c r="Y47" s="235" t="s">
        <v>15</v>
      </c>
      <c r="Z47" s="1">
        <f>C33</f>
        <v>33</v>
      </c>
      <c r="AB47" s="1" t="s">
        <v>103</v>
      </c>
      <c r="AD47" s="1" t="str">
        <f t="shared" ref="AD47:AN47" si="18">AD25</f>
        <v>0-40</v>
      </c>
      <c r="AE47" s="1" t="str">
        <f t="shared" si="18"/>
        <v>40-60</v>
      </c>
      <c r="AF47" s="1" t="str">
        <f t="shared" si="18"/>
        <v>60-80</v>
      </c>
      <c r="AG47" s="1" t="str">
        <f t="shared" si="18"/>
        <v>80-100</v>
      </c>
      <c r="AH47" s="1" t="str">
        <f t="shared" si="18"/>
        <v>100-150</v>
      </c>
      <c r="AI47" s="1" t="str">
        <f t="shared" si="18"/>
        <v>150-200</v>
      </c>
      <c r="AJ47" s="1" t="str">
        <f t="shared" si="18"/>
        <v>200-250</v>
      </c>
      <c r="AK47" s="1" t="str">
        <f t="shared" si="18"/>
        <v>250-350</v>
      </c>
      <c r="AL47" s="1" t="str">
        <f t="shared" si="18"/>
        <v>350-450</v>
      </c>
      <c r="AM47" s="1" t="str">
        <f t="shared" si="18"/>
        <v>450-650</v>
      </c>
      <c r="AN47" s="1" t="str">
        <f t="shared" si="18"/>
        <v>650-2000</v>
      </c>
    </row>
    <row r="48" spans="2:41" ht="15.75" x14ac:dyDescent="0.25">
      <c r="B48" s="229" t="s">
        <v>136</v>
      </c>
      <c r="C48" s="229">
        <v>3138</v>
      </c>
      <c r="G48" s="265" t="s">
        <v>21</v>
      </c>
      <c r="H48" s="266">
        <v>103</v>
      </c>
      <c r="I48" s="267">
        <f>Z79</f>
        <v>316128.24000000005</v>
      </c>
      <c r="J48" s="268">
        <v>590586.49978842027</v>
      </c>
      <c r="K48" s="269">
        <f t="shared" si="13"/>
        <v>0.53527847337054624</v>
      </c>
      <c r="L48" s="263"/>
      <c r="M48" s="270">
        <f t="shared" si="14"/>
        <v>3069.2062135922333</v>
      </c>
      <c r="N48" s="263"/>
      <c r="O48" s="263"/>
      <c r="P48" s="263"/>
      <c r="Q48" s="263"/>
      <c r="R48" s="263"/>
      <c r="S48" s="263"/>
      <c r="T48" s="264"/>
      <c r="AD48" s="1">
        <f t="shared" ref="AD48:AO48" si="19">AD18</f>
        <v>0</v>
      </c>
      <c r="AE48" s="1">
        <f t="shared" si="19"/>
        <v>40</v>
      </c>
      <c r="AF48" s="1">
        <f t="shared" si="19"/>
        <v>60</v>
      </c>
      <c r="AG48" s="1">
        <f t="shared" si="19"/>
        <v>80</v>
      </c>
      <c r="AH48" s="1">
        <f t="shared" si="19"/>
        <v>100</v>
      </c>
      <c r="AI48" s="1">
        <f t="shared" si="19"/>
        <v>150</v>
      </c>
      <c r="AJ48" s="1">
        <f t="shared" si="19"/>
        <v>200</v>
      </c>
      <c r="AK48" s="1">
        <f t="shared" si="19"/>
        <v>250</v>
      </c>
      <c r="AL48" s="1">
        <f t="shared" si="19"/>
        <v>350</v>
      </c>
      <c r="AM48" s="1">
        <f t="shared" si="19"/>
        <v>450</v>
      </c>
      <c r="AN48" s="1">
        <f t="shared" si="19"/>
        <v>650</v>
      </c>
      <c r="AO48" s="1">
        <f t="shared" si="19"/>
        <v>2000</v>
      </c>
    </row>
    <row r="49" spans="7:41" ht="15.75" x14ac:dyDescent="0.25">
      <c r="G49" s="265" t="s">
        <v>18</v>
      </c>
      <c r="H49" s="271">
        <v>51</v>
      </c>
      <c r="I49" s="268">
        <f>Z87</f>
        <v>227284.56</v>
      </c>
      <c r="J49" s="268">
        <v>292426.32513795566</v>
      </c>
      <c r="K49" s="269">
        <f t="shared" si="13"/>
        <v>0.77723700112421734</v>
      </c>
      <c r="L49" s="263"/>
      <c r="M49" s="270">
        <f t="shared" si="14"/>
        <v>4456.5600000000004</v>
      </c>
      <c r="N49" s="263"/>
      <c r="O49" s="263"/>
      <c r="P49" s="263"/>
      <c r="Q49" s="263"/>
      <c r="R49" s="263"/>
      <c r="S49" s="263"/>
      <c r="T49" s="264"/>
      <c r="Y49" s="235" t="s">
        <v>33</v>
      </c>
      <c r="Z49" s="1">
        <f>SUM(AD49:AO49)</f>
        <v>160112.70000000001</v>
      </c>
      <c r="AB49" s="1" t="s">
        <v>106</v>
      </c>
      <c r="AD49" s="1">
        <f>IF($Z$47&gt;AD48,(IF($Z$47-AE48&gt;0,(AE48-AD48)*$B$21*AD51,($Z$47-AD48)*$B$21*AD51)),0)</f>
        <v>160112.70000000001</v>
      </c>
      <c r="AE49" s="1">
        <f t="shared" ref="AE49:AN49" si="20">IF($Z$47&gt;AE48,(IF($Z$47-AF48&gt;0,(AF48-AE48)*$B$21*AE51,($Z$47-AE48)*$B$21*AE51)),0)</f>
        <v>0</v>
      </c>
      <c r="AF49" s="1">
        <f t="shared" si="20"/>
        <v>0</v>
      </c>
      <c r="AG49" s="1">
        <f t="shared" si="20"/>
        <v>0</v>
      </c>
      <c r="AH49" s="1">
        <f t="shared" si="20"/>
        <v>0</v>
      </c>
      <c r="AI49" s="1">
        <f t="shared" si="20"/>
        <v>0</v>
      </c>
      <c r="AJ49" s="1">
        <f t="shared" si="20"/>
        <v>0</v>
      </c>
      <c r="AK49" s="1">
        <f t="shared" si="20"/>
        <v>0</v>
      </c>
      <c r="AL49" s="1">
        <f t="shared" si="20"/>
        <v>0</v>
      </c>
      <c r="AM49" s="1">
        <f t="shared" si="20"/>
        <v>0</v>
      </c>
      <c r="AN49" s="1">
        <f t="shared" si="20"/>
        <v>0</v>
      </c>
    </row>
    <row r="50" spans="7:41" ht="15.75" x14ac:dyDescent="0.25">
      <c r="G50" s="265" t="s">
        <v>13</v>
      </c>
      <c r="H50" s="271">
        <v>173</v>
      </c>
      <c r="I50" s="268">
        <f>Z94</f>
        <v>342598.05000000005</v>
      </c>
      <c r="J50" s="268">
        <v>743966.9742480343</v>
      </c>
      <c r="K50" s="269">
        <f t="shared" si="13"/>
        <v>0.46050169141752767</v>
      </c>
      <c r="L50" s="263"/>
      <c r="M50" s="270">
        <f t="shared" si="14"/>
        <v>1980.3355491329482</v>
      </c>
      <c r="N50" s="263"/>
      <c r="O50" s="263"/>
      <c r="P50" s="263"/>
      <c r="Q50" s="263"/>
      <c r="R50" s="263"/>
      <c r="S50" s="263"/>
      <c r="T50" s="264"/>
    </row>
    <row r="51" spans="7:41" ht="15.75" x14ac:dyDescent="0.25">
      <c r="G51" s="265" t="s">
        <v>17</v>
      </c>
      <c r="H51" s="266">
        <v>275</v>
      </c>
      <c r="I51" s="267">
        <f>Z102</f>
        <v>370092.15</v>
      </c>
      <c r="J51" s="268">
        <v>1182606.4619549678</v>
      </c>
      <c r="K51" s="269">
        <f t="shared" si="13"/>
        <v>0.31294615910368051</v>
      </c>
      <c r="L51" s="263"/>
      <c r="M51" s="270">
        <f t="shared" si="14"/>
        <v>1345.7896363636364</v>
      </c>
      <c r="N51" s="263"/>
      <c r="O51" s="263"/>
      <c r="P51" s="263"/>
      <c r="Q51" s="263"/>
      <c r="R51" s="263"/>
      <c r="S51" s="263"/>
      <c r="T51" s="264"/>
      <c r="AB51" s="1" t="s">
        <v>109</v>
      </c>
      <c r="AD51" s="218">
        <f t="shared" ref="AD51:AO51" si="21">AD21</f>
        <v>0.45</v>
      </c>
      <c r="AE51" s="218">
        <f t="shared" si="21"/>
        <v>0.28000000000000003</v>
      </c>
      <c r="AF51" s="218">
        <f t="shared" si="21"/>
        <v>0.2</v>
      </c>
      <c r="AG51" s="218">
        <f t="shared" si="21"/>
        <v>0.08</v>
      </c>
      <c r="AH51" s="218">
        <f t="shared" si="21"/>
        <v>0.04</v>
      </c>
      <c r="AI51" s="218">
        <f t="shared" si="21"/>
        <v>2.5000000000000001E-2</v>
      </c>
      <c r="AJ51" s="218">
        <f t="shared" si="21"/>
        <v>2.5000000000000001E-2</v>
      </c>
      <c r="AK51" s="218">
        <f t="shared" si="21"/>
        <v>2.5000000000000001E-2</v>
      </c>
      <c r="AL51" s="218">
        <f t="shared" si="21"/>
        <v>2.5000000000000001E-2</v>
      </c>
      <c r="AM51" s="218">
        <f t="shared" si="21"/>
        <v>2.5000000000000001E-2</v>
      </c>
      <c r="AN51" s="218">
        <f t="shared" si="21"/>
        <v>2.5000000000000001E-2</v>
      </c>
      <c r="AO51" s="218">
        <f t="shared" si="21"/>
        <v>0</v>
      </c>
    </row>
    <row r="52" spans="7:41" ht="15.75" x14ac:dyDescent="0.25">
      <c r="G52" s="265" t="s">
        <v>19</v>
      </c>
      <c r="H52" s="266">
        <v>208</v>
      </c>
      <c r="I52" s="267">
        <f>Z109</f>
        <v>352032.30000000005</v>
      </c>
      <c r="J52" s="268">
        <v>894480.5239513939</v>
      </c>
      <c r="K52" s="269">
        <f t="shared" si="13"/>
        <v>0.39356060928513797</v>
      </c>
      <c r="L52" s="263"/>
      <c r="M52" s="270">
        <f t="shared" si="14"/>
        <v>1692.4629807692311</v>
      </c>
      <c r="N52" s="263"/>
      <c r="O52" s="263"/>
      <c r="P52" s="263"/>
      <c r="Q52" s="263"/>
      <c r="R52" s="263"/>
      <c r="S52" s="263"/>
      <c r="T52" s="264"/>
    </row>
    <row r="53" spans="7:41" ht="15.75" x14ac:dyDescent="0.25">
      <c r="G53" s="265" t="s">
        <v>133</v>
      </c>
      <c r="H53" s="266">
        <v>318</v>
      </c>
      <c r="I53" s="267">
        <f>Z117</f>
        <v>381682.80000000005</v>
      </c>
      <c r="J53" s="268">
        <v>1215576.0966518943</v>
      </c>
      <c r="K53" s="269">
        <f t="shared" si="13"/>
        <v>0.31399334114193506</v>
      </c>
      <c r="L53" s="263"/>
      <c r="M53" s="270">
        <f t="shared" si="14"/>
        <v>1200.2603773584908</v>
      </c>
      <c r="N53" s="263"/>
      <c r="O53" s="263"/>
      <c r="P53" s="263"/>
      <c r="Q53" s="263"/>
      <c r="R53" s="263"/>
      <c r="S53" s="263"/>
      <c r="T53" s="264"/>
    </row>
    <row r="54" spans="7:41" ht="15.75" x14ac:dyDescent="0.25">
      <c r="G54" s="265" t="s">
        <v>134</v>
      </c>
      <c r="H54" s="266">
        <v>565</v>
      </c>
      <c r="I54" s="267">
        <f>Z124</f>
        <v>448261.65</v>
      </c>
      <c r="J54" s="268">
        <v>1889781.2351644028</v>
      </c>
      <c r="K54" s="269">
        <f t="shared" si="13"/>
        <v>0.23720293209547252</v>
      </c>
      <c r="L54" s="263"/>
      <c r="M54" s="270">
        <f t="shared" si="14"/>
        <v>793.3834513274337</v>
      </c>
      <c r="N54" s="263"/>
      <c r="O54" s="263"/>
      <c r="P54" s="263"/>
      <c r="Q54" s="263"/>
      <c r="R54" s="263"/>
      <c r="S54" s="263"/>
      <c r="T54" s="264"/>
    </row>
    <row r="55" spans="7:41" ht="15.75" x14ac:dyDescent="0.25">
      <c r="G55" s="265" t="s">
        <v>135</v>
      </c>
      <c r="H55" s="266">
        <v>1080</v>
      </c>
      <c r="I55" s="267">
        <f>Z132</f>
        <v>587079.9</v>
      </c>
      <c r="J55" s="268">
        <v>2064185.8245032167</v>
      </c>
      <c r="K55" s="269">
        <f t="shared" si="13"/>
        <v>0.28441233004847871</v>
      </c>
      <c r="L55" s="263"/>
      <c r="M55" s="270">
        <f t="shared" si="14"/>
        <v>543.59249999999997</v>
      </c>
      <c r="N55" s="263"/>
      <c r="O55" s="263"/>
      <c r="P55" s="263"/>
      <c r="Q55" s="263"/>
      <c r="R55" s="263"/>
      <c r="S55" s="263"/>
      <c r="T55" s="264"/>
      <c r="Y55" s="235" t="s">
        <v>128</v>
      </c>
      <c r="Z55" s="1">
        <f>C34</f>
        <v>8</v>
      </c>
      <c r="AB55" s="1" t="s">
        <v>103</v>
      </c>
      <c r="AD55" s="1" t="str">
        <f t="shared" ref="AD55:AN55" si="22">AD25</f>
        <v>0-40</v>
      </c>
      <c r="AE55" s="1" t="str">
        <f t="shared" si="22"/>
        <v>40-60</v>
      </c>
      <c r="AF55" s="1" t="str">
        <f t="shared" si="22"/>
        <v>60-80</v>
      </c>
      <c r="AG55" s="1" t="str">
        <f t="shared" si="22"/>
        <v>80-100</v>
      </c>
      <c r="AH55" s="1" t="str">
        <f t="shared" si="22"/>
        <v>100-150</v>
      </c>
      <c r="AI55" s="1" t="str">
        <f t="shared" si="22"/>
        <v>150-200</v>
      </c>
      <c r="AJ55" s="1" t="str">
        <f t="shared" si="22"/>
        <v>200-250</v>
      </c>
      <c r="AK55" s="1" t="str">
        <f t="shared" si="22"/>
        <v>250-350</v>
      </c>
      <c r="AL55" s="1" t="str">
        <f t="shared" si="22"/>
        <v>350-450</v>
      </c>
      <c r="AM55" s="1" t="str">
        <f t="shared" si="22"/>
        <v>450-650</v>
      </c>
      <c r="AN55" s="1" t="str">
        <f t="shared" si="22"/>
        <v>650-2000</v>
      </c>
    </row>
    <row r="56" spans="7:41" ht="15.75" x14ac:dyDescent="0.25">
      <c r="G56" s="265"/>
      <c r="H56" s="266"/>
      <c r="I56" s="267"/>
      <c r="J56" s="268"/>
      <c r="K56" s="269"/>
      <c r="L56" s="263"/>
      <c r="M56" s="270"/>
      <c r="N56" s="263"/>
      <c r="O56" s="263"/>
      <c r="P56" s="263"/>
      <c r="Q56" s="263"/>
      <c r="R56" s="263"/>
      <c r="S56" s="263"/>
      <c r="T56" s="264"/>
      <c r="AD56" s="1">
        <f t="shared" ref="AD56:AO56" si="23">AD18</f>
        <v>0</v>
      </c>
      <c r="AE56" s="1">
        <f t="shared" si="23"/>
        <v>40</v>
      </c>
      <c r="AF56" s="1">
        <f t="shared" si="23"/>
        <v>60</v>
      </c>
      <c r="AG56" s="1">
        <f t="shared" si="23"/>
        <v>80</v>
      </c>
      <c r="AH56" s="1">
        <f t="shared" si="23"/>
        <v>100</v>
      </c>
      <c r="AI56" s="1">
        <f t="shared" si="23"/>
        <v>150</v>
      </c>
      <c r="AJ56" s="1">
        <f t="shared" si="23"/>
        <v>200</v>
      </c>
      <c r="AK56" s="1">
        <f t="shared" si="23"/>
        <v>250</v>
      </c>
      <c r="AL56" s="1">
        <f t="shared" si="23"/>
        <v>350</v>
      </c>
      <c r="AM56" s="1">
        <f t="shared" si="23"/>
        <v>450</v>
      </c>
      <c r="AN56" s="1">
        <f t="shared" si="23"/>
        <v>650</v>
      </c>
      <c r="AO56" s="1">
        <f t="shared" si="23"/>
        <v>2000</v>
      </c>
    </row>
    <row r="57" spans="7:41" ht="15.75" x14ac:dyDescent="0.25">
      <c r="G57" s="265" t="s">
        <v>32</v>
      </c>
      <c r="H57" s="266">
        <f>SUM(H40:H55)</f>
        <v>3138</v>
      </c>
      <c r="I57" s="267">
        <f>SUM(I40:I55)</f>
        <v>4582835.1899999995</v>
      </c>
      <c r="J57" s="267">
        <f>SUM(J40:J55)</f>
        <v>11493979.168616869</v>
      </c>
      <c r="K57" s="269">
        <f t="shared" si="13"/>
        <v>0.39871615589081288</v>
      </c>
      <c r="L57" s="263"/>
      <c r="M57" s="270">
        <f t="shared" si="14"/>
        <v>1460.4318642447417</v>
      </c>
      <c r="N57" s="263"/>
      <c r="O57" s="263"/>
      <c r="P57" s="263"/>
      <c r="Q57" s="263"/>
      <c r="R57" s="263"/>
      <c r="S57" s="263"/>
      <c r="T57" s="264"/>
      <c r="Y57" s="235" t="s">
        <v>33</v>
      </c>
      <c r="Z57" s="1">
        <f>SUM(AD57:AO57)</f>
        <v>38815.200000000004</v>
      </c>
      <c r="AB57" s="1" t="s">
        <v>106</v>
      </c>
      <c r="AD57" s="1">
        <f>IF($Z$55&gt;AD56,(IF($Z$55-AE56&gt;0,(AE56-AD56)*$B$21*AD59,($Z$55-AD56)*$B$21*AD59)),0)</f>
        <v>38815.200000000004</v>
      </c>
      <c r="AE57" s="1">
        <f t="shared" ref="AE57:AN57" si="24">IF($Z$55&gt;AE56,(IF($Z$55-AF56&gt;0,(AF56-AE56)*$B$21*AE59,($Z$55-AE56)*$B$21*AE59)),0)</f>
        <v>0</v>
      </c>
      <c r="AF57" s="1">
        <f t="shared" si="24"/>
        <v>0</v>
      </c>
      <c r="AG57" s="1">
        <f t="shared" si="24"/>
        <v>0</v>
      </c>
      <c r="AH57" s="1">
        <f t="shared" si="24"/>
        <v>0</v>
      </c>
      <c r="AI57" s="1">
        <f t="shared" si="24"/>
        <v>0</v>
      </c>
      <c r="AJ57" s="1">
        <f t="shared" si="24"/>
        <v>0</v>
      </c>
      <c r="AK57" s="1">
        <f t="shared" si="24"/>
        <v>0</v>
      </c>
      <c r="AL57" s="1">
        <f t="shared" si="24"/>
        <v>0</v>
      </c>
      <c r="AM57" s="1">
        <f t="shared" si="24"/>
        <v>0</v>
      </c>
      <c r="AN57" s="1">
        <f t="shared" si="24"/>
        <v>0</v>
      </c>
    </row>
    <row r="58" spans="7:41" ht="15.75" x14ac:dyDescent="0.25">
      <c r="G58" s="265"/>
      <c r="H58" s="272"/>
      <c r="I58" s="273"/>
      <c r="J58" s="274"/>
      <c r="K58" s="263"/>
      <c r="L58" s="263"/>
      <c r="M58" s="263"/>
      <c r="N58" s="263"/>
      <c r="O58" s="263"/>
      <c r="P58" s="263"/>
      <c r="Q58" s="263"/>
      <c r="R58" s="263"/>
      <c r="S58" s="263"/>
      <c r="T58" s="264"/>
    </row>
    <row r="59" spans="7:41" x14ac:dyDescent="0.2">
      <c r="G59" s="260"/>
      <c r="H59" s="272"/>
      <c r="I59" s="273"/>
      <c r="J59" s="263"/>
      <c r="K59" s="263"/>
      <c r="L59" s="263"/>
      <c r="M59" s="263"/>
      <c r="N59" s="263"/>
      <c r="O59" s="263"/>
      <c r="P59" s="263"/>
      <c r="Q59" s="263"/>
      <c r="R59" s="263"/>
      <c r="S59" s="263"/>
      <c r="T59" s="264"/>
      <c r="AB59" s="1" t="s">
        <v>109</v>
      </c>
      <c r="AD59" s="218">
        <f t="shared" ref="AD59:AO59" si="25">AD21</f>
        <v>0.45</v>
      </c>
      <c r="AE59" s="218">
        <f t="shared" si="25"/>
        <v>0.28000000000000003</v>
      </c>
      <c r="AF59" s="218">
        <f t="shared" si="25"/>
        <v>0.2</v>
      </c>
      <c r="AG59" s="218">
        <f t="shared" si="25"/>
        <v>0.08</v>
      </c>
      <c r="AH59" s="218">
        <f t="shared" si="25"/>
        <v>0.04</v>
      </c>
      <c r="AI59" s="218">
        <f t="shared" si="25"/>
        <v>2.5000000000000001E-2</v>
      </c>
      <c r="AJ59" s="218">
        <f t="shared" si="25"/>
        <v>2.5000000000000001E-2</v>
      </c>
      <c r="AK59" s="218">
        <f t="shared" si="25"/>
        <v>2.5000000000000001E-2</v>
      </c>
      <c r="AL59" s="218">
        <f t="shared" si="25"/>
        <v>2.5000000000000001E-2</v>
      </c>
      <c r="AM59" s="218">
        <f t="shared" si="25"/>
        <v>2.5000000000000001E-2</v>
      </c>
      <c r="AN59" s="218">
        <f t="shared" si="25"/>
        <v>2.5000000000000001E-2</v>
      </c>
      <c r="AO59" s="218">
        <f t="shared" si="25"/>
        <v>0</v>
      </c>
    </row>
    <row r="60" spans="7:41" x14ac:dyDescent="0.2">
      <c r="G60" s="260"/>
      <c r="H60" s="272"/>
      <c r="I60" s="273"/>
      <c r="J60" s="263"/>
      <c r="K60" s="263"/>
      <c r="L60" s="263"/>
      <c r="M60" s="263"/>
      <c r="N60" s="263"/>
      <c r="O60" s="263"/>
      <c r="P60" s="263"/>
      <c r="Q60" s="263"/>
      <c r="R60" s="263"/>
      <c r="S60" s="263"/>
      <c r="T60" s="264"/>
    </row>
    <row r="61" spans="7:41" ht="15.75" thickBot="1" x14ac:dyDescent="0.25">
      <c r="G61" s="275"/>
      <c r="H61" s="276"/>
      <c r="I61" s="277"/>
      <c r="J61" s="278"/>
      <c r="K61" s="278"/>
      <c r="L61" s="278"/>
      <c r="M61" s="278"/>
      <c r="N61" s="278"/>
      <c r="O61" s="278"/>
      <c r="P61" s="278"/>
      <c r="Q61" s="278"/>
      <c r="R61" s="278"/>
      <c r="S61" s="278"/>
      <c r="T61" s="279"/>
    </row>
    <row r="62" spans="7:41" ht="15.75" x14ac:dyDescent="0.25">
      <c r="Y62" s="280" t="s">
        <v>16</v>
      </c>
      <c r="Z62" s="1">
        <f>C35</f>
        <v>30</v>
      </c>
      <c r="AB62" s="1" t="s">
        <v>103</v>
      </c>
      <c r="AD62" s="1" t="str">
        <f t="shared" ref="AD62:AN62" si="26">AD25</f>
        <v>0-40</v>
      </c>
      <c r="AE62" s="1" t="str">
        <f t="shared" si="26"/>
        <v>40-60</v>
      </c>
      <c r="AF62" s="1" t="str">
        <f t="shared" si="26"/>
        <v>60-80</v>
      </c>
      <c r="AG62" s="1" t="str">
        <f t="shared" si="26"/>
        <v>80-100</v>
      </c>
      <c r="AH62" s="1" t="str">
        <f t="shared" si="26"/>
        <v>100-150</v>
      </c>
      <c r="AI62" s="1" t="str">
        <f t="shared" si="26"/>
        <v>150-200</v>
      </c>
      <c r="AJ62" s="1" t="str">
        <f t="shared" si="26"/>
        <v>200-250</v>
      </c>
      <c r="AK62" s="1" t="str">
        <f t="shared" si="26"/>
        <v>250-350</v>
      </c>
      <c r="AL62" s="1" t="str">
        <f t="shared" si="26"/>
        <v>350-450</v>
      </c>
      <c r="AM62" s="1" t="str">
        <f t="shared" si="26"/>
        <v>450-650</v>
      </c>
      <c r="AN62" s="1" t="str">
        <f t="shared" si="26"/>
        <v>650-2000</v>
      </c>
    </row>
    <row r="63" spans="7:41" x14ac:dyDescent="0.2">
      <c r="AD63" s="1">
        <f t="shared" ref="AD63:AO63" si="27">AD18</f>
        <v>0</v>
      </c>
      <c r="AE63" s="1">
        <f t="shared" si="27"/>
        <v>40</v>
      </c>
      <c r="AF63" s="1">
        <f t="shared" si="27"/>
        <v>60</v>
      </c>
      <c r="AG63" s="1">
        <f t="shared" si="27"/>
        <v>80</v>
      </c>
      <c r="AH63" s="1">
        <f t="shared" si="27"/>
        <v>100</v>
      </c>
      <c r="AI63" s="1">
        <f t="shared" si="27"/>
        <v>150</v>
      </c>
      <c r="AJ63" s="1">
        <f t="shared" si="27"/>
        <v>200</v>
      </c>
      <c r="AK63" s="1">
        <f t="shared" si="27"/>
        <v>250</v>
      </c>
      <c r="AL63" s="1">
        <f t="shared" si="27"/>
        <v>350</v>
      </c>
      <c r="AM63" s="1">
        <f t="shared" si="27"/>
        <v>450</v>
      </c>
      <c r="AN63" s="1">
        <f t="shared" si="27"/>
        <v>650</v>
      </c>
      <c r="AO63" s="1">
        <f t="shared" si="27"/>
        <v>2000</v>
      </c>
    </row>
    <row r="64" spans="7:41" x14ac:dyDescent="0.2">
      <c r="Y64" s="235" t="s">
        <v>33</v>
      </c>
      <c r="Z64" s="1">
        <f>SUM(AD64:AO64)</f>
        <v>145557</v>
      </c>
      <c r="AB64" s="1" t="s">
        <v>106</v>
      </c>
      <c r="AD64" s="1">
        <f>IF($Z$62&gt;AD63,(IF($Z$62-AE63&gt;0,(AE63-AD63)*$B$21*AD66,($Z$62-AD63)*$B$21*AD66)),0)</f>
        <v>145557</v>
      </c>
      <c r="AE64" s="1">
        <f t="shared" ref="AE64:AN64" si="28">IF($Z$62&gt;AE63,(IF($Z$62-AF63&gt;0,(AF63-AE63)*$B$21*AE66,($Z$62-AE63)*$B$21*AE66)),0)</f>
        <v>0</v>
      </c>
      <c r="AF64" s="1">
        <f t="shared" si="28"/>
        <v>0</v>
      </c>
      <c r="AG64" s="1">
        <f t="shared" si="28"/>
        <v>0</v>
      </c>
      <c r="AH64" s="1">
        <f t="shared" si="28"/>
        <v>0</v>
      </c>
      <c r="AI64" s="1">
        <f t="shared" si="28"/>
        <v>0</v>
      </c>
      <c r="AJ64" s="1">
        <f t="shared" si="28"/>
        <v>0</v>
      </c>
      <c r="AK64" s="1">
        <f t="shared" si="28"/>
        <v>0</v>
      </c>
      <c r="AL64" s="1">
        <f t="shared" si="28"/>
        <v>0</v>
      </c>
      <c r="AM64" s="1">
        <f t="shared" si="28"/>
        <v>0</v>
      </c>
      <c r="AN64" s="1">
        <f t="shared" si="28"/>
        <v>0</v>
      </c>
    </row>
    <row r="65" spans="7:41" x14ac:dyDescent="0.2">
      <c r="G65" s="1" t="s">
        <v>137</v>
      </c>
    </row>
    <row r="66" spans="7:41" x14ac:dyDescent="0.2">
      <c r="G66" s="219"/>
      <c r="H66" s="219"/>
      <c r="I66" s="219"/>
      <c r="J66" s="219"/>
      <c r="K66" s="219"/>
      <c r="L66" s="219"/>
      <c r="M66" s="219"/>
      <c r="N66" s="219"/>
      <c r="O66" s="219"/>
      <c r="P66" s="219"/>
      <c r="Q66" s="219"/>
      <c r="R66" s="219"/>
      <c r="S66" s="219"/>
      <c r="T66" s="219"/>
      <c r="U66" s="219"/>
      <c r="V66" s="219"/>
      <c r="AB66" s="1" t="s">
        <v>109</v>
      </c>
      <c r="AD66" s="218">
        <f t="shared" ref="AD66:AO66" si="29">AD21</f>
        <v>0.45</v>
      </c>
      <c r="AE66" s="218">
        <f t="shared" si="29"/>
        <v>0.28000000000000003</v>
      </c>
      <c r="AF66" s="218">
        <f t="shared" si="29"/>
        <v>0.2</v>
      </c>
      <c r="AG66" s="218">
        <f t="shared" si="29"/>
        <v>0.08</v>
      </c>
      <c r="AH66" s="218">
        <f t="shared" si="29"/>
        <v>0.04</v>
      </c>
      <c r="AI66" s="218">
        <f t="shared" si="29"/>
        <v>2.5000000000000001E-2</v>
      </c>
      <c r="AJ66" s="218">
        <f t="shared" si="29"/>
        <v>2.5000000000000001E-2</v>
      </c>
      <c r="AK66" s="218">
        <f t="shared" si="29"/>
        <v>2.5000000000000001E-2</v>
      </c>
      <c r="AL66" s="218">
        <f t="shared" si="29"/>
        <v>2.5000000000000001E-2</v>
      </c>
      <c r="AM66" s="218">
        <f t="shared" si="29"/>
        <v>2.5000000000000001E-2</v>
      </c>
      <c r="AN66" s="218">
        <f t="shared" si="29"/>
        <v>2.5000000000000001E-2</v>
      </c>
      <c r="AO66" s="218">
        <f t="shared" si="29"/>
        <v>0</v>
      </c>
    </row>
    <row r="67" spans="7:41" x14ac:dyDescent="0.2">
      <c r="G67" s="219"/>
      <c r="H67" s="219"/>
      <c r="I67" s="219"/>
      <c r="J67" s="219"/>
      <c r="K67" s="219"/>
      <c r="L67" s="219"/>
      <c r="M67" s="219"/>
      <c r="N67" s="219"/>
      <c r="O67" s="219"/>
      <c r="P67" s="219"/>
      <c r="Q67" s="219"/>
      <c r="R67" s="219"/>
      <c r="S67" s="219"/>
      <c r="T67" s="219"/>
      <c r="U67" s="219"/>
      <c r="V67" s="219"/>
      <c r="W67" s="219"/>
    </row>
    <row r="68" spans="7:41" x14ac:dyDescent="0.2">
      <c r="G68" s="1" t="s">
        <v>8</v>
      </c>
      <c r="H68" s="1" t="s">
        <v>9</v>
      </c>
      <c r="I68" s="1" t="s">
        <v>10</v>
      </c>
      <c r="J68" s="1" t="s">
        <v>11</v>
      </c>
      <c r="K68" s="1" t="s">
        <v>12</v>
      </c>
      <c r="L68" s="1" t="s">
        <v>13</v>
      </c>
      <c r="M68" s="1" t="s">
        <v>14</v>
      </c>
      <c r="N68" s="1" t="s">
        <v>15</v>
      </c>
      <c r="O68" s="1" t="s">
        <v>16</v>
      </c>
      <c r="P68" s="1" t="s">
        <v>17</v>
      </c>
      <c r="Q68" s="1" t="s">
        <v>18</v>
      </c>
      <c r="R68" s="1" t="s">
        <v>19</v>
      </c>
      <c r="S68" s="1" t="s">
        <v>20</v>
      </c>
      <c r="T68" s="1" t="s">
        <v>21</v>
      </c>
      <c r="U68" s="1" t="s">
        <v>22</v>
      </c>
      <c r="V68" s="1" t="s">
        <v>23</v>
      </c>
    </row>
    <row r="69" spans="7:41" x14ac:dyDescent="0.2">
      <c r="G69" s="22">
        <f>I41</f>
        <v>212189.76</v>
      </c>
      <c r="H69" s="22">
        <f>I47</f>
        <v>305346.24</v>
      </c>
      <c r="I69" s="22">
        <f>I53</f>
        <v>381682.80000000005</v>
      </c>
      <c r="J69" s="22">
        <f>I42</f>
        <v>265237.2</v>
      </c>
      <c r="K69" s="22">
        <f>I40</f>
        <v>224265.60000000001</v>
      </c>
      <c r="L69" s="22">
        <f>I50</f>
        <v>342598.05000000005</v>
      </c>
      <c r="M69" s="22">
        <f>I54</f>
        <v>448261.65</v>
      </c>
      <c r="N69" s="22">
        <f>I44</f>
        <v>160112.70000000001</v>
      </c>
      <c r="O69" s="22">
        <f>I46</f>
        <v>145557</v>
      </c>
      <c r="P69" s="22">
        <f>I51</f>
        <v>370092.15</v>
      </c>
      <c r="Q69" s="22">
        <f>I49</f>
        <v>227284.56</v>
      </c>
      <c r="R69" s="22">
        <f>I52</f>
        <v>352032.30000000005</v>
      </c>
      <c r="S69" s="22">
        <f>I45</f>
        <v>38815.200000000004</v>
      </c>
      <c r="T69" s="22">
        <f>I48</f>
        <v>316128.24000000005</v>
      </c>
      <c r="U69" s="22">
        <f>I43</f>
        <v>206151.84</v>
      </c>
      <c r="V69" s="22">
        <f>I55</f>
        <v>587079.9</v>
      </c>
    </row>
    <row r="70" spans="7:41" x14ac:dyDescent="0.2">
      <c r="Y70" s="235" t="s">
        <v>9</v>
      </c>
      <c r="Z70" s="1">
        <f>C36</f>
        <v>89</v>
      </c>
      <c r="AB70" s="1" t="s">
        <v>103</v>
      </c>
      <c r="AD70" s="1" t="str">
        <f t="shared" ref="AD70:AN70" si="30">AD25</f>
        <v>0-40</v>
      </c>
      <c r="AE70" s="1" t="str">
        <f t="shared" si="30"/>
        <v>40-60</v>
      </c>
      <c r="AF70" s="1" t="str">
        <f t="shared" si="30"/>
        <v>60-80</v>
      </c>
      <c r="AG70" s="1" t="str">
        <f t="shared" si="30"/>
        <v>80-100</v>
      </c>
      <c r="AH70" s="1" t="str">
        <f t="shared" si="30"/>
        <v>100-150</v>
      </c>
      <c r="AI70" s="1" t="str">
        <f t="shared" si="30"/>
        <v>150-200</v>
      </c>
      <c r="AJ70" s="1" t="str">
        <f t="shared" si="30"/>
        <v>200-250</v>
      </c>
      <c r="AK70" s="1" t="str">
        <f t="shared" si="30"/>
        <v>250-350</v>
      </c>
      <c r="AL70" s="1" t="str">
        <f t="shared" si="30"/>
        <v>350-450</v>
      </c>
      <c r="AM70" s="1" t="str">
        <f t="shared" si="30"/>
        <v>450-650</v>
      </c>
      <c r="AN70" s="1" t="str">
        <f t="shared" si="30"/>
        <v>650-2000</v>
      </c>
    </row>
    <row r="71" spans="7:41" x14ac:dyDescent="0.2">
      <c r="AD71" s="1">
        <f t="shared" ref="AD71:AO71" si="31">AD18</f>
        <v>0</v>
      </c>
      <c r="AE71" s="1">
        <f t="shared" si="31"/>
        <v>40</v>
      </c>
      <c r="AF71" s="1">
        <f t="shared" si="31"/>
        <v>60</v>
      </c>
      <c r="AG71" s="1">
        <f t="shared" si="31"/>
        <v>80</v>
      </c>
      <c r="AH71" s="1">
        <f t="shared" si="31"/>
        <v>100</v>
      </c>
      <c r="AI71" s="1">
        <f t="shared" si="31"/>
        <v>150</v>
      </c>
      <c r="AJ71" s="1">
        <f t="shared" si="31"/>
        <v>200</v>
      </c>
      <c r="AK71" s="1">
        <f t="shared" si="31"/>
        <v>250</v>
      </c>
      <c r="AL71" s="1">
        <f t="shared" si="31"/>
        <v>350</v>
      </c>
      <c r="AM71" s="1">
        <f t="shared" si="31"/>
        <v>450</v>
      </c>
      <c r="AN71" s="1">
        <f t="shared" si="31"/>
        <v>650</v>
      </c>
      <c r="AO71" s="1">
        <f t="shared" si="31"/>
        <v>2000</v>
      </c>
    </row>
    <row r="72" spans="7:41" x14ac:dyDescent="0.2">
      <c r="Y72" s="235" t="s">
        <v>33</v>
      </c>
      <c r="Z72" s="1">
        <f>SUM(AD72:AO72)</f>
        <v>305346.24</v>
      </c>
      <c r="AB72" s="1" t="s">
        <v>106</v>
      </c>
      <c r="AD72" s="1">
        <f>IF($Z$70&gt;AD71,(IF($Z$70-AE71&gt;0,(AE71-AD71)*$B$21*AD74,($Z$70-AD71)*$B$21*AD74)),0)</f>
        <v>194076</v>
      </c>
      <c r="AE72" s="1">
        <f t="shared" ref="AE72:AN72" si="32">IF($Z$70&gt;AE71,(IF($Z$70-AF71&gt;0,(AF71-AE71)*$B$21*AE74,($Z$70-AE71)*$B$21*AE74)),0)</f>
        <v>60379.200000000004</v>
      </c>
      <c r="AF72" s="1">
        <f t="shared" si="32"/>
        <v>43128</v>
      </c>
      <c r="AG72" s="1">
        <f t="shared" si="32"/>
        <v>7763.04</v>
      </c>
      <c r="AH72" s="1">
        <f t="shared" si="32"/>
        <v>0</v>
      </c>
      <c r="AI72" s="1">
        <f t="shared" si="32"/>
        <v>0</v>
      </c>
      <c r="AJ72" s="1">
        <f t="shared" si="32"/>
        <v>0</v>
      </c>
      <c r="AK72" s="1">
        <f t="shared" si="32"/>
        <v>0</v>
      </c>
      <c r="AL72" s="1">
        <f t="shared" si="32"/>
        <v>0</v>
      </c>
      <c r="AM72" s="1">
        <f t="shared" si="32"/>
        <v>0</v>
      </c>
      <c r="AN72" s="1">
        <f t="shared" si="32"/>
        <v>0</v>
      </c>
    </row>
    <row r="74" spans="7:41" x14ac:dyDescent="0.2">
      <c r="AB74" s="1" t="s">
        <v>109</v>
      </c>
      <c r="AD74" s="218">
        <f t="shared" ref="AD74:AO74" si="33">AD21</f>
        <v>0.45</v>
      </c>
      <c r="AE74" s="218">
        <f t="shared" si="33"/>
        <v>0.28000000000000003</v>
      </c>
      <c r="AF74" s="218">
        <f t="shared" si="33"/>
        <v>0.2</v>
      </c>
      <c r="AG74" s="218">
        <f t="shared" si="33"/>
        <v>0.08</v>
      </c>
      <c r="AH74" s="218">
        <f t="shared" si="33"/>
        <v>0.04</v>
      </c>
      <c r="AI74" s="218">
        <f t="shared" si="33"/>
        <v>2.5000000000000001E-2</v>
      </c>
      <c r="AJ74" s="218">
        <f t="shared" si="33"/>
        <v>2.5000000000000001E-2</v>
      </c>
      <c r="AK74" s="218">
        <f t="shared" si="33"/>
        <v>2.5000000000000001E-2</v>
      </c>
      <c r="AL74" s="218">
        <f t="shared" si="33"/>
        <v>2.5000000000000001E-2</v>
      </c>
      <c r="AM74" s="218">
        <f t="shared" si="33"/>
        <v>2.5000000000000001E-2</v>
      </c>
      <c r="AN74" s="218">
        <f t="shared" si="33"/>
        <v>2.5000000000000001E-2</v>
      </c>
      <c r="AO74" s="218">
        <f t="shared" si="33"/>
        <v>0</v>
      </c>
    </row>
    <row r="77" spans="7:41" x14ac:dyDescent="0.2">
      <c r="Y77" s="235" t="s">
        <v>21</v>
      </c>
      <c r="Z77" s="1">
        <f>C37</f>
        <v>103</v>
      </c>
      <c r="AB77" s="1" t="s">
        <v>103</v>
      </c>
      <c r="AD77" s="1" t="str">
        <f t="shared" ref="AD77:AN77" si="34">AD25</f>
        <v>0-40</v>
      </c>
      <c r="AE77" s="1" t="str">
        <f t="shared" si="34"/>
        <v>40-60</v>
      </c>
      <c r="AF77" s="1" t="str">
        <f t="shared" si="34"/>
        <v>60-80</v>
      </c>
      <c r="AG77" s="1" t="str">
        <f t="shared" si="34"/>
        <v>80-100</v>
      </c>
      <c r="AH77" s="1" t="str">
        <f t="shared" si="34"/>
        <v>100-150</v>
      </c>
      <c r="AI77" s="1" t="str">
        <f t="shared" si="34"/>
        <v>150-200</v>
      </c>
      <c r="AJ77" s="1" t="str">
        <f t="shared" si="34"/>
        <v>200-250</v>
      </c>
      <c r="AK77" s="1" t="str">
        <f t="shared" si="34"/>
        <v>250-350</v>
      </c>
      <c r="AL77" s="1" t="str">
        <f t="shared" si="34"/>
        <v>350-450</v>
      </c>
      <c r="AM77" s="1" t="str">
        <f t="shared" si="34"/>
        <v>450-650</v>
      </c>
      <c r="AN77" s="1" t="str">
        <f t="shared" si="34"/>
        <v>650-2000</v>
      </c>
    </row>
    <row r="78" spans="7:41" x14ac:dyDescent="0.2">
      <c r="AD78" s="1">
        <f t="shared" ref="AD78:AO78" si="35">AD18</f>
        <v>0</v>
      </c>
      <c r="AE78" s="1">
        <f t="shared" si="35"/>
        <v>40</v>
      </c>
      <c r="AF78" s="1">
        <f t="shared" si="35"/>
        <v>60</v>
      </c>
      <c r="AG78" s="1">
        <f t="shared" si="35"/>
        <v>80</v>
      </c>
      <c r="AH78" s="1">
        <f t="shared" si="35"/>
        <v>100</v>
      </c>
      <c r="AI78" s="1">
        <f t="shared" si="35"/>
        <v>150</v>
      </c>
      <c r="AJ78" s="1">
        <f t="shared" si="35"/>
        <v>200</v>
      </c>
      <c r="AK78" s="1">
        <f t="shared" si="35"/>
        <v>250</v>
      </c>
      <c r="AL78" s="1">
        <f t="shared" si="35"/>
        <v>350</v>
      </c>
      <c r="AM78" s="1">
        <f t="shared" si="35"/>
        <v>450</v>
      </c>
      <c r="AN78" s="1">
        <f t="shared" si="35"/>
        <v>650</v>
      </c>
      <c r="AO78" s="1">
        <f t="shared" si="35"/>
        <v>2000</v>
      </c>
    </row>
    <row r="79" spans="7:41" x14ac:dyDescent="0.2">
      <c r="Y79" s="235" t="s">
        <v>33</v>
      </c>
      <c r="Z79" s="1">
        <f>SUM(AD79:AO79)</f>
        <v>316128.24000000005</v>
      </c>
      <c r="AB79" s="1" t="s">
        <v>106</v>
      </c>
      <c r="AD79" s="1">
        <f>IF($Z$77&gt;AD78,(IF($Z$77-AE78&gt;0,(AE78-AD78)*$B$21*AD81,($Z$77-AD78)*$B$21*AD81)),0)</f>
        <v>194076</v>
      </c>
      <c r="AE79" s="1">
        <f t="shared" ref="AE79:AN79" si="36">IF($Z$77&gt;AE78,(IF($Z$77-AF78&gt;0,(AF78-AE78)*$B$21*AE81,($Z$77-AE78)*$B$21*AE81)),0)</f>
        <v>60379.200000000004</v>
      </c>
      <c r="AF79" s="1">
        <f t="shared" si="36"/>
        <v>43128</v>
      </c>
      <c r="AG79" s="1">
        <f t="shared" si="36"/>
        <v>17251.2</v>
      </c>
      <c r="AH79" s="1">
        <f t="shared" si="36"/>
        <v>1293.8399999999999</v>
      </c>
      <c r="AI79" s="1">
        <f t="shared" si="36"/>
        <v>0</v>
      </c>
      <c r="AJ79" s="1">
        <f t="shared" si="36"/>
        <v>0</v>
      </c>
      <c r="AK79" s="1">
        <f t="shared" si="36"/>
        <v>0</v>
      </c>
      <c r="AL79" s="1">
        <f t="shared" si="36"/>
        <v>0</v>
      </c>
      <c r="AM79" s="1">
        <f t="shared" si="36"/>
        <v>0</v>
      </c>
      <c r="AN79" s="1">
        <f t="shared" si="36"/>
        <v>0</v>
      </c>
    </row>
    <row r="81" spans="25:41" x14ac:dyDescent="0.2">
      <c r="AB81" s="1" t="s">
        <v>109</v>
      </c>
      <c r="AD81" s="218">
        <f t="shared" ref="AD81:AO81" si="37">AD21</f>
        <v>0.45</v>
      </c>
      <c r="AE81" s="218">
        <f t="shared" si="37"/>
        <v>0.28000000000000003</v>
      </c>
      <c r="AF81" s="218">
        <f t="shared" si="37"/>
        <v>0.2</v>
      </c>
      <c r="AG81" s="218">
        <f t="shared" si="37"/>
        <v>0.08</v>
      </c>
      <c r="AH81" s="218">
        <f t="shared" si="37"/>
        <v>0.04</v>
      </c>
      <c r="AI81" s="218">
        <f t="shared" si="37"/>
        <v>2.5000000000000001E-2</v>
      </c>
      <c r="AJ81" s="218">
        <f t="shared" si="37"/>
        <v>2.5000000000000001E-2</v>
      </c>
      <c r="AK81" s="218">
        <f t="shared" si="37"/>
        <v>2.5000000000000001E-2</v>
      </c>
      <c r="AL81" s="218">
        <f t="shared" si="37"/>
        <v>2.5000000000000001E-2</v>
      </c>
      <c r="AM81" s="218">
        <f t="shared" si="37"/>
        <v>2.5000000000000001E-2</v>
      </c>
      <c r="AN81" s="218">
        <f t="shared" si="37"/>
        <v>2.5000000000000001E-2</v>
      </c>
      <c r="AO81" s="218">
        <f t="shared" si="37"/>
        <v>0</v>
      </c>
    </row>
    <row r="85" spans="25:41" x14ac:dyDescent="0.2">
      <c r="Y85" s="235" t="s">
        <v>18</v>
      </c>
      <c r="Z85" s="1">
        <f>C38</f>
        <v>51</v>
      </c>
      <c r="AB85" s="1" t="s">
        <v>103</v>
      </c>
      <c r="AD85" s="1" t="str">
        <f t="shared" ref="AD85:AN85" si="38">AD25</f>
        <v>0-40</v>
      </c>
      <c r="AE85" s="1" t="str">
        <f t="shared" si="38"/>
        <v>40-60</v>
      </c>
      <c r="AF85" s="1" t="str">
        <f t="shared" si="38"/>
        <v>60-80</v>
      </c>
      <c r="AG85" s="1" t="str">
        <f t="shared" si="38"/>
        <v>80-100</v>
      </c>
      <c r="AH85" s="1" t="str">
        <f t="shared" si="38"/>
        <v>100-150</v>
      </c>
      <c r="AI85" s="1" t="str">
        <f t="shared" si="38"/>
        <v>150-200</v>
      </c>
      <c r="AJ85" s="1" t="str">
        <f t="shared" si="38"/>
        <v>200-250</v>
      </c>
      <c r="AK85" s="1" t="str">
        <f t="shared" si="38"/>
        <v>250-350</v>
      </c>
      <c r="AL85" s="1" t="str">
        <f t="shared" si="38"/>
        <v>350-450</v>
      </c>
      <c r="AM85" s="1" t="str">
        <f t="shared" si="38"/>
        <v>450-650</v>
      </c>
      <c r="AN85" s="1" t="str">
        <f t="shared" si="38"/>
        <v>650-2000</v>
      </c>
    </row>
    <row r="86" spans="25:41" x14ac:dyDescent="0.2">
      <c r="AD86" s="1">
        <f t="shared" ref="AD86:AO86" si="39">AD18</f>
        <v>0</v>
      </c>
      <c r="AE86" s="1">
        <f t="shared" si="39"/>
        <v>40</v>
      </c>
      <c r="AF86" s="1">
        <f t="shared" si="39"/>
        <v>60</v>
      </c>
      <c r="AG86" s="1">
        <f t="shared" si="39"/>
        <v>80</v>
      </c>
      <c r="AH86" s="1">
        <f t="shared" si="39"/>
        <v>100</v>
      </c>
      <c r="AI86" s="1">
        <f t="shared" si="39"/>
        <v>150</v>
      </c>
      <c r="AJ86" s="1">
        <f t="shared" si="39"/>
        <v>200</v>
      </c>
      <c r="AK86" s="1">
        <f t="shared" si="39"/>
        <v>250</v>
      </c>
      <c r="AL86" s="1">
        <f t="shared" si="39"/>
        <v>350</v>
      </c>
      <c r="AM86" s="1">
        <f t="shared" si="39"/>
        <v>450</v>
      </c>
      <c r="AN86" s="1">
        <f t="shared" si="39"/>
        <v>650</v>
      </c>
      <c r="AO86" s="1">
        <f t="shared" si="39"/>
        <v>2000</v>
      </c>
    </row>
    <row r="87" spans="25:41" x14ac:dyDescent="0.2">
      <c r="Y87" s="235" t="s">
        <v>33</v>
      </c>
      <c r="Z87" s="1">
        <f>SUM(AD87:AO87)</f>
        <v>227284.56</v>
      </c>
      <c r="AB87" s="1" t="s">
        <v>106</v>
      </c>
      <c r="AD87" s="1">
        <f>IF($Z$85&gt;AD86,(IF($Z$85-AE86&gt;0,(AE86-AD86)*$B$21*AD89,($Z$85-AD86)*$B$21*AD89)),0)</f>
        <v>194076</v>
      </c>
      <c r="AE87" s="1">
        <f t="shared" ref="AE87:AN87" si="40">IF($Z$85&gt;AE86,(IF($Z$85-AF86&gt;0,(AF86-AE86)*$B$21*AE89,($Z$85-AE86)*$B$21*AE89)),0)</f>
        <v>33208.560000000005</v>
      </c>
      <c r="AF87" s="1">
        <f t="shared" si="40"/>
        <v>0</v>
      </c>
      <c r="AG87" s="1">
        <f t="shared" si="40"/>
        <v>0</v>
      </c>
      <c r="AH87" s="1">
        <f t="shared" si="40"/>
        <v>0</v>
      </c>
      <c r="AI87" s="1">
        <f t="shared" si="40"/>
        <v>0</v>
      </c>
      <c r="AJ87" s="1">
        <f t="shared" si="40"/>
        <v>0</v>
      </c>
      <c r="AK87" s="1">
        <f t="shared" si="40"/>
        <v>0</v>
      </c>
      <c r="AL87" s="1">
        <f t="shared" si="40"/>
        <v>0</v>
      </c>
      <c r="AM87" s="1">
        <f t="shared" si="40"/>
        <v>0</v>
      </c>
      <c r="AN87" s="1">
        <f t="shared" si="40"/>
        <v>0</v>
      </c>
    </row>
    <row r="89" spans="25:41" x14ac:dyDescent="0.2">
      <c r="AB89" s="1" t="s">
        <v>109</v>
      </c>
      <c r="AD89" s="218">
        <f t="shared" ref="AD89:AO89" si="41">AD21</f>
        <v>0.45</v>
      </c>
      <c r="AE89" s="218">
        <f t="shared" si="41"/>
        <v>0.28000000000000003</v>
      </c>
      <c r="AF89" s="218">
        <f t="shared" si="41"/>
        <v>0.2</v>
      </c>
      <c r="AG89" s="218">
        <f t="shared" si="41"/>
        <v>0.08</v>
      </c>
      <c r="AH89" s="218">
        <f t="shared" si="41"/>
        <v>0.04</v>
      </c>
      <c r="AI89" s="218">
        <f t="shared" si="41"/>
        <v>2.5000000000000001E-2</v>
      </c>
      <c r="AJ89" s="218">
        <f t="shared" si="41"/>
        <v>2.5000000000000001E-2</v>
      </c>
      <c r="AK89" s="218">
        <f t="shared" si="41"/>
        <v>2.5000000000000001E-2</v>
      </c>
      <c r="AL89" s="218">
        <f t="shared" si="41"/>
        <v>2.5000000000000001E-2</v>
      </c>
      <c r="AM89" s="218">
        <f t="shared" si="41"/>
        <v>2.5000000000000001E-2</v>
      </c>
      <c r="AN89" s="218">
        <f t="shared" si="41"/>
        <v>2.5000000000000001E-2</v>
      </c>
      <c r="AO89" s="218">
        <f t="shared" si="41"/>
        <v>0</v>
      </c>
    </row>
    <row r="92" spans="25:41" x14ac:dyDescent="0.2">
      <c r="Y92" s="235" t="s">
        <v>13</v>
      </c>
      <c r="Z92" s="1">
        <f>C39</f>
        <v>173</v>
      </c>
      <c r="AB92" s="1" t="s">
        <v>103</v>
      </c>
      <c r="AD92" s="1" t="str">
        <f t="shared" ref="AD92:AN92" si="42">AD25</f>
        <v>0-40</v>
      </c>
      <c r="AE92" s="1" t="str">
        <f t="shared" si="42"/>
        <v>40-60</v>
      </c>
      <c r="AF92" s="1" t="str">
        <f t="shared" si="42"/>
        <v>60-80</v>
      </c>
      <c r="AG92" s="1" t="str">
        <f t="shared" si="42"/>
        <v>80-100</v>
      </c>
      <c r="AH92" s="1" t="str">
        <f t="shared" si="42"/>
        <v>100-150</v>
      </c>
      <c r="AI92" s="1" t="str">
        <f t="shared" si="42"/>
        <v>150-200</v>
      </c>
      <c r="AJ92" s="1" t="str">
        <f t="shared" si="42"/>
        <v>200-250</v>
      </c>
      <c r="AK92" s="1" t="str">
        <f t="shared" si="42"/>
        <v>250-350</v>
      </c>
      <c r="AL92" s="1" t="str">
        <f t="shared" si="42"/>
        <v>350-450</v>
      </c>
      <c r="AM92" s="1" t="str">
        <f t="shared" si="42"/>
        <v>450-650</v>
      </c>
      <c r="AN92" s="1" t="str">
        <f t="shared" si="42"/>
        <v>650-2000</v>
      </c>
    </row>
    <row r="93" spans="25:41" x14ac:dyDescent="0.2">
      <c r="AD93" s="1">
        <f t="shared" ref="AD93:AO93" si="43">AD18</f>
        <v>0</v>
      </c>
      <c r="AE93" s="1">
        <f t="shared" si="43"/>
        <v>40</v>
      </c>
      <c r="AF93" s="1">
        <f t="shared" si="43"/>
        <v>60</v>
      </c>
      <c r="AG93" s="1">
        <f t="shared" si="43"/>
        <v>80</v>
      </c>
      <c r="AH93" s="1">
        <f t="shared" si="43"/>
        <v>100</v>
      </c>
      <c r="AI93" s="1">
        <f t="shared" si="43"/>
        <v>150</v>
      </c>
      <c r="AJ93" s="1">
        <f t="shared" si="43"/>
        <v>200</v>
      </c>
      <c r="AK93" s="1">
        <f t="shared" si="43"/>
        <v>250</v>
      </c>
      <c r="AL93" s="1">
        <f t="shared" si="43"/>
        <v>350</v>
      </c>
      <c r="AM93" s="1">
        <f t="shared" si="43"/>
        <v>450</v>
      </c>
      <c r="AN93" s="1">
        <f t="shared" si="43"/>
        <v>650</v>
      </c>
      <c r="AO93" s="1">
        <f t="shared" si="43"/>
        <v>2000</v>
      </c>
    </row>
    <row r="94" spans="25:41" x14ac:dyDescent="0.2">
      <c r="Y94" s="235" t="s">
        <v>33</v>
      </c>
      <c r="Z94" s="1">
        <f>SUM(AD94:AO94)</f>
        <v>342598.05000000005</v>
      </c>
      <c r="AB94" s="1" t="s">
        <v>106</v>
      </c>
      <c r="AD94" s="1">
        <f>IF($Z$92&gt;AD93,(IF($Z$92-AE93&gt;0,(AE93-AD93)*$B$21*AD96,($Z$92-AD93)*$B$21*AD96)),0)</f>
        <v>194076</v>
      </c>
      <c r="AE94" s="1">
        <f t="shared" ref="AE94:AN94" si="44">IF($Z$92&gt;AE93,(IF($Z$92-AF93&gt;0,(AF93-AE93)*$B$21*AE96,($Z$92-AE93)*$B$21*AE96)),0)</f>
        <v>60379.200000000004</v>
      </c>
      <c r="AF94" s="1">
        <f t="shared" si="44"/>
        <v>43128</v>
      </c>
      <c r="AG94" s="1">
        <f t="shared" si="44"/>
        <v>17251.2</v>
      </c>
      <c r="AH94" s="1">
        <f t="shared" si="44"/>
        <v>21564</v>
      </c>
      <c r="AI94" s="1">
        <f t="shared" si="44"/>
        <v>6199.6500000000005</v>
      </c>
      <c r="AJ94" s="1">
        <f t="shared" si="44"/>
        <v>0</v>
      </c>
      <c r="AK94" s="1">
        <f t="shared" si="44"/>
        <v>0</v>
      </c>
      <c r="AL94" s="1">
        <f t="shared" si="44"/>
        <v>0</v>
      </c>
      <c r="AM94" s="1">
        <f t="shared" si="44"/>
        <v>0</v>
      </c>
      <c r="AN94" s="1">
        <f t="shared" si="44"/>
        <v>0</v>
      </c>
    </row>
    <row r="96" spans="25:41" x14ac:dyDescent="0.2">
      <c r="AB96" s="1" t="s">
        <v>109</v>
      </c>
      <c r="AD96" s="218">
        <f t="shared" ref="AD96:AO96" si="45">AD21</f>
        <v>0.45</v>
      </c>
      <c r="AE96" s="218">
        <f t="shared" si="45"/>
        <v>0.28000000000000003</v>
      </c>
      <c r="AF96" s="218">
        <f t="shared" si="45"/>
        <v>0.2</v>
      </c>
      <c r="AG96" s="218">
        <f t="shared" si="45"/>
        <v>0.08</v>
      </c>
      <c r="AH96" s="218">
        <f t="shared" si="45"/>
        <v>0.04</v>
      </c>
      <c r="AI96" s="218">
        <f t="shared" si="45"/>
        <v>2.5000000000000001E-2</v>
      </c>
      <c r="AJ96" s="218">
        <f t="shared" si="45"/>
        <v>2.5000000000000001E-2</v>
      </c>
      <c r="AK96" s="218">
        <f t="shared" si="45"/>
        <v>2.5000000000000001E-2</v>
      </c>
      <c r="AL96" s="218">
        <f t="shared" si="45"/>
        <v>2.5000000000000001E-2</v>
      </c>
      <c r="AM96" s="218">
        <f t="shared" si="45"/>
        <v>2.5000000000000001E-2</v>
      </c>
      <c r="AN96" s="218">
        <f t="shared" si="45"/>
        <v>2.5000000000000001E-2</v>
      </c>
      <c r="AO96" s="218">
        <f t="shared" si="45"/>
        <v>0</v>
      </c>
    </row>
    <row r="100" spans="8:41" x14ac:dyDescent="0.2">
      <c r="Y100" s="235" t="s">
        <v>17</v>
      </c>
      <c r="Z100" s="1">
        <f>C40</f>
        <v>275</v>
      </c>
      <c r="AB100" s="1" t="s">
        <v>103</v>
      </c>
      <c r="AD100" s="1" t="str">
        <f t="shared" ref="AD100:AN100" si="46">AD25</f>
        <v>0-40</v>
      </c>
      <c r="AE100" s="1" t="str">
        <f t="shared" si="46"/>
        <v>40-60</v>
      </c>
      <c r="AF100" s="1" t="str">
        <f t="shared" si="46"/>
        <v>60-80</v>
      </c>
      <c r="AG100" s="1" t="str">
        <f t="shared" si="46"/>
        <v>80-100</v>
      </c>
      <c r="AH100" s="1" t="str">
        <f t="shared" si="46"/>
        <v>100-150</v>
      </c>
      <c r="AI100" s="1" t="str">
        <f t="shared" si="46"/>
        <v>150-200</v>
      </c>
      <c r="AJ100" s="1" t="str">
        <f t="shared" si="46"/>
        <v>200-250</v>
      </c>
      <c r="AK100" s="1" t="str">
        <f t="shared" si="46"/>
        <v>250-350</v>
      </c>
      <c r="AL100" s="1" t="str">
        <f t="shared" si="46"/>
        <v>350-450</v>
      </c>
      <c r="AM100" s="1" t="str">
        <f t="shared" si="46"/>
        <v>450-650</v>
      </c>
      <c r="AN100" s="1" t="str">
        <f t="shared" si="46"/>
        <v>650-2000</v>
      </c>
    </row>
    <row r="101" spans="8:41" x14ac:dyDescent="0.2">
      <c r="AD101" s="1">
        <f t="shared" ref="AD101:AO101" si="47">AD18</f>
        <v>0</v>
      </c>
      <c r="AE101" s="1">
        <f t="shared" si="47"/>
        <v>40</v>
      </c>
      <c r="AF101" s="1">
        <f t="shared" si="47"/>
        <v>60</v>
      </c>
      <c r="AG101" s="1">
        <f t="shared" si="47"/>
        <v>80</v>
      </c>
      <c r="AH101" s="1">
        <f t="shared" si="47"/>
        <v>100</v>
      </c>
      <c r="AI101" s="1">
        <f t="shared" si="47"/>
        <v>150</v>
      </c>
      <c r="AJ101" s="1">
        <f t="shared" si="47"/>
        <v>200</v>
      </c>
      <c r="AK101" s="1">
        <f t="shared" si="47"/>
        <v>250</v>
      </c>
      <c r="AL101" s="1">
        <f t="shared" si="47"/>
        <v>350</v>
      </c>
      <c r="AM101" s="1">
        <f t="shared" si="47"/>
        <v>450</v>
      </c>
      <c r="AN101" s="1">
        <f t="shared" si="47"/>
        <v>650</v>
      </c>
      <c r="AO101" s="1">
        <f t="shared" si="47"/>
        <v>2000</v>
      </c>
    </row>
    <row r="102" spans="8:41" x14ac:dyDescent="0.2">
      <c r="Y102" s="235" t="s">
        <v>33</v>
      </c>
      <c r="Z102" s="1">
        <f>SUM(AD102:AO102)</f>
        <v>370092.15</v>
      </c>
      <c r="AB102" s="1" t="s">
        <v>106</v>
      </c>
      <c r="AD102" s="1">
        <f>IF($Z$100&gt;AD101,(IF($Z$100-AE101&gt;0,(AE101-AD101)*$B$21*AD104,($Z$100-AD101)*$B$21*AD104)),0)</f>
        <v>194076</v>
      </c>
      <c r="AE102" s="1">
        <f t="shared" ref="AE102:AN102" si="48">IF($Z$100&gt;AE101,(IF($Z$100-AF101&gt;0,(AF101-AE101)*$B$21*AE104,($Z$100-AE101)*$B$21*AE104)),0)</f>
        <v>60379.200000000004</v>
      </c>
      <c r="AF102" s="1">
        <f t="shared" si="48"/>
        <v>43128</v>
      </c>
      <c r="AG102" s="1">
        <f t="shared" si="48"/>
        <v>17251.2</v>
      </c>
      <c r="AH102" s="1">
        <f t="shared" si="48"/>
        <v>21564</v>
      </c>
      <c r="AI102" s="1">
        <f t="shared" si="48"/>
        <v>13477.5</v>
      </c>
      <c r="AJ102" s="1">
        <f t="shared" si="48"/>
        <v>13477.5</v>
      </c>
      <c r="AK102" s="1">
        <f t="shared" si="48"/>
        <v>6738.75</v>
      </c>
      <c r="AL102" s="1">
        <f t="shared" si="48"/>
        <v>0</v>
      </c>
      <c r="AM102" s="1">
        <f t="shared" si="48"/>
        <v>0</v>
      </c>
      <c r="AN102" s="1">
        <f t="shared" si="48"/>
        <v>0</v>
      </c>
    </row>
    <row r="104" spans="8:41" x14ac:dyDescent="0.2">
      <c r="H104" s="22"/>
      <c r="I104" s="22"/>
      <c r="J104" s="22"/>
      <c r="K104" s="22"/>
      <c r="L104" s="22"/>
      <c r="M104" s="22"/>
      <c r="N104" s="22"/>
      <c r="O104" s="22"/>
      <c r="P104" s="22"/>
      <c r="Q104" s="22"/>
      <c r="R104" s="22"/>
      <c r="S104" s="22"/>
      <c r="T104" s="22"/>
      <c r="U104" s="22"/>
      <c r="V104" s="22"/>
      <c r="W104" s="22"/>
      <c r="AB104" s="1" t="s">
        <v>109</v>
      </c>
      <c r="AD104" s="218">
        <f t="shared" ref="AD104:AO104" si="49">AD21</f>
        <v>0.45</v>
      </c>
      <c r="AE104" s="218">
        <f t="shared" si="49"/>
        <v>0.28000000000000003</v>
      </c>
      <c r="AF104" s="218">
        <f t="shared" si="49"/>
        <v>0.2</v>
      </c>
      <c r="AG104" s="218">
        <f t="shared" si="49"/>
        <v>0.08</v>
      </c>
      <c r="AH104" s="218">
        <f t="shared" si="49"/>
        <v>0.04</v>
      </c>
      <c r="AI104" s="218">
        <f t="shared" si="49"/>
        <v>2.5000000000000001E-2</v>
      </c>
      <c r="AJ104" s="218">
        <f t="shared" si="49"/>
        <v>2.5000000000000001E-2</v>
      </c>
      <c r="AK104" s="218">
        <f t="shared" si="49"/>
        <v>2.5000000000000001E-2</v>
      </c>
      <c r="AL104" s="218">
        <f t="shared" si="49"/>
        <v>2.5000000000000001E-2</v>
      </c>
      <c r="AM104" s="218">
        <f t="shared" si="49"/>
        <v>2.5000000000000001E-2</v>
      </c>
      <c r="AN104" s="218">
        <f t="shared" si="49"/>
        <v>2.5000000000000001E-2</v>
      </c>
      <c r="AO104" s="218">
        <f t="shared" si="49"/>
        <v>0</v>
      </c>
    </row>
    <row r="105" spans="8:41" x14ac:dyDescent="0.2">
      <c r="H105" s="22"/>
      <c r="I105" s="22"/>
      <c r="J105" s="22"/>
      <c r="K105" s="22"/>
      <c r="L105" s="22"/>
      <c r="M105" s="22"/>
      <c r="N105" s="22"/>
      <c r="O105" s="22"/>
      <c r="P105" s="22"/>
      <c r="Q105" s="22"/>
      <c r="R105" s="22"/>
      <c r="S105" s="22"/>
      <c r="T105" s="22"/>
      <c r="U105" s="22"/>
      <c r="V105" s="22"/>
      <c r="W105" s="22"/>
    </row>
    <row r="106" spans="8:41" x14ac:dyDescent="0.2">
      <c r="H106" s="22"/>
      <c r="I106" s="22"/>
      <c r="J106" s="22"/>
      <c r="K106" s="22"/>
      <c r="L106" s="22"/>
      <c r="M106" s="22"/>
      <c r="N106" s="22"/>
      <c r="O106" s="22"/>
      <c r="P106" s="22"/>
      <c r="Q106" s="22"/>
      <c r="R106" s="22"/>
      <c r="S106" s="22"/>
      <c r="T106" s="22"/>
      <c r="U106" s="22"/>
      <c r="V106" s="22"/>
      <c r="W106" s="22"/>
    </row>
    <row r="107" spans="8:41" x14ac:dyDescent="0.2">
      <c r="Y107" s="235" t="s">
        <v>19</v>
      </c>
      <c r="Z107" s="1">
        <f>C41</f>
        <v>208</v>
      </c>
      <c r="AB107" s="1" t="s">
        <v>103</v>
      </c>
      <c r="AD107" s="1" t="str">
        <f t="shared" ref="AD107:AN107" si="50">AD25</f>
        <v>0-40</v>
      </c>
      <c r="AE107" s="1" t="str">
        <f t="shared" si="50"/>
        <v>40-60</v>
      </c>
      <c r="AF107" s="1" t="str">
        <f t="shared" si="50"/>
        <v>60-80</v>
      </c>
      <c r="AG107" s="1" t="str">
        <f t="shared" si="50"/>
        <v>80-100</v>
      </c>
      <c r="AH107" s="1" t="str">
        <f t="shared" si="50"/>
        <v>100-150</v>
      </c>
      <c r="AI107" s="1" t="str">
        <f t="shared" si="50"/>
        <v>150-200</v>
      </c>
      <c r="AJ107" s="1" t="str">
        <f t="shared" si="50"/>
        <v>200-250</v>
      </c>
      <c r="AK107" s="1" t="str">
        <f t="shared" si="50"/>
        <v>250-350</v>
      </c>
      <c r="AL107" s="1" t="str">
        <f t="shared" si="50"/>
        <v>350-450</v>
      </c>
      <c r="AM107" s="1" t="str">
        <f t="shared" si="50"/>
        <v>450-650</v>
      </c>
      <c r="AN107" s="1" t="str">
        <f t="shared" si="50"/>
        <v>650-2000</v>
      </c>
    </row>
    <row r="108" spans="8:41" x14ac:dyDescent="0.2">
      <c r="H108" s="22"/>
      <c r="I108" s="22"/>
      <c r="J108" s="22"/>
      <c r="K108" s="22"/>
      <c r="L108" s="22"/>
      <c r="M108" s="22"/>
      <c r="N108" s="22"/>
      <c r="O108" s="22"/>
      <c r="P108" s="22"/>
      <c r="Q108" s="22"/>
      <c r="R108" s="22"/>
      <c r="S108" s="22"/>
      <c r="T108" s="22"/>
      <c r="U108" s="22"/>
      <c r="V108" s="22"/>
      <c r="W108" s="22"/>
      <c r="AD108" s="1">
        <f t="shared" ref="AD108:AO108" si="51">AD18</f>
        <v>0</v>
      </c>
      <c r="AE108" s="1">
        <f t="shared" si="51"/>
        <v>40</v>
      </c>
      <c r="AF108" s="1">
        <f t="shared" si="51"/>
        <v>60</v>
      </c>
      <c r="AG108" s="1">
        <f t="shared" si="51"/>
        <v>80</v>
      </c>
      <c r="AH108" s="1">
        <f t="shared" si="51"/>
        <v>100</v>
      </c>
      <c r="AI108" s="1">
        <f t="shared" si="51"/>
        <v>150</v>
      </c>
      <c r="AJ108" s="1">
        <f t="shared" si="51"/>
        <v>200</v>
      </c>
      <c r="AK108" s="1">
        <f t="shared" si="51"/>
        <v>250</v>
      </c>
      <c r="AL108" s="1">
        <f t="shared" si="51"/>
        <v>350</v>
      </c>
      <c r="AM108" s="1">
        <f t="shared" si="51"/>
        <v>450</v>
      </c>
      <c r="AN108" s="1">
        <f t="shared" si="51"/>
        <v>650</v>
      </c>
      <c r="AO108" s="1">
        <f t="shared" si="51"/>
        <v>2000</v>
      </c>
    </row>
    <row r="109" spans="8:41" x14ac:dyDescent="0.2">
      <c r="Y109" s="235" t="s">
        <v>33</v>
      </c>
      <c r="Z109" s="1">
        <f>SUM(AD109:AO109)</f>
        <v>352032.30000000005</v>
      </c>
      <c r="AB109" s="1" t="s">
        <v>106</v>
      </c>
      <c r="AD109" s="1">
        <f>IF($Z$107&gt;AD108,(IF($Z$107-AE108&gt;0,(AE108-AD108)*$B$21*AD111,($Z$107-AD108)*$B$21*AD111)),0)</f>
        <v>194076</v>
      </c>
      <c r="AE109" s="1">
        <f t="shared" ref="AE109:AN109" si="52">IF($Z$107&gt;AE108,(IF($Z$107-AF108&gt;0,(AF108-AE108)*$B$21*AE111,($Z$107-AE108)*$B$21*AE111)),0)</f>
        <v>60379.200000000004</v>
      </c>
      <c r="AF109" s="1">
        <f t="shared" si="52"/>
        <v>43128</v>
      </c>
      <c r="AG109" s="1">
        <f t="shared" si="52"/>
        <v>17251.2</v>
      </c>
      <c r="AH109" s="1">
        <f t="shared" si="52"/>
        <v>21564</v>
      </c>
      <c r="AI109" s="1">
        <f t="shared" si="52"/>
        <v>13477.5</v>
      </c>
      <c r="AJ109" s="1">
        <f t="shared" si="52"/>
        <v>2156.4</v>
      </c>
      <c r="AK109" s="1">
        <f t="shared" si="52"/>
        <v>0</v>
      </c>
      <c r="AL109" s="1">
        <f t="shared" si="52"/>
        <v>0</v>
      </c>
      <c r="AM109" s="1">
        <f t="shared" si="52"/>
        <v>0</v>
      </c>
      <c r="AN109" s="1">
        <f t="shared" si="52"/>
        <v>0</v>
      </c>
    </row>
    <row r="111" spans="8:41" x14ac:dyDescent="0.2">
      <c r="AB111" s="1" t="s">
        <v>109</v>
      </c>
      <c r="AD111" s="218">
        <f t="shared" ref="AD111:AO111" si="53">AD21</f>
        <v>0.45</v>
      </c>
      <c r="AE111" s="218">
        <f t="shared" si="53"/>
        <v>0.28000000000000003</v>
      </c>
      <c r="AF111" s="218">
        <f t="shared" si="53"/>
        <v>0.2</v>
      </c>
      <c r="AG111" s="218">
        <f t="shared" si="53"/>
        <v>0.08</v>
      </c>
      <c r="AH111" s="218">
        <f t="shared" si="53"/>
        <v>0.04</v>
      </c>
      <c r="AI111" s="218">
        <f t="shared" si="53"/>
        <v>2.5000000000000001E-2</v>
      </c>
      <c r="AJ111" s="218">
        <f t="shared" si="53"/>
        <v>2.5000000000000001E-2</v>
      </c>
      <c r="AK111" s="218">
        <f t="shared" si="53"/>
        <v>2.5000000000000001E-2</v>
      </c>
      <c r="AL111" s="218">
        <f t="shared" si="53"/>
        <v>2.5000000000000001E-2</v>
      </c>
      <c r="AM111" s="218">
        <f t="shared" si="53"/>
        <v>2.5000000000000001E-2</v>
      </c>
      <c r="AN111" s="218">
        <f t="shared" si="53"/>
        <v>2.5000000000000001E-2</v>
      </c>
      <c r="AO111" s="218">
        <f t="shared" si="53"/>
        <v>0</v>
      </c>
    </row>
    <row r="115" spans="7:41" x14ac:dyDescent="0.2">
      <c r="H115" s="22"/>
      <c r="Y115" s="235" t="s">
        <v>10</v>
      </c>
      <c r="Z115" s="1">
        <f>C42</f>
        <v>318</v>
      </c>
      <c r="AB115" s="1" t="s">
        <v>103</v>
      </c>
      <c r="AD115" s="1" t="str">
        <f t="shared" ref="AD115:AN115" si="54">AD25</f>
        <v>0-40</v>
      </c>
      <c r="AE115" s="1" t="str">
        <f t="shared" si="54"/>
        <v>40-60</v>
      </c>
      <c r="AF115" s="1" t="str">
        <f t="shared" si="54"/>
        <v>60-80</v>
      </c>
      <c r="AG115" s="1" t="str">
        <f t="shared" si="54"/>
        <v>80-100</v>
      </c>
      <c r="AH115" s="1" t="str">
        <f t="shared" si="54"/>
        <v>100-150</v>
      </c>
      <c r="AI115" s="1" t="str">
        <f t="shared" si="54"/>
        <v>150-200</v>
      </c>
      <c r="AJ115" s="1" t="str">
        <f t="shared" si="54"/>
        <v>200-250</v>
      </c>
      <c r="AK115" s="1" t="str">
        <f t="shared" si="54"/>
        <v>250-350</v>
      </c>
      <c r="AL115" s="1" t="str">
        <f t="shared" si="54"/>
        <v>350-450</v>
      </c>
      <c r="AM115" s="1" t="str">
        <f t="shared" si="54"/>
        <v>450-650</v>
      </c>
      <c r="AN115" s="1" t="str">
        <f t="shared" si="54"/>
        <v>650-2000</v>
      </c>
    </row>
    <row r="116" spans="7:41" x14ac:dyDescent="0.2">
      <c r="AD116" s="1">
        <f t="shared" ref="AD116:AO116" si="55">AD18</f>
        <v>0</v>
      </c>
      <c r="AE116" s="1">
        <f t="shared" si="55"/>
        <v>40</v>
      </c>
      <c r="AF116" s="1">
        <f t="shared" si="55"/>
        <v>60</v>
      </c>
      <c r="AG116" s="1">
        <f t="shared" si="55"/>
        <v>80</v>
      </c>
      <c r="AH116" s="1">
        <f t="shared" si="55"/>
        <v>100</v>
      </c>
      <c r="AI116" s="1">
        <f t="shared" si="55"/>
        <v>150</v>
      </c>
      <c r="AJ116" s="1">
        <f t="shared" si="55"/>
        <v>200</v>
      </c>
      <c r="AK116" s="1">
        <f t="shared" si="55"/>
        <v>250</v>
      </c>
      <c r="AL116" s="1">
        <f t="shared" si="55"/>
        <v>350</v>
      </c>
      <c r="AM116" s="1">
        <f t="shared" si="55"/>
        <v>450</v>
      </c>
      <c r="AN116" s="1">
        <f t="shared" si="55"/>
        <v>650</v>
      </c>
      <c r="AO116" s="1">
        <f t="shared" si="55"/>
        <v>2000</v>
      </c>
    </row>
    <row r="117" spans="7:41" x14ac:dyDescent="0.2">
      <c r="Y117" s="235" t="s">
        <v>33</v>
      </c>
      <c r="Z117" s="1">
        <f>SUM(AD117:AO117)</f>
        <v>381682.80000000005</v>
      </c>
      <c r="AB117" s="1" t="s">
        <v>106</v>
      </c>
      <c r="AD117" s="1">
        <f>IF($Z$115&gt;AD116,(IF($Z$115-AE116&gt;0,(AE116-AD116)*$B$21*AD119,($Z$115-AD116)*$B$21*AD119)),0)</f>
        <v>194076</v>
      </c>
      <c r="AE117" s="1">
        <f t="shared" ref="AE117:AN117" si="56">IF($Z$115&gt;AE116,(IF($Z$115-AF116&gt;0,(AF116-AE116)*$B$21*AE119,($Z$115-AE116)*$B$21*AE119)),0)</f>
        <v>60379.200000000004</v>
      </c>
      <c r="AF117" s="1">
        <f t="shared" si="56"/>
        <v>43128</v>
      </c>
      <c r="AG117" s="1">
        <f t="shared" si="56"/>
        <v>17251.2</v>
      </c>
      <c r="AH117" s="1">
        <f t="shared" si="56"/>
        <v>21564</v>
      </c>
      <c r="AI117" s="1">
        <f t="shared" si="56"/>
        <v>13477.5</v>
      </c>
      <c r="AJ117" s="1">
        <f t="shared" si="56"/>
        <v>13477.5</v>
      </c>
      <c r="AK117" s="1">
        <f t="shared" si="56"/>
        <v>18329.400000000001</v>
      </c>
      <c r="AL117" s="1">
        <f t="shared" si="56"/>
        <v>0</v>
      </c>
      <c r="AM117" s="1">
        <f t="shared" si="56"/>
        <v>0</v>
      </c>
      <c r="AN117" s="1">
        <f t="shared" si="56"/>
        <v>0</v>
      </c>
    </row>
    <row r="119" spans="7:41" x14ac:dyDescent="0.2">
      <c r="AB119" s="1" t="s">
        <v>109</v>
      </c>
      <c r="AD119" s="218">
        <f t="shared" ref="AD119:AO119" si="57">AD21</f>
        <v>0.45</v>
      </c>
      <c r="AE119" s="218">
        <f t="shared" si="57"/>
        <v>0.28000000000000003</v>
      </c>
      <c r="AF119" s="218">
        <f t="shared" si="57"/>
        <v>0.2</v>
      </c>
      <c r="AG119" s="218">
        <f t="shared" si="57"/>
        <v>0.08</v>
      </c>
      <c r="AH119" s="218">
        <f t="shared" si="57"/>
        <v>0.04</v>
      </c>
      <c r="AI119" s="218">
        <f t="shared" si="57"/>
        <v>2.5000000000000001E-2</v>
      </c>
      <c r="AJ119" s="218">
        <f t="shared" si="57"/>
        <v>2.5000000000000001E-2</v>
      </c>
      <c r="AK119" s="218">
        <f t="shared" si="57"/>
        <v>2.5000000000000001E-2</v>
      </c>
      <c r="AL119" s="218">
        <f t="shared" si="57"/>
        <v>2.5000000000000001E-2</v>
      </c>
      <c r="AM119" s="218">
        <f t="shared" si="57"/>
        <v>2.5000000000000001E-2</v>
      </c>
      <c r="AN119" s="218">
        <f t="shared" si="57"/>
        <v>2.5000000000000001E-2</v>
      </c>
      <c r="AO119" s="218">
        <f t="shared" si="57"/>
        <v>0</v>
      </c>
    </row>
    <row r="122" spans="7:41" x14ac:dyDescent="0.2">
      <c r="H122" s="22"/>
      <c r="I122" s="22"/>
      <c r="J122" s="22"/>
      <c r="K122" s="22"/>
      <c r="L122" s="22"/>
      <c r="M122" s="22"/>
      <c r="N122" s="22"/>
      <c r="O122" s="22"/>
      <c r="P122" s="22"/>
      <c r="Q122" s="22"/>
      <c r="R122" s="22"/>
      <c r="S122" s="22"/>
      <c r="T122" s="22"/>
      <c r="U122" s="22"/>
      <c r="V122" s="22"/>
      <c r="W122" s="22"/>
      <c r="Y122" s="235" t="s">
        <v>14</v>
      </c>
      <c r="Z122" s="1">
        <f>C43</f>
        <v>565</v>
      </c>
      <c r="AB122" s="1" t="s">
        <v>103</v>
      </c>
      <c r="AD122" s="1" t="str">
        <f t="shared" ref="AD122:AN122" si="58">AD25</f>
        <v>0-40</v>
      </c>
      <c r="AE122" s="1" t="str">
        <f t="shared" si="58"/>
        <v>40-60</v>
      </c>
      <c r="AF122" s="1" t="str">
        <f t="shared" si="58"/>
        <v>60-80</v>
      </c>
      <c r="AG122" s="1" t="str">
        <f t="shared" si="58"/>
        <v>80-100</v>
      </c>
      <c r="AH122" s="1" t="str">
        <f t="shared" si="58"/>
        <v>100-150</v>
      </c>
      <c r="AI122" s="1" t="str">
        <f t="shared" si="58"/>
        <v>150-200</v>
      </c>
      <c r="AJ122" s="1" t="str">
        <f t="shared" si="58"/>
        <v>200-250</v>
      </c>
      <c r="AK122" s="1" t="str">
        <f t="shared" si="58"/>
        <v>250-350</v>
      </c>
      <c r="AL122" s="1" t="str">
        <f t="shared" si="58"/>
        <v>350-450</v>
      </c>
      <c r="AM122" s="1" t="str">
        <f t="shared" si="58"/>
        <v>450-650</v>
      </c>
      <c r="AN122" s="1" t="str">
        <f t="shared" si="58"/>
        <v>650-2000</v>
      </c>
    </row>
    <row r="123" spans="7:41" x14ac:dyDescent="0.2">
      <c r="H123" s="22"/>
      <c r="I123" s="22"/>
      <c r="J123" s="22"/>
      <c r="K123" s="22"/>
      <c r="L123" s="22"/>
      <c r="M123" s="22"/>
      <c r="N123" s="22"/>
      <c r="O123" s="22"/>
      <c r="P123" s="22"/>
      <c r="Q123" s="22"/>
      <c r="R123" s="22"/>
      <c r="S123" s="22"/>
      <c r="T123" s="22"/>
      <c r="U123" s="22"/>
      <c r="V123" s="22"/>
      <c r="W123" s="22"/>
      <c r="AD123" s="1">
        <f t="shared" ref="AD123:AO123" si="59">AD18</f>
        <v>0</v>
      </c>
      <c r="AE123" s="1">
        <f t="shared" si="59"/>
        <v>40</v>
      </c>
      <c r="AF123" s="1">
        <f t="shared" si="59"/>
        <v>60</v>
      </c>
      <c r="AG123" s="1">
        <f t="shared" si="59"/>
        <v>80</v>
      </c>
      <c r="AH123" s="1">
        <f t="shared" si="59"/>
        <v>100</v>
      </c>
      <c r="AI123" s="1">
        <f t="shared" si="59"/>
        <v>150</v>
      </c>
      <c r="AJ123" s="1">
        <f t="shared" si="59"/>
        <v>200</v>
      </c>
      <c r="AK123" s="1">
        <f t="shared" si="59"/>
        <v>250</v>
      </c>
      <c r="AL123" s="1">
        <f t="shared" si="59"/>
        <v>350</v>
      </c>
      <c r="AM123" s="1">
        <f t="shared" si="59"/>
        <v>450</v>
      </c>
      <c r="AN123" s="1">
        <f t="shared" si="59"/>
        <v>650</v>
      </c>
      <c r="AO123" s="1">
        <f t="shared" si="59"/>
        <v>2000</v>
      </c>
    </row>
    <row r="124" spans="7:41" x14ac:dyDescent="0.2">
      <c r="Y124" s="235" t="s">
        <v>33</v>
      </c>
      <c r="Z124" s="1">
        <f>SUM(AD124:AO124)</f>
        <v>448261.65</v>
      </c>
      <c r="AB124" s="1" t="s">
        <v>106</v>
      </c>
      <c r="AD124" s="1">
        <f>IF($Z$122&gt;AD123,(IF($Z$122-AE123&gt;0,(AE123-AD123)*$B$21*AD126,($Z$122-AD123)*$B$21*AD126)),0)</f>
        <v>194076</v>
      </c>
      <c r="AE124" s="1">
        <f t="shared" ref="AE124:AN124" si="60">IF($Z$122&gt;AE123,(IF($Z$122-AF123&gt;0,(AF123-AE123)*$B$21*AE126,($Z$122-AE123)*$B$21*AE126)),0)</f>
        <v>60379.200000000004</v>
      </c>
      <c r="AF124" s="1">
        <f t="shared" si="60"/>
        <v>43128</v>
      </c>
      <c r="AG124" s="1">
        <f t="shared" si="60"/>
        <v>17251.2</v>
      </c>
      <c r="AH124" s="1">
        <f t="shared" si="60"/>
        <v>21564</v>
      </c>
      <c r="AI124" s="1">
        <f t="shared" si="60"/>
        <v>13477.5</v>
      </c>
      <c r="AJ124" s="1">
        <f t="shared" si="60"/>
        <v>13477.5</v>
      </c>
      <c r="AK124" s="1">
        <f t="shared" si="60"/>
        <v>26955</v>
      </c>
      <c r="AL124" s="1">
        <f t="shared" si="60"/>
        <v>26955</v>
      </c>
      <c r="AM124" s="1">
        <f t="shared" si="60"/>
        <v>30998.25</v>
      </c>
      <c r="AN124" s="1">
        <f t="shared" si="60"/>
        <v>0</v>
      </c>
    </row>
    <row r="125" spans="7:41" x14ac:dyDescent="0.2">
      <c r="G125" s="24"/>
      <c r="H125" s="281"/>
      <c r="I125" s="281"/>
      <c r="J125" s="281"/>
      <c r="K125" s="281"/>
      <c r="L125" s="281"/>
      <c r="M125" s="281"/>
      <c r="N125" s="281"/>
      <c r="O125" s="281"/>
      <c r="P125" s="281"/>
      <c r="Q125" s="281"/>
      <c r="R125" s="281"/>
      <c r="S125" s="281"/>
      <c r="T125" s="281"/>
      <c r="U125" s="281"/>
      <c r="V125" s="281"/>
      <c r="W125" s="281"/>
    </row>
    <row r="126" spans="7:41" x14ac:dyDescent="0.2">
      <c r="H126" s="25"/>
      <c r="I126" s="25"/>
      <c r="J126" s="25"/>
      <c r="K126" s="25"/>
      <c r="L126" s="25"/>
      <c r="M126" s="25"/>
      <c r="N126" s="25"/>
      <c r="O126" s="25"/>
      <c r="P126" s="25"/>
      <c r="Q126" s="25"/>
      <c r="R126" s="25"/>
      <c r="S126" s="25"/>
      <c r="T126" s="25"/>
      <c r="U126" s="25"/>
      <c r="V126" s="25"/>
      <c r="W126" s="25"/>
      <c r="AB126" s="1" t="s">
        <v>109</v>
      </c>
      <c r="AD126" s="218">
        <f t="shared" ref="AD126:AO126" si="61">AD21</f>
        <v>0.45</v>
      </c>
      <c r="AE126" s="218">
        <f t="shared" si="61"/>
        <v>0.28000000000000003</v>
      </c>
      <c r="AF126" s="218">
        <f t="shared" si="61"/>
        <v>0.2</v>
      </c>
      <c r="AG126" s="218">
        <f t="shared" si="61"/>
        <v>0.08</v>
      </c>
      <c r="AH126" s="218">
        <f t="shared" si="61"/>
        <v>0.04</v>
      </c>
      <c r="AI126" s="218">
        <f t="shared" si="61"/>
        <v>2.5000000000000001E-2</v>
      </c>
      <c r="AJ126" s="218">
        <f t="shared" si="61"/>
        <v>2.5000000000000001E-2</v>
      </c>
      <c r="AK126" s="218">
        <f t="shared" si="61"/>
        <v>2.5000000000000001E-2</v>
      </c>
      <c r="AL126" s="218">
        <f t="shared" si="61"/>
        <v>2.5000000000000001E-2</v>
      </c>
      <c r="AM126" s="218">
        <f t="shared" si="61"/>
        <v>2.5000000000000001E-2</v>
      </c>
      <c r="AN126" s="218">
        <f t="shared" si="61"/>
        <v>2.5000000000000001E-2</v>
      </c>
      <c r="AO126" s="218">
        <f t="shared" si="61"/>
        <v>0</v>
      </c>
    </row>
    <row r="127" spans="7:41" x14ac:dyDescent="0.2">
      <c r="H127" s="115"/>
      <c r="I127" s="115"/>
      <c r="J127" s="115"/>
      <c r="K127" s="115"/>
      <c r="L127" s="115"/>
      <c r="M127" s="115"/>
      <c r="N127" s="115"/>
      <c r="O127" s="115"/>
      <c r="P127" s="115"/>
      <c r="Q127" s="115"/>
      <c r="R127" s="115"/>
      <c r="S127" s="115"/>
      <c r="T127" s="115"/>
      <c r="U127" s="115"/>
      <c r="V127" s="115"/>
      <c r="W127" s="115"/>
    </row>
    <row r="130" spans="25:41" x14ac:dyDescent="0.2">
      <c r="Y130" s="235" t="s">
        <v>23</v>
      </c>
      <c r="Z130" s="1">
        <f>C44</f>
        <v>1080</v>
      </c>
      <c r="AB130" s="1" t="s">
        <v>103</v>
      </c>
      <c r="AD130" s="1" t="str">
        <f t="shared" ref="AD130:AN130" si="62">AD122</f>
        <v>0-40</v>
      </c>
      <c r="AE130" s="1" t="str">
        <f t="shared" si="62"/>
        <v>40-60</v>
      </c>
      <c r="AF130" s="1" t="str">
        <f t="shared" si="62"/>
        <v>60-80</v>
      </c>
      <c r="AG130" s="1" t="str">
        <f t="shared" si="62"/>
        <v>80-100</v>
      </c>
      <c r="AH130" s="1" t="str">
        <f t="shared" si="62"/>
        <v>100-150</v>
      </c>
      <c r="AI130" s="1" t="str">
        <f t="shared" si="62"/>
        <v>150-200</v>
      </c>
      <c r="AJ130" s="1" t="str">
        <f t="shared" si="62"/>
        <v>200-250</v>
      </c>
      <c r="AK130" s="1" t="str">
        <f t="shared" si="62"/>
        <v>250-350</v>
      </c>
      <c r="AL130" s="1" t="str">
        <f t="shared" si="62"/>
        <v>350-450</v>
      </c>
      <c r="AM130" s="1" t="str">
        <f t="shared" si="62"/>
        <v>450-650</v>
      </c>
      <c r="AN130" s="1" t="str">
        <f t="shared" si="62"/>
        <v>650-2000</v>
      </c>
    </row>
    <row r="131" spans="25:41" x14ac:dyDescent="0.2">
      <c r="AD131" s="1">
        <f t="shared" ref="AD131:AO131" si="63">AD18</f>
        <v>0</v>
      </c>
      <c r="AE131" s="1">
        <f t="shared" si="63"/>
        <v>40</v>
      </c>
      <c r="AF131" s="1">
        <f t="shared" si="63"/>
        <v>60</v>
      </c>
      <c r="AG131" s="1">
        <f t="shared" si="63"/>
        <v>80</v>
      </c>
      <c r="AH131" s="1">
        <f t="shared" si="63"/>
        <v>100</v>
      </c>
      <c r="AI131" s="1">
        <f t="shared" si="63"/>
        <v>150</v>
      </c>
      <c r="AJ131" s="1">
        <f t="shared" si="63"/>
        <v>200</v>
      </c>
      <c r="AK131" s="1">
        <f t="shared" si="63"/>
        <v>250</v>
      </c>
      <c r="AL131" s="1">
        <f t="shared" si="63"/>
        <v>350</v>
      </c>
      <c r="AM131" s="1">
        <f t="shared" si="63"/>
        <v>450</v>
      </c>
      <c r="AN131" s="1">
        <f t="shared" si="63"/>
        <v>650</v>
      </c>
      <c r="AO131" s="1">
        <f t="shared" si="63"/>
        <v>2000</v>
      </c>
    </row>
    <row r="132" spans="25:41" x14ac:dyDescent="0.2">
      <c r="Y132" s="235" t="s">
        <v>33</v>
      </c>
      <c r="Z132" s="1">
        <f>SUM(AD132:AO132)</f>
        <v>587079.9</v>
      </c>
      <c r="AB132" s="1" t="s">
        <v>106</v>
      </c>
      <c r="AD132" s="1">
        <f>IF($Z$130&gt;AD131,(IF($Z$130-AE131&gt;0,(AE131-AD131)*$B$21*AD134,($Z$130-AD131)*$B$21*AD134)),0)</f>
        <v>194076</v>
      </c>
      <c r="AE132" s="1">
        <f t="shared" ref="AE132:AN132" si="64">IF($Z$130&gt;AE131,(IF($Z$130-AF131&gt;0,(AF131-AE131)*$B$21*AE134,($Z$130-AE131)*$B$21*AE134)),0)</f>
        <v>60379.200000000004</v>
      </c>
      <c r="AF132" s="1">
        <f t="shared" si="64"/>
        <v>43128</v>
      </c>
      <c r="AG132" s="1">
        <f t="shared" si="64"/>
        <v>17251.2</v>
      </c>
      <c r="AH132" s="1">
        <f t="shared" si="64"/>
        <v>21564</v>
      </c>
      <c r="AI132" s="1">
        <f t="shared" si="64"/>
        <v>13477.5</v>
      </c>
      <c r="AJ132" s="1">
        <f t="shared" si="64"/>
        <v>13477.5</v>
      </c>
      <c r="AK132" s="1">
        <f t="shared" si="64"/>
        <v>26955</v>
      </c>
      <c r="AL132" s="1">
        <f t="shared" si="64"/>
        <v>26955</v>
      </c>
      <c r="AM132" s="1">
        <f t="shared" si="64"/>
        <v>53910</v>
      </c>
      <c r="AN132" s="1">
        <f t="shared" si="64"/>
        <v>115906.5</v>
      </c>
    </row>
    <row r="134" spans="25:41" x14ac:dyDescent="0.2">
      <c r="AB134" s="1" t="s">
        <v>109</v>
      </c>
      <c r="AD134" s="218">
        <f t="shared" ref="AD134:AO134" si="65">AD21</f>
        <v>0.45</v>
      </c>
      <c r="AE134" s="218">
        <f t="shared" si="65"/>
        <v>0.28000000000000003</v>
      </c>
      <c r="AF134" s="218">
        <f t="shared" si="65"/>
        <v>0.2</v>
      </c>
      <c r="AG134" s="218">
        <f t="shared" si="65"/>
        <v>0.08</v>
      </c>
      <c r="AH134" s="218">
        <f t="shared" si="65"/>
        <v>0.04</v>
      </c>
      <c r="AI134" s="218">
        <f t="shared" si="65"/>
        <v>2.5000000000000001E-2</v>
      </c>
      <c r="AJ134" s="218">
        <f t="shared" si="65"/>
        <v>2.5000000000000001E-2</v>
      </c>
      <c r="AK134" s="218">
        <f t="shared" si="65"/>
        <v>2.5000000000000001E-2</v>
      </c>
      <c r="AL134" s="218">
        <f t="shared" si="65"/>
        <v>2.5000000000000001E-2</v>
      </c>
      <c r="AM134" s="218">
        <f t="shared" si="65"/>
        <v>2.5000000000000001E-2</v>
      </c>
      <c r="AN134" s="218">
        <f t="shared" si="65"/>
        <v>2.5000000000000001E-2</v>
      </c>
      <c r="AO134" s="218">
        <f t="shared" si="65"/>
        <v>0</v>
      </c>
    </row>
    <row r="137" spans="25:41" x14ac:dyDescent="0.2">
      <c r="Y137" s="235" t="s">
        <v>138</v>
      </c>
      <c r="Z137" s="1">
        <f>SUM(Z130+Z122+Z115+Z107+Z100+Z92+Z85+Z77+Z70+Z62+Z55+Z47+Z40+Z32+Z25+Z17)</f>
        <v>3138</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AO137"/>
  <sheetViews>
    <sheetView topLeftCell="A25" zoomScale="70" zoomScaleNormal="70" workbookViewId="0">
      <selection activeCell="J61" sqref="J61"/>
    </sheetView>
  </sheetViews>
  <sheetFormatPr defaultColWidth="8.88671875" defaultRowHeight="15" x14ac:dyDescent="0.2"/>
  <cols>
    <col min="1" max="1" width="8.88671875" style="1"/>
    <col min="2" max="2" width="14.88671875" style="1" customWidth="1"/>
    <col min="3" max="3" width="8.88671875" style="1"/>
    <col min="4" max="4" width="12" style="1" customWidth="1"/>
    <col min="5" max="6" width="8.88671875" style="1"/>
    <col min="7" max="7" width="18.6640625" style="1" customWidth="1"/>
    <col min="8" max="8" width="12.109375" style="1" customWidth="1"/>
    <col min="9" max="9" width="19.44140625" style="1" customWidth="1"/>
    <col min="10" max="10" width="22.88671875" style="1" customWidth="1"/>
    <col min="11" max="11" width="7.33203125" style="1" customWidth="1"/>
    <col min="12" max="12" width="7.88671875" style="1" customWidth="1"/>
    <col min="13" max="13" width="10.77734375" style="1" customWidth="1"/>
    <col min="14" max="19" width="10.44140625" style="1" bestFit="1" customWidth="1"/>
    <col min="20" max="22" width="8.88671875" style="1"/>
    <col min="23" max="23" width="11.109375" style="1" customWidth="1"/>
    <col min="24" max="24" width="8.88671875" style="1"/>
    <col min="25" max="25" width="8.88671875" style="235"/>
    <col min="26" max="31" width="8.88671875" style="1"/>
    <col min="32" max="32" width="13.109375" style="1" customWidth="1"/>
    <col min="33" max="16384" width="8.88671875" style="1"/>
  </cols>
  <sheetData>
    <row r="15" spans="2:2" ht="16.5" thickBot="1" x14ac:dyDescent="0.3">
      <c r="B15" s="234" t="s">
        <v>101</v>
      </c>
    </row>
    <row r="17" spans="1:41" x14ac:dyDescent="0.2">
      <c r="B17" s="1" t="s">
        <v>460</v>
      </c>
      <c r="Y17" s="235" t="s">
        <v>102</v>
      </c>
      <c r="Z17" s="1">
        <f>C29</f>
        <v>52</v>
      </c>
      <c r="AB17" s="1" t="s">
        <v>103</v>
      </c>
      <c r="AD17" s="1" t="str">
        <f>I23</f>
        <v>0-40</v>
      </c>
      <c r="AE17" s="1" t="str">
        <f t="shared" ref="AE17:AN17" si="0">J23</f>
        <v>40-60</v>
      </c>
      <c r="AF17" s="1" t="str">
        <f t="shared" si="0"/>
        <v>60-80</v>
      </c>
      <c r="AG17" s="1" t="str">
        <f t="shared" si="0"/>
        <v>80-100</v>
      </c>
      <c r="AH17" s="1" t="str">
        <f t="shared" si="0"/>
        <v>100-150</v>
      </c>
      <c r="AI17" s="1" t="str">
        <f t="shared" si="0"/>
        <v>150-200</v>
      </c>
      <c r="AJ17" s="1" t="str">
        <f t="shared" si="0"/>
        <v>200-250</v>
      </c>
      <c r="AK17" s="1" t="str">
        <f t="shared" si="0"/>
        <v>250-350</v>
      </c>
      <c r="AL17" s="1" t="str">
        <f t="shared" si="0"/>
        <v>350-450</v>
      </c>
      <c r="AM17" s="1" t="str">
        <f t="shared" si="0"/>
        <v>450-650</v>
      </c>
      <c r="AN17" s="1" t="str">
        <f t="shared" si="0"/>
        <v>650-2000</v>
      </c>
    </row>
    <row r="18" spans="1:41" ht="16.5" thickBot="1" x14ac:dyDescent="0.3">
      <c r="G18" s="5" t="s">
        <v>104</v>
      </c>
      <c r="AD18" s="1">
        <f t="shared" ref="AD18:AO18" si="1">I24</f>
        <v>0</v>
      </c>
      <c r="AE18" s="1">
        <f t="shared" si="1"/>
        <v>40</v>
      </c>
      <c r="AF18" s="1">
        <f t="shared" si="1"/>
        <v>60</v>
      </c>
      <c r="AG18" s="1">
        <f t="shared" si="1"/>
        <v>80</v>
      </c>
      <c r="AH18" s="1">
        <f t="shared" si="1"/>
        <v>100</v>
      </c>
      <c r="AI18" s="1">
        <f t="shared" si="1"/>
        <v>150</v>
      </c>
      <c r="AJ18" s="1">
        <f t="shared" si="1"/>
        <v>200</v>
      </c>
      <c r="AK18" s="1">
        <f t="shared" si="1"/>
        <v>250</v>
      </c>
      <c r="AL18" s="1">
        <f t="shared" si="1"/>
        <v>350</v>
      </c>
      <c r="AM18" s="1">
        <f t="shared" si="1"/>
        <v>450</v>
      </c>
      <c r="AN18" s="1">
        <f t="shared" si="1"/>
        <v>650</v>
      </c>
      <c r="AO18" s="1">
        <f t="shared" si="1"/>
        <v>2000</v>
      </c>
    </row>
    <row r="19" spans="1:41" ht="15.75" x14ac:dyDescent="0.25">
      <c r="B19" s="229" t="s">
        <v>459</v>
      </c>
      <c r="G19" s="99"/>
      <c r="H19" s="100"/>
      <c r="I19" s="100"/>
      <c r="J19" s="100"/>
      <c r="K19" s="100"/>
      <c r="L19" s="100"/>
      <c r="M19" s="100"/>
      <c r="N19" s="100"/>
      <c r="O19" s="100"/>
      <c r="P19" s="100"/>
      <c r="Q19" s="100"/>
      <c r="R19" s="100"/>
      <c r="S19" s="100"/>
      <c r="T19" s="101"/>
      <c r="Y19" s="235" t="s">
        <v>33</v>
      </c>
      <c r="Z19" s="1">
        <f>SUM(AD19:AO19)</f>
        <v>234682.32</v>
      </c>
      <c r="AB19" s="1" t="s">
        <v>106</v>
      </c>
      <c r="AD19" s="1">
        <f>IF($Z$17&gt;AD18,(IF($Z$17-AE18&gt;0,(AE18-AD18)*$B$21*AD21,($Z$17-AD18)*$B$21*AD21)),0)</f>
        <v>197766</v>
      </c>
      <c r="AE19" s="1">
        <f t="shared" ref="AE19:AN19" si="2">IF($Z$17&gt;AE18,(IF($Z$17-AF18&gt;0,(AF18-AE18)*$B$21*AE21,($Z$17-AE18)*$B$21*AE21)),0)</f>
        <v>36916.320000000007</v>
      </c>
      <c r="AF19" s="1">
        <f t="shared" si="2"/>
        <v>0</v>
      </c>
      <c r="AG19" s="1">
        <f t="shared" si="2"/>
        <v>0</v>
      </c>
      <c r="AH19" s="1">
        <f t="shared" si="2"/>
        <v>0</v>
      </c>
      <c r="AI19" s="1">
        <f t="shared" si="2"/>
        <v>0</v>
      </c>
      <c r="AJ19" s="1">
        <f t="shared" si="2"/>
        <v>0</v>
      </c>
      <c r="AK19" s="1">
        <f t="shared" si="2"/>
        <v>0</v>
      </c>
      <c r="AL19" s="1">
        <f t="shared" si="2"/>
        <v>0</v>
      </c>
      <c r="AM19" s="1">
        <f t="shared" si="2"/>
        <v>0</v>
      </c>
      <c r="AN19" s="1">
        <f t="shared" si="2"/>
        <v>0</v>
      </c>
    </row>
    <row r="20" spans="1:41" ht="15.75" x14ac:dyDescent="0.25">
      <c r="B20" s="236" t="s">
        <v>0</v>
      </c>
      <c r="C20" s="1">
        <v>10782</v>
      </c>
      <c r="G20" s="237"/>
      <c r="H20" s="97"/>
      <c r="I20" s="66" t="s">
        <v>107</v>
      </c>
      <c r="J20" s="97"/>
      <c r="K20" s="97"/>
      <c r="L20" s="97"/>
      <c r="M20" s="97"/>
      <c r="N20" s="97"/>
      <c r="O20" s="97"/>
      <c r="P20" s="97"/>
      <c r="Q20" s="97"/>
      <c r="R20" s="97"/>
      <c r="S20" s="97"/>
      <c r="T20" s="102"/>
    </row>
    <row r="21" spans="1:41" ht="15.75" x14ac:dyDescent="0.25">
      <c r="B21" s="238">
        <f>Kontrollpanel!L21</f>
        <v>10987</v>
      </c>
      <c r="C21" s="239">
        <v>303.55799872530275</v>
      </c>
      <c r="G21" s="237"/>
      <c r="H21" s="240" t="s">
        <v>108</v>
      </c>
      <c r="I21" s="241">
        <v>1</v>
      </c>
      <c r="J21" s="97"/>
      <c r="K21" s="97"/>
      <c r="L21" s="97"/>
      <c r="M21" s="97"/>
      <c r="N21" s="97"/>
      <c r="O21" s="97"/>
      <c r="P21" s="97"/>
      <c r="Q21" s="97"/>
      <c r="R21" s="97"/>
      <c r="S21" s="97"/>
      <c r="T21" s="102"/>
      <c r="AB21" s="1" t="s">
        <v>109</v>
      </c>
      <c r="AD21" s="218">
        <f t="shared" ref="AD21:AO21" si="3">I27</f>
        <v>0.45</v>
      </c>
      <c r="AE21" s="218">
        <f t="shared" si="3"/>
        <v>0.28000000000000003</v>
      </c>
      <c r="AF21" s="218">
        <f t="shared" si="3"/>
        <v>0.2</v>
      </c>
      <c r="AG21" s="218">
        <f t="shared" si="3"/>
        <v>0.08</v>
      </c>
      <c r="AH21" s="218">
        <f t="shared" si="3"/>
        <v>0.04</v>
      </c>
      <c r="AI21" s="218">
        <f t="shared" si="3"/>
        <v>2.5000000000000001E-2</v>
      </c>
      <c r="AJ21" s="218">
        <f t="shared" si="3"/>
        <v>2.5000000000000001E-2</v>
      </c>
      <c r="AK21" s="218">
        <f t="shared" si="3"/>
        <v>2.5000000000000001E-2</v>
      </c>
      <c r="AL21" s="218">
        <f t="shared" si="3"/>
        <v>2.5000000000000001E-2</v>
      </c>
      <c r="AM21" s="218">
        <f t="shared" si="3"/>
        <v>2.5000000000000001E-2</v>
      </c>
      <c r="AN21" s="218">
        <f t="shared" si="3"/>
        <v>2.5000000000000001E-2</v>
      </c>
      <c r="AO21" s="218">
        <f t="shared" si="3"/>
        <v>0</v>
      </c>
    </row>
    <row r="22" spans="1:41" x14ac:dyDescent="0.2">
      <c r="G22" s="237"/>
      <c r="H22" s="97"/>
      <c r="I22" s="97"/>
      <c r="J22" s="97"/>
      <c r="K22" s="97"/>
      <c r="L22" s="97"/>
      <c r="M22" s="97"/>
      <c r="N22" s="97"/>
      <c r="O22" s="97"/>
      <c r="P22" s="97"/>
      <c r="Q22" s="97"/>
      <c r="R22" s="97"/>
      <c r="S22" s="97"/>
      <c r="T22" s="102"/>
    </row>
    <row r="23" spans="1:41" ht="15.75" x14ac:dyDescent="0.25">
      <c r="G23" s="242" t="s">
        <v>103</v>
      </c>
      <c r="H23" s="243"/>
      <c r="I23" s="243" t="str">
        <f>Kontrollpanel!E26</f>
        <v>0-40</v>
      </c>
      <c r="J23" s="243" t="str">
        <f>Kontrollpanel!F26</f>
        <v>40-60</v>
      </c>
      <c r="K23" s="243" t="str">
        <f>Kontrollpanel!G26</f>
        <v>60-80</v>
      </c>
      <c r="L23" s="243" t="str">
        <f>Kontrollpanel!H26</f>
        <v>80-100</v>
      </c>
      <c r="M23" s="243" t="str">
        <f>Kontrollpanel!I26</f>
        <v>100-150</v>
      </c>
      <c r="N23" s="243" t="str">
        <f>Kontrollpanel!J26</f>
        <v>150-200</v>
      </c>
      <c r="O23" s="243" t="str">
        <f>Kontrollpanel!K26</f>
        <v>200-250</v>
      </c>
      <c r="P23" s="243" t="str">
        <f>Kontrollpanel!L26</f>
        <v>250-350</v>
      </c>
      <c r="Q23" s="243" t="str">
        <f>Kontrollpanel!M26</f>
        <v>350-450</v>
      </c>
      <c r="R23" s="243" t="str">
        <f>Kontrollpanel!N26</f>
        <v>450-650</v>
      </c>
      <c r="S23" s="243" t="str">
        <f>Kontrollpanel!O26</f>
        <v>650-2000</v>
      </c>
      <c r="T23" s="244"/>
      <c r="U23" s="5"/>
      <c r="V23" s="5"/>
      <c r="W23" s="5"/>
      <c r="X23" s="5"/>
      <c r="Z23" s="5"/>
      <c r="AA23" s="5"/>
      <c r="AB23" s="5"/>
      <c r="AC23" s="5"/>
      <c r="AD23" s="5"/>
    </row>
    <row r="24" spans="1:41" ht="15.75" x14ac:dyDescent="0.25">
      <c r="F24" s="245" t="s">
        <v>121</v>
      </c>
      <c r="G24" s="229" t="s">
        <v>122</v>
      </c>
      <c r="H24" s="229"/>
      <c r="I24" s="229">
        <f>Kontrollpanel!E27</f>
        <v>0</v>
      </c>
      <c r="J24" s="229">
        <f>Kontrollpanel!F27</f>
        <v>40</v>
      </c>
      <c r="K24" s="229">
        <f>Kontrollpanel!G27</f>
        <v>60</v>
      </c>
      <c r="L24" s="229">
        <f>Kontrollpanel!H27</f>
        <v>80</v>
      </c>
      <c r="M24" s="229">
        <f>Kontrollpanel!I27</f>
        <v>100</v>
      </c>
      <c r="N24" s="229">
        <f>Kontrollpanel!J27</f>
        <v>150</v>
      </c>
      <c r="O24" s="229">
        <f>Kontrollpanel!K27</f>
        <v>200</v>
      </c>
      <c r="P24" s="229">
        <f>Kontrollpanel!L27</f>
        <v>250</v>
      </c>
      <c r="Q24" s="229">
        <f>Kontrollpanel!M27</f>
        <v>350</v>
      </c>
      <c r="R24" s="229">
        <f>Kontrollpanel!N27</f>
        <v>450</v>
      </c>
      <c r="S24" s="229">
        <f>Kontrollpanel!O27</f>
        <v>650</v>
      </c>
      <c r="T24" s="229">
        <f>Kontrollpanel!P27</f>
        <v>2000</v>
      </c>
    </row>
    <row r="25" spans="1:41" ht="15.75" x14ac:dyDescent="0.25">
      <c r="G25" s="246" t="s">
        <v>106</v>
      </c>
      <c r="H25" s="97"/>
      <c r="I25" s="98">
        <f>IF($I$21&gt;I24,(IF($I$21-J24&gt;0,(J24-I24)*$B$21*I27,($I$21-I24)*$B$21*I27)),0)</f>
        <v>4944.1500000000005</v>
      </c>
      <c r="J25" s="98">
        <f t="shared" ref="J25:S25" si="4">IF($I$21&gt;J24,(IF($I$21-K24&gt;0,(K24-J24)*$B$21*J27,($I$21-J24)*$B$21*J27)),0)</f>
        <v>0</v>
      </c>
      <c r="K25" s="98">
        <f t="shared" si="4"/>
        <v>0</v>
      </c>
      <c r="L25" s="98">
        <f t="shared" si="4"/>
        <v>0</v>
      </c>
      <c r="M25" s="98">
        <f t="shared" si="4"/>
        <v>0</v>
      </c>
      <c r="N25" s="98">
        <f t="shared" si="4"/>
        <v>0</v>
      </c>
      <c r="O25" s="98">
        <f t="shared" si="4"/>
        <v>0</v>
      </c>
      <c r="P25" s="98">
        <f t="shared" si="4"/>
        <v>0</v>
      </c>
      <c r="Q25" s="98">
        <f t="shared" si="4"/>
        <v>0</v>
      </c>
      <c r="R25" s="98">
        <f t="shared" si="4"/>
        <v>0</v>
      </c>
      <c r="S25" s="98">
        <f t="shared" si="4"/>
        <v>0</v>
      </c>
      <c r="T25" s="247"/>
      <c r="Y25" s="235" t="s">
        <v>8</v>
      </c>
      <c r="Z25" s="1">
        <f>C30</f>
        <v>42</v>
      </c>
      <c r="AB25" s="1" t="s">
        <v>103</v>
      </c>
      <c r="AD25" s="1" t="str">
        <f t="shared" ref="AD25:AO26" si="5">AD17</f>
        <v>0-40</v>
      </c>
      <c r="AE25" s="1" t="str">
        <f t="shared" si="5"/>
        <v>40-60</v>
      </c>
      <c r="AF25" s="1" t="str">
        <f t="shared" si="5"/>
        <v>60-80</v>
      </c>
      <c r="AG25" s="1" t="str">
        <f t="shared" si="5"/>
        <v>80-100</v>
      </c>
      <c r="AH25" s="1" t="str">
        <f t="shared" si="5"/>
        <v>100-150</v>
      </c>
      <c r="AI25" s="1" t="str">
        <f t="shared" si="5"/>
        <v>150-200</v>
      </c>
      <c r="AJ25" s="1" t="str">
        <f t="shared" si="5"/>
        <v>200-250</v>
      </c>
      <c r="AK25" s="1" t="str">
        <f t="shared" si="5"/>
        <v>250-350</v>
      </c>
      <c r="AL25" s="1" t="str">
        <f t="shared" si="5"/>
        <v>350-450</v>
      </c>
      <c r="AM25" s="1" t="str">
        <f t="shared" si="5"/>
        <v>450-650</v>
      </c>
      <c r="AN25" s="1" t="str">
        <f t="shared" si="5"/>
        <v>650-2000</v>
      </c>
    </row>
    <row r="26" spans="1:41" ht="15.75" x14ac:dyDescent="0.25">
      <c r="A26" s="5"/>
      <c r="B26" s="5"/>
      <c r="C26" s="5"/>
      <c r="G26" s="237"/>
      <c r="H26" s="97"/>
      <c r="I26" s="97"/>
      <c r="J26" s="97"/>
      <c r="K26" s="97"/>
      <c r="L26" s="97"/>
      <c r="M26" s="97"/>
      <c r="N26" s="97"/>
      <c r="O26" s="97"/>
      <c r="P26" s="97"/>
      <c r="Q26" s="97"/>
      <c r="R26" s="97"/>
      <c r="S26" s="97"/>
      <c r="T26" s="102"/>
      <c r="AD26" s="1">
        <f t="shared" si="5"/>
        <v>0</v>
      </c>
      <c r="AE26" s="1">
        <f t="shared" si="5"/>
        <v>40</v>
      </c>
      <c r="AF26" s="1">
        <f t="shared" si="5"/>
        <v>60</v>
      </c>
      <c r="AG26" s="1">
        <f t="shared" si="5"/>
        <v>80</v>
      </c>
      <c r="AH26" s="1">
        <f t="shared" si="5"/>
        <v>100</v>
      </c>
      <c r="AI26" s="1">
        <f t="shared" si="5"/>
        <v>150</v>
      </c>
      <c r="AJ26" s="1">
        <f t="shared" si="5"/>
        <v>200</v>
      </c>
      <c r="AK26" s="1">
        <f t="shared" si="5"/>
        <v>250</v>
      </c>
      <c r="AL26" s="1">
        <f t="shared" si="5"/>
        <v>350</v>
      </c>
      <c r="AM26" s="1">
        <f t="shared" si="5"/>
        <v>450</v>
      </c>
      <c r="AN26" s="1">
        <f t="shared" si="5"/>
        <v>650</v>
      </c>
      <c r="AO26" s="1">
        <f t="shared" si="5"/>
        <v>2000</v>
      </c>
    </row>
    <row r="27" spans="1:41" ht="15.75" x14ac:dyDescent="0.25">
      <c r="A27" s="5"/>
      <c r="B27" s="5" t="s">
        <v>123</v>
      </c>
      <c r="C27" s="5" t="s">
        <v>124</v>
      </c>
      <c r="F27" s="245" t="s">
        <v>125</v>
      </c>
      <c r="G27" s="248" t="s">
        <v>109</v>
      </c>
      <c r="H27" s="249"/>
      <c r="I27" s="250">
        <f>Kontrollpanel!E28</f>
        <v>0.45</v>
      </c>
      <c r="J27" s="250">
        <f>Kontrollpanel!F28</f>
        <v>0.28000000000000003</v>
      </c>
      <c r="K27" s="250">
        <f>Kontrollpanel!G28</f>
        <v>0.2</v>
      </c>
      <c r="L27" s="250">
        <f>Kontrollpanel!H28</f>
        <v>0.08</v>
      </c>
      <c r="M27" s="250">
        <f>Kontrollpanel!I28</f>
        <v>0.04</v>
      </c>
      <c r="N27" s="250">
        <f>Kontrollpanel!J28</f>
        <v>2.5000000000000001E-2</v>
      </c>
      <c r="O27" s="250">
        <f>Kontrollpanel!K28</f>
        <v>2.5000000000000001E-2</v>
      </c>
      <c r="P27" s="250">
        <f>Kontrollpanel!L28</f>
        <v>2.5000000000000001E-2</v>
      </c>
      <c r="Q27" s="250">
        <f>Kontrollpanel!M28</f>
        <v>2.5000000000000001E-2</v>
      </c>
      <c r="R27" s="250">
        <f>Kontrollpanel!N28</f>
        <v>2.5000000000000001E-2</v>
      </c>
      <c r="S27" s="250">
        <f>Kontrollpanel!O28</f>
        <v>2.5000000000000001E-2</v>
      </c>
      <c r="T27" s="250">
        <f>Kontrollpanel!P28</f>
        <v>0</v>
      </c>
      <c r="Y27" s="235" t="s">
        <v>33</v>
      </c>
      <c r="Z27" s="1">
        <f>SUM(AD27:AO27)</f>
        <v>203918.72</v>
      </c>
      <c r="AB27" s="1" t="s">
        <v>106</v>
      </c>
      <c r="AD27" s="1">
        <f>IF($Z$25&gt;AD26,(IF($Z$25-AE26&gt;0,(AE26-AD26)*$B$21*AD29,($Z$25-AD26)*$B$21*AD29)),0)</f>
        <v>197766</v>
      </c>
      <c r="AE27" s="1">
        <f t="shared" ref="AE27:AN27" si="6">IF($Z$25&gt;AE26,(IF($Z$25-AF26&gt;0,(AF26-AE26)*$B$21*AE29,($Z$25-AE26)*$B$21*AE29)),0)</f>
        <v>6152.72</v>
      </c>
      <c r="AF27" s="1">
        <f t="shared" si="6"/>
        <v>0</v>
      </c>
      <c r="AG27" s="1">
        <f t="shared" si="6"/>
        <v>0</v>
      </c>
      <c r="AH27" s="1">
        <f t="shared" si="6"/>
        <v>0</v>
      </c>
      <c r="AI27" s="1">
        <f t="shared" si="6"/>
        <v>0</v>
      </c>
      <c r="AJ27" s="1">
        <f t="shared" si="6"/>
        <v>0</v>
      </c>
      <c r="AK27" s="1">
        <f t="shared" si="6"/>
        <v>0</v>
      </c>
      <c r="AL27" s="1">
        <f t="shared" si="6"/>
        <v>0</v>
      </c>
      <c r="AM27" s="1">
        <f t="shared" si="6"/>
        <v>0</v>
      </c>
      <c r="AN27" s="1">
        <f t="shared" si="6"/>
        <v>0</v>
      </c>
    </row>
    <row r="28" spans="1:41" ht="15.75" x14ac:dyDescent="0.25">
      <c r="A28" s="252" t="s">
        <v>126</v>
      </c>
      <c r="B28" s="5"/>
      <c r="C28" s="5" t="s">
        <v>458</v>
      </c>
      <c r="G28" s="237"/>
      <c r="H28" s="97"/>
      <c r="I28" s="97"/>
      <c r="J28" s="97"/>
      <c r="K28" s="97"/>
      <c r="L28" s="97"/>
      <c r="M28" s="97"/>
      <c r="N28" s="97"/>
      <c r="O28" s="97"/>
      <c r="P28" s="97"/>
      <c r="Q28" s="97"/>
      <c r="R28" s="97"/>
      <c r="S28" s="97"/>
      <c r="T28" s="102"/>
    </row>
    <row r="29" spans="1:41" ht="16.5" thickBot="1" x14ac:dyDescent="0.3">
      <c r="B29" s="229" t="s">
        <v>102</v>
      </c>
      <c r="C29" s="229">
        <v>52</v>
      </c>
      <c r="G29" s="253"/>
      <c r="H29" s="105"/>
      <c r="I29" s="105"/>
      <c r="J29" s="105"/>
      <c r="K29" s="105"/>
      <c r="L29" s="105"/>
      <c r="M29" s="105"/>
      <c r="N29" s="105"/>
      <c r="O29" s="105"/>
      <c r="P29" s="105"/>
      <c r="Q29" s="105"/>
      <c r="R29" s="105"/>
      <c r="S29" s="105"/>
      <c r="T29" s="106"/>
      <c r="AB29" s="1" t="s">
        <v>109</v>
      </c>
      <c r="AD29" s="218">
        <f t="shared" ref="AD29:AO29" si="7">AD21</f>
        <v>0.45</v>
      </c>
      <c r="AE29" s="218">
        <f t="shared" si="7"/>
        <v>0.28000000000000003</v>
      </c>
      <c r="AF29" s="218">
        <f t="shared" si="7"/>
        <v>0.2</v>
      </c>
      <c r="AG29" s="218">
        <f t="shared" si="7"/>
        <v>0.08</v>
      </c>
      <c r="AH29" s="218">
        <f t="shared" si="7"/>
        <v>0.04</v>
      </c>
      <c r="AI29" s="218">
        <f t="shared" si="7"/>
        <v>2.5000000000000001E-2</v>
      </c>
      <c r="AJ29" s="218">
        <f t="shared" si="7"/>
        <v>2.5000000000000001E-2</v>
      </c>
      <c r="AK29" s="218">
        <f t="shared" si="7"/>
        <v>2.5000000000000001E-2</v>
      </c>
      <c r="AL29" s="218">
        <f t="shared" si="7"/>
        <v>2.5000000000000001E-2</v>
      </c>
      <c r="AM29" s="218">
        <f t="shared" si="7"/>
        <v>2.5000000000000001E-2</v>
      </c>
      <c r="AN29" s="218">
        <f t="shared" si="7"/>
        <v>2.5000000000000001E-2</v>
      </c>
      <c r="AO29" s="218">
        <f t="shared" si="7"/>
        <v>0</v>
      </c>
    </row>
    <row r="30" spans="1:41" ht="15.75" x14ac:dyDescent="0.25">
      <c r="B30" s="229" t="s">
        <v>8</v>
      </c>
      <c r="C30" s="229">
        <v>42</v>
      </c>
    </row>
    <row r="31" spans="1:41" ht="15.75" x14ac:dyDescent="0.25">
      <c r="B31" s="229" t="s">
        <v>11</v>
      </c>
      <c r="C31" s="229">
        <v>63</v>
      </c>
      <c r="L31" s="22"/>
    </row>
    <row r="32" spans="1:41" ht="15.75" x14ac:dyDescent="0.25">
      <c r="B32" s="254" t="s">
        <v>22</v>
      </c>
      <c r="C32" s="255">
        <v>45</v>
      </c>
      <c r="Y32" s="235" t="s">
        <v>11</v>
      </c>
      <c r="Z32" s="1">
        <f>C31</f>
        <v>63</v>
      </c>
      <c r="AB32" s="1" t="s">
        <v>103</v>
      </c>
      <c r="AD32" s="1" t="str">
        <f t="shared" ref="AD32:AN32" si="8">AD25</f>
        <v>0-40</v>
      </c>
      <c r="AE32" s="1" t="str">
        <f t="shared" si="8"/>
        <v>40-60</v>
      </c>
      <c r="AF32" s="1" t="str">
        <f t="shared" si="8"/>
        <v>60-80</v>
      </c>
      <c r="AG32" s="1" t="str">
        <f t="shared" si="8"/>
        <v>80-100</v>
      </c>
      <c r="AH32" s="1" t="str">
        <f t="shared" si="8"/>
        <v>100-150</v>
      </c>
      <c r="AI32" s="1" t="str">
        <f t="shared" si="8"/>
        <v>150-200</v>
      </c>
      <c r="AJ32" s="1" t="str">
        <f t="shared" si="8"/>
        <v>200-250</v>
      </c>
      <c r="AK32" s="1" t="str">
        <f t="shared" si="8"/>
        <v>250-350</v>
      </c>
      <c r="AL32" s="1" t="str">
        <f t="shared" si="8"/>
        <v>350-450</v>
      </c>
      <c r="AM32" s="1" t="str">
        <f t="shared" si="8"/>
        <v>450-650</v>
      </c>
      <c r="AN32" s="1" t="str">
        <f t="shared" si="8"/>
        <v>650-2000</v>
      </c>
    </row>
    <row r="33" spans="2:41" ht="15.75" x14ac:dyDescent="0.25">
      <c r="B33" s="229" t="s">
        <v>15</v>
      </c>
      <c r="C33" s="229">
        <v>24</v>
      </c>
      <c r="AD33" s="1">
        <f t="shared" ref="AD33:AO33" si="9">AD18</f>
        <v>0</v>
      </c>
      <c r="AE33" s="1">
        <f t="shared" si="9"/>
        <v>40</v>
      </c>
      <c r="AF33" s="1">
        <f t="shared" si="9"/>
        <v>60</v>
      </c>
      <c r="AG33" s="1">
        <f t="shared" si="9"/>
        <v>80</v>
      </c>
      <c r="AH33" s="1">
        <f t="shared" si="9"/>
        <v>100</v>
      </c>
      <c r="AI33" s="1">
        <f t="shared" si="9"/>
        <v>150</v>
      </c>
      <c r="AJ33" s="1">
        <f t="shared" si="9"/>
        <v>200</v>
      </c>
      <c r="AK33" s="1">
        <f t="shared" si="9"/>
        <v>250</v>
      </c>
      <c r="AL33" s="1">
        <f t="shared" si="9"/>
        <v>350</v>
      </c>
      <c r="AM33" s="1">
        <f t="shared" si="9"/>
        <v>450</v>
      </c>
      <c r="AN33" s="1">
        <f t="shared" si="9"/>
        <v>650</v>
      </c>
      <c r="AO33" s="1">
        <f t="shared" si="9"/>
        <v>2000</v>
      </c>
    </row>
    <row r="34" spans="2:41" ht="15.75" x14ac:dyDescent="0.25">
      <c r="B34" s="229" t="s">
        <v>128</v>
      </c>
      <c r="C34" s="229">
        <v>8</v>
      </c>
      <c r="G34" s="5" t="s">
        <v>33</v>
      </c>
      <c r="H34" s="5"/>
      <c r="I34" s="217">
        <f>SUM(I25:S25)</f>
        <v>4944.1500000000005</v>
      </c>
      <c r="Y34" s="235" t="s">
        <v>33</v>
      </c>
      <c r="Z34" s="1">
        <f>SUM(AD34:AO34)</f>
        <v>265885.40000000002</v>
      </c>
      <c r="AB34" s="1" t="s">
        <v>106</v>
      </c>
      <c r="AD34" s="1">
        <f>IF($Z$32&gt;AD33,(IF($Z$32-AE33&gt;0,(AE33-AD33)*$B$21*AD36,($Z$32-AD33)*$B$21*AD36)),0)</f>
        <v>197766</v>
      </c>
      <c r="AE34" s="1">
        <f t="shared" ref="AE34:AN34" si="10">IF($Z$32&gt;AE33,(IF($Z$32-AF33&gt;0,(AF33-AE33)*$B$21*AE36,($Z$32-AE33)*$B$21*AE36)),0)</f>
        <v>61527.200000000004</v>
      </c>
      <c r="AF34" s="1">
        <f t="shared" si="10"/>
        <v>6592.2000000000007</v>
      </c>
      <c r="AG34" s="1">
        <f t="shared" si="10"/>
        <v>0</v>
      </c>
      <c r="AH34" s="1">
        <f t="shared" si="10"/>
        <v>0</v>
      </c>
      <c r="AI34" s="1">
        <f t="shared" si="10"/>
        <v>0</v>
      </c>
      <c r="AJ34" s="1">
        <f t="shared" si="10"/>
        <v>0</v>
      </c>
      <c r="AK34" s="1">
        <f t="shared" si="10"/>
        <v>0</v>
      </c>
      <c r="AL34" s="1">
        <f t="shared" si="10"/>
        <v>0</v>
      </c>
      <c r="AM34" s="1">
        <f t="shared" si="10"/>
        <v>0</v>
      </c>
      <c r="AN34" s="1">
        <f t="shared" si="10"/>
        <v>0</v>
      </c>
    </row>
    <row r="35" spans="2:41" ht="15.75" x14ac:dyDescent="0.25">
      <c r="B35" s="229" t="s">
        <v>16</v>
      </c>
      <c r="C35" s="229">
        <v>26</v>
      </c>
    </row>
    <row r="36" spans="2:41" ht="15.75" x14ac:dyDescent="0.25">
      <c r="B36" s="229" t="s">
        <v>9</v>
      </c>
      <c r="C36" s="229">
        <v>84</v>
      </c>
      <c r="AB36" s="1" t="s">
        <v>109</v>
      </c>
      <c r="AD36" s="218">
        <f t="shared" ref="AD36:AO36" si="11">AD21</f>
        <v>0.45</v>
      </c>
      <c r="AE36" s="218">
        <f t="shared" si="11"/>
        <v>0.28000000000000003</v>
      </c>
      <c r="AF36" s="218">
        <f t="shared" si="11"/>
        <v>0.2</v>
      </c>
      <c r="AG36" s="218">
        <f t="shared" si="11"/>
        <v>0.08</v>
      </c>
      <c r="AH36" s="218">
        <f t="shared" si="11"/>
        <v>0.04</v>
      </c>
      <c r="AI36" s="218">
        <f t="shared" si="11"/>
        <v>2.5000000000000001E-2</v>
      </c>
      <c r="AJ36" s="218">
        <f t="shared" si="11"/>
        <v>2.5000000000000001E-2</v>
      </c>
      <c r="AK36" s="218">
        <f t="shared" si="11"/>
        <v>2.5000000000000001E-2</v>
      </c>
      <c r="AL36" s="218">
        <f t="shared" si="11"/>
        <v>2.5000000000000001E-2</v>
      </c>
      <c r="AM36" s="218">
        <f t="shared" si="11"/>
        <v>2.5000000000000001E-2</v>
      </c>
      <c r="AN36" s="218">
        <f t="shared" si="11"/>
        <v>2.5000000000000001E-2</v>
      </c>
      <c r="AO36" s="218">
        <f t="shared" si="11"/>
        <v>0</v>
      </c>
    </row>
    <row r="37" spans="2:41" ht="16.5" thickBot="1" x14ac:dyDescent="0.3">
      <c r="B37" s="256" t="s">
        <v>21</v>
      </c>
      <c r="C37" s="256">
        <v>109</v>
      </c>
      <c r="N37" s="1" t="s">
        <v>273</v>
      </c>
    </row>
    <row r="38" spans="2:41" ht="15.75" x14ac:dyDescent="0.25">
      <c r="B38" s="229" t="s">
        <v>18</v>
      </c>
      <c r="C38" s="229">
        <v>48</v>
      </c>
      <c r="G38" s="257"/>
      <c r="H38" s="258"/>
      <c r="I38" s="258"/>
      <c r="J38" s="258"/>
      <c r="K38" s="258"/>
      <c r="L38" s="258"/>
      <c r="M38" s="258"/>
      <c r="N38" s="258"/>
      <c r="O38" s="258"/>
      <c r="P38" s="258"/>
      <c r="Q38" s="258"/>
      <c r="R38" s="258"/>
      <c r="S38" s="258"/>
      <c r="T38" s="259"/>
    </row>
    <row r="39" spans="2:41" ht="15.75" x14ac:dyDescent="0.25">
      <c r="B39" s="229" t="s">
        <v>13</v>
      </c>
      <c r="C39" s="229">
        <v>181</v>
      </c>
      <c r="G39" s="260"/>
      <c r="H39" s="261" t="s">
        <v>123</v>
      </c>
      <c r="I39" s="261" t="s">
        <v>129</v>
      </c>
      <c r="J39" s="261" t="s">
        <v>130</v>
      </c>
      <c r="K39" s="262" t="s">
        <v>131</v>
      </c>
      <c r="L39" s="262"/>
      <c r="M39" s="262" t="s">
        <v>132</v>
      </c>
      <c r="N39" s="263"/>
      <c r="O39" s="263"/>
      <c r="P39" s="263"/>
      <c r="Q39" s="263"/>
      <c r="R39" s="263"/>
      <c r="S39" s="263"/>
      <c r="T39" s="264"/>
    </row>
    <row r="40" spans="2:41" ht="15.75" x14ac:dyDescent="0.25">
      <c r="B40" s="229" t="s">
        <v>17</v>
      </c>
      <c r="C40" s="229">
        <v>273</v>
      </c>
      <c r="G40" s="265" t="s">
        <v>102</v>
      </c>
      <c r="H40" s="266">
        <v>50</v>
      </c>
      <c r="I40" s="267">
        <f>Z19</f>
        <v>234682.32</v>
      </c>
      <c r="J40" s="268">
        <v>382256.63416726235</v>
      </c>
      <c r="K40" s="269">
        <f>I40/J40</f>
        <v>0.61393916814877592</v>
      </c>
      <c r="L40" s="263"/>
      <c r="M40" s="270">
        <f>I40/H40</f>
        <v>4693.6464000000005</v>
      </c>
      <c r="N40" s="263"/>
      <c r="O40" s="263"/>
      <c r="P40" s="263"/>
      <c r="Q40" s="263"/>
      <c r="R40" s="263"/>
      <c r="S40" s="263"/>
      <c r="T40" s="264"/>
      <c r="Y40" s="235" t="s">
        <v>22</v>
      </c>
      <c r="Z40" s="1">
        <f>C32</f>
        <v>45</v>
      </c>
      <c r="AB40" s="1" t="s">
        <v>103</v>
      </c>
      <c r="AD40" s="1" t="str">
        <f t="shared" ref="AD40:AN40" si="12">AD25</f>
        <v>0-40</v>
      </c>
      <c r="AE40" s="1" t="str">
        <f t="shared" si="12"/>
        <v>40-60</v>
      </c>
      <c r="AF40" s="1" t="str">
        <f t="shared" si="12"/>
        <v>60-80</v>
      </c>
      <c r="AG40" s="1" t="str">
        <f t="shared" si="12"/>
        <v>80-100</v>
      </c>
      <c r="AH40" s="1" t="str">
        <f t="shared" si="12"/>
        <v>100-150</v>
      </c>
      <c r="AI40" s="1" t="str">
        <f t="shared" si="12"/>
        <v>150-200</v>
      </c>
      <c r="AJ40" s="1" t="str">
        <f t="shared" si="12"/>
        <v>200-250</v>
      </c>
      <c r="AK40" s="1" t="str">
        <f t="shared" si="12"/>
        <v>250-350</v>
      </c>
      <c r="AL40" s="1" t="str">
        <f t="shared" si="12"/>
        <v>350-450</v>
      </c>
      <c r="AM40" s="1" t="str">
        <f t="shared" si="12"/>
        <v>450-650</v>
      </c>
      <c r="AN40" s="1" t="str">
        <f t="shared" si="12"/>
        <v>650-2000</v>
      </c>
    </row>
    <row r="41" spans="2:41" ht="15.75" x14ac:dyDescent="0.25">
      <c r="B41" s="229" t="s">
        <v>19</v>
      </c>
      <c r="C41" s="229">
        <v>214</v>
      </c>
      <c r="G41" s="265" t="s">
        <v>8</v>
      </c>
      <c r="H41" s="271">
        <v>46</v>
      </c>
      <c r="I41" s="268">
        <f>Z27</f>
        <v>203918.72</v>
      </c>
      <c r="J41" s="268">
        <v>351676.10343388136</v>
      </c>
      <c r="K41" s="269">
        <f t="shared" ref="K41:K57" si="13">I41/J41</f>
        <v>0.57984809888664712</v>
      </c>
      <c r="L41" s="263"/>
      <c r="M41" s="270">
        <f t="shared" ref="M41:M57" si="14">I41/H41</f>
        <v>4433.0156521739127</v>
      </c>
      <c r="N41" s="263"/>
      <c r="O41" s="263"/>
      <c r="P41" s="263"/>
      <c r="Q41" s="263"/>
      <c r="R41" s="263"/>
      <c r="S41" s="263"/>
      <c r="T41" s="264"/>
      <c r="AD41" s="1">
        <f t="shared" ref="AD41:AO41" si="15">AD18</f>
        <v>0</v>
      </c>
      <c r="AE41" s="1">
        <f t="shared" si="15"/>
        <v>40</v>
      </c>
      <c r="AF41" s="1">
        <f t="shared" si="15"/>
        <v>60</v>
      </c>
      <c r="AG41" s="1">
        <f t="shared" si="15"/>
        <v>80</v>
      </c>
      <c r="AH41" s="1">
        <f t="shared" si="15"/>
        <v>100</v>
      </c>
      <c r="AI41" s="1">
        <f t="shared" si="15"/>
        <v>150</v>
      </c>
      <c r="AJ41" s="1">
        <f t="shared" si="15"/>
        <v>200</v>
      </c>
      <c r="AK41" s="1">
        <f t="shared" si="15"/>
        <v>250</v>
      </c>
      <c r="AL41" s="1">
        <f t="shared" si="15"/>
        <v>350</v>
      </c>
      <c r="AM41" s="1">
        <f t="shared" si="15"/>
        <v>450</v>
      </c>
      <c r="AN41" s="1">
        <f t="shared" si="15"/>
        <v>650</v>
      </c>
      <c r="AO41" s="1">
        <f t="shared" si="15"/>
        <v>2000</v>
      </c>
    </row>
    <row r="42" spans="2:41" ht="15.75" x14ac:dyDescent="0.25">
      <c r="B42" s="229" t="s">
        <v>133</v>
      </c>
      <c r="C42" s="229">
        <v>313</v>
      </c>
      <c r="G42" s="265" t="s">
        <v>11</v>
      </c>
      <c r="H42" s="266">
        <v>65</v>
      </c>
      <c r="I42" s="267">
        <f>Z34</f>
        <v>265885.40000000002</v>
      </c>
      <c r="J42" s="268">
        <v>496933.62441744097</v>
      </c>
      <c r="K42" s="269">
        <f t="shared" si="13"/>
        <v>0.53505214164507275</v>
      </c>
      <c r="L42" s="263"/>
      <c r="M42" s="270">
        <f t="shared" si="14"/>
        <v>4090.5446153846156</v>
      </c>
      <c r="N42" s="263"/>
      <c r="O42" s="263"/>
      <c r="P42" s="263"/>
      <c r="Q42" s="263"/>
      <c r="R42" s="263"/>
      <c r="S42" s="263"/>
      <c r="T42" s="264"/>
      <c r="Y42" s="235" t="s">
        <v>33</v>
      </c>
      <c r="Z42" s="1">
        <f>SUM(AD42:AO42)</f>
        <v>213147.8</v>
      </c>
      <c r="AB42" s="1" t="s">
        <v>106</v>
      </c>
      <c r="AD42" s="1">
        <f>IF($Z$40&gt;AD41,(IF($Z$40-AE41&gt;0,(AE41-AD41)*$B$21*AD44,($Z$40-AD41)*$B$21*AD44)),0)</f>
        <v>197766</v>
      </c>
      <c r="AE42" s="1">
        <f t="shared" ref="AE42:AN42" si="16">IF($Z$40&gt;AE41,(IF($Z$40-AF41&gt;0,(AF41-AE41)*$B$21*AE44,($Z$40-AE41)*$B$21*AE44)),0)</f>
        <v>15381.800000000001</v>
      </c>
      <c r="AF42" s="1">
        <f t="shared" si="16"/>
        <v>0</v>
      </c>
      <c r="AG42" s="1">
        <f t="shared" si="16"/>
        <v>0</v>
      </c>
      <c r="AH42" s="1">
        <f t="shared" si="16"/>
        <v>0</v>
      </c>
      <c r="AI42" s="1">
        <f t="shared" si="16"/>
        <v>0</v>
      </c>
      <c r="AJ42" s="1">
        <f t="shared" si="16"/>
        <v>0</v>
      </c>
      <c r="AK42" s="1">
        <f t="shared" si="16"/>
        <v>0</v>
      </c>
      <c r="AL42" s="1">
        <f t="shared" si="16"/>
        <v>0</v>
      </c>
      <c r="AM42" s="1">
        <f t="shared" si="16"/>
        <v>0</v>
      </c>
      <c r="AN42" s="1">
        <f t="shared" si="16"/>
        <v>0</v>
      </c>
    </row>
    <row r="43" spans="2:41" ht="15.75" x14ac:dyDescent="0.25">
      <c r="B43" s="229" t="s">
        <v>134</v>
      </c>
      <c r="C43" s="229">
        <v>581</v>
      </c>
      <c r="G43" s="265" t="s">
        <v>22</v>
      </c>
      <c r="H43" s="266">
        <v>44</v>
      </c>
      <c r="I43" s="267">
        <f>Z42</f>
        <v>213147.8</v>
      </c>
      <c r="J43" s="268">
        <v>336385.83806719084</v>
      </c>
      <c r="K43" s="269">
        <f t="shared" si="13"/>
        <v>0.63364082514503817</v>
      </c>
      <c r="L43" s="263"/>
      <c r="M43" s="270">
        <f t="shared" si="14"/>
        <v>4844.2681818181818</v>
      </c>
      <c r="N43" s="263"/>
      <c r="O43" s="263"/>
      <c r="P43" s="263"/>
      <c r="Q43" s="263"/>
      <c r="R43" s="263"/>
      <c r="S43" s="263"/>
      <c r="T43" s="264"/>
    </row>
    <row r="44" spans="2:41" ht="15.75" customHeight="1" x14ac:dyDescent="0.25">
      <c r="B44" s="229" t="s">
        <v>135</v>
      </c>
      <c r="C44" s="229">
        <v>1102</v>
      </c>
      <c r="G44" s="265" t="s">
        <v>15</v>
      </c>
      <c r="H44" s="266">
        <v>33</v>
      </c>
      <c r="I44" s="267">
        <f>Z49</f>
        <v>118659.6</v>
      </c>
      <c r="J44" s="268">
        <v>252289.37855039316</v>
      </c>
      <c r="K44" s="269">
        <f t="shared" si="13"/>
        <v>0.47033133412827571</v>
      </c>
      <c r="L44" s="263"/>
      <c r="M44" s="270">
        <f t="shared" si="14"/>
        <v>3595.7454545454548</v>
      </c>
      <c r="N44" s="263"/>
      <c r="O44" s="263"/>
      <c r="P44" s="263"/>
      <c r="Q44" s="263"/>
      <c r="R44" s="263"/>
      <c r="S44" s="263"/>
      <c r="T44" s="264"/>
      <c r="AB44" s="1" t="s">
        <v>109</v>
      </c>
      <c r="AD44" s="218">
        <f t="shared" ref="AD44:AO44" si="17">AD21</f>
        <v>0.45</v>
      </c>
      <c r="AE44" s="218">
        <f t="shared" si="17"/>
        <v>0.28000000000000003</v>
      </c>
      <c r="AF44" s="218">
        <f t="shared" si="17"/>
        <v>0.2</v>
      </c>
      <c r="AG44" s="218">
        <f t="shared" si="17"/>
        <v>0.08</v>
      </c>
      <c r="AH44" s="218">
        <f t="shared" si="17"/>
        <v>0.04</v>
      </c>
      <c r="AI44" s="218">
        <f t="shared" si="17"/>
        <v>2.5000000000000001E-2</v>
      </c>
      <c r="AJ44" s="218">
        <f t="shared" si="17"/>
        <v>2.5000000000000001E-2</v>
      </c>
      <c r="AK44" s="218">
        <f t="shared" si="17"/>
        <v>2.5000000000000001E-2</v>
      </c>
      <c r="AL44" s="218">
        <f t="shared" si="17"/>
        <v>2.5000000000000001E-2</v>
      </c>
      <c r="AM44" s="218">
        <f t="shared" si="17"/>
        <v>2.5000000000000001E-2</v>
      </c>
      <c r="AN44" s="218">
        <f t="shared" si="17"/>
        <v>2.5000000000000001E-2</v>
      </c>
      <c r="AO44" s="218">
        <f t="shared" si="17"/>
        <v>0</v>
      </c>
    </row>
    <row r="45" spans="2:41" ht="15" customHeight="1" x14ac:dyDescent="0.25">
      <c r="B45" s="229"/>
      <c r="C45" s="229"/>
      <c r="G45" s="265" t="s">
        <v>128</v>
      </c>
      <c r="H45" s="266">
        <v>8</v>
      </c>
      <c r="I45" s="267">
        <f>Z57</f>
        <v>39553.200000000004</v>
      </c>
      <c r="J45" s="268">
        <v>61161.061466761974</v>
      </c>
      <c r="K45" s="269">
        <f t="shared" si="13"/>
        <v>0.64670558442637927</v>
      </c>
      <c r="L45" s="263"/>
      <c r="M45" s="270">
        <f t="shared" si="14"/>
        <v>4944.1500000000005</v>
      </c>
      <c r="N45" s="263"/>
      <c r="O45" s="263"/>
      <c r="P45" s="263"/>
      <c r="Q45" s="263"/>
      <c r="R45" s="263"/>
      <c r="S45" s="263"/>
      <c r="T45" s="264"/>
    </row>
    <row r="46" spans="2:41" ht="15.75" x14ac:dyDescent="0.25">
      <c r="B46" s="229" t="s">
        <v>32</v>
      </c>
      <c r="C46" s="229">
        <f>SUM(C29:C44)</f>
        <v>3165</v>
      </c>
      <c r="G46" s="265" t="s">
        <v>16</v>
      </c>
      <c r="H46" s="266">
        <v>30</v>
      </c>
      <c r="I46" s="267">
        <f>Z64</f>
        <v>128547.90000000001</v>
      </c>
      <c r="J46" s="268">
        <v>229353.98050035737</v>
      </c>
      <c r="K46" s="269">
        <f t="shared" si="13"/>
        <v>0.56047817316952875</v>
      </c>
      <c r="L46" s="263"/>
      <c r="M46" s="270">
        <f t="shared" si="14"/>
        <v>4284.93</v>
      </c>
      <c r="N46" s="263"/>
      <c r="O46" s="263"/>
      <c r="P46" s="263"/>
      <c r="Q46" s="263"/>
      <c r="R46" s="263"/>
      <c r="S46" s="263"/>
      <c r="T46" s="264"/>
    </row>
    <row r="47" spans="2:41" ht="15.75" x14ac:dyDescent="0.25">
      <c r="B47" s="229"/>
      <c r="C47" s="229"/>
      <c r="G47" s="265" t="s">
        <v>9</v>
      </c>
      <c r="H47" s="266">
        <v>89</v>
      </c>
      <c r="I47" s="267">
        <f>Z72</f>
        <v>306757.04000000004</v>
      </c>
      <c r="J47" s="268">
        <v>510312.60661329515</v>
      </c>
      <c r="K47" s="269">
        <f t="shared" si="13"/>
        <v>0.6011159356532505</v>
      </c>
      <c r="L47" s="263"/>
      <c r="M47" s="270">
        <f t="shared" si="14"/>
        <v>3446.7083146067421</v>
      </c>
      <c r="N47" s="263"/>
      <c r="O47" s="263"/>
      <c r="P47" s="263"/>
      <c r="Q47" s="263"/>
      <c r="R47" s="263"/>
      <c r="S47" s="263"/>
      <c r="T47" s="264"/>
      <c r="Y47" s="235" t="s">
        <v>15</v>
      </c>
      <c r="Z47" s="1">
        <f>C33</f>
        <v>24</v>
      </c>
      <c r="AB47" s="1" t="s">
        <v>103</v>
      </c>
      <c r="AD47" s="1" t="str">
        <f t="shared" ref="AD47:AN47" si="18">AD25</f>
        <v>0-40</v>
      </c>
      <c r="AE47" s="1" t="str">
        <f t="shared" si="18"/>
        <v>40-60</v>
      </c>
      <c r="AF47" s="1" t="str">
        <f t="shared" si="18"/>
        <v>60-80</v>
      </c>
      <c r="AG47" s="1" t="str">
        <f t="shared" si="18"/>
        <v>80-100</v>
      </c>
      <c r="AH47" s="1" t="str">
        <f t="shared" si="18"/>
        <v>100-150</v>
      </c>
      <c r="AI47" s="1" t="str">
        <f t="shared" si="18"/>
        <v>150-200</v>
      </c>
      <c r="AJ47" s="1" t="str">
        <f t="shared" si="18"/>
        <v>200-250</v>
      </c>
      <c r="AK47" s="1" t="str">
        <f t="shared" si="18"/>
        <v>250-350</v>
      </c>
      <c r="AL47" s="1" t="str">
        <f t="shared" si="18"/>
        <v>350-450</v>
      </c>
      <c r="AM47" s="1" t="str">
        <f t="shared" si="18"/>
        <v>450-650</v>
      </c>
      <c r="AN47" s="1" t="str">
        <f t="shared" si="18"/>
        <v>650-2000</v>
      </c>
    </row>
    <row r="48" spans="2:41" ht="15.75" x14ac:dyDescent="0.25">
      <c r="B48" s="229" t="s">
        <v>136</v>
      </c>
      <c r="C48" s="229">
        <v>3165</v>
      </c>
      <c r="G48" s="265" t="s">
        <v>21</v>
      </c>
      <c r="H48" s="266">
        <v>103</v>
      </c>
      <c r="I48" s="267">
        <f>Z79</f>
        <v>324775.72000000003</v>
      </c>
      <c r="J48" s="268">
        <v>590586.49978842027</v>
      </c>
      <c r="K48" s="269">
        <f t="shared" si="13"/>
        <v>0.54992066380852267</v>
      </c>
      <c r="L48" s="263"/>
      <c r="M48" s="270">
        <f t="shared" si="14"/>
        <v>3153.1623300970878</v>
      </c>
      <c r="N48" s="263"/>
      <c r="O48" s="263"/>
      <c r="P48" s="263"/>
      <c r="Q48" s="263"/>
      <c r="R48" s="263"/>
      <c r="S48" s="263"/>
      <c r="T48" s="264"/>
      <c r="AD48" s="1">
        <f t="shared" ref="AD48:AO48" si="19">AD18</f>
        <v>0</v>
      </c>
      <c r="AE48" s="1">
        <f t="shared" si="19"/>
        <v>40</v>
      </c>
      <c r="AF48" s="1">
        <f t="shared" si="19"/>
        <v>60</v>
      </c>
      <c r="AG48" s="1">
        <f t="shared" si="19"/>
        <v>80</v>
      </c>
      <c r="AH48" s="1">
        <f t="shared" si="19"/>
        <v>100</v>
      </c>
      <c r="AI48" s="1">
        <f t="shared" si="19"/>
        <v>150</v>
      </c>
      <c r="AJ48" s="1">
        <f t="shared" si="19"/>
        <v>200</v>
      </c>
      <c r="AK48" s="1">
        <f t="shared" si="19"/>
        <v>250</v>
      </c>
      <c r="AL48" s="1">
        <f t="shared" si="19"/>
        <v>350</v>
      </c>
      <c r="AM48" s="1">
        <f t="shared" si="19"/>
        <v>450</v>
      </c>
      <c r="AN48" s="1">
        <f t="shared" si="19"/>
        <v>650</v>
      </c>
      <c r="AO48" s="1">
        <f t="shared" si="19"/>
        <v>2000</v>
      </c>
    </row>
    <row r="49" spans="7:41" ht="15.75" x14ac:dyDescent="0.25">
      <c r="G49" s="265" t="s">
        <v>18</v>
      </c>
      <c r="H49" s="271">
        <v>51</v>
      </c>
      <c r="I49" s="268">
        <f>Z87</f>
        <v>222376.88</v>
      </c>
      <c r="J49" s="268">
        <v>292426.32513795566</v>
      </c>
      <c r="K49" s="269">
        <f t="shared" si="13"/>
        <v>0.76045438075758409</v>
      </c>
      <c r="L49" s="263"/>
      <c r="M49" s="270">
        <f t="shared" si="14"/>
        <v>4360.3309803921566</v>
      </c>
      <c r="N49" s="263"/>
      <c r="O49" s="263"/>
      <c r="P49" s="263"/>
      <c r="Q49" s="263"/>
      <c r="R49" s="263"/>
      <c r="S49" s="263"/>
      <c r="T49" s="264"/>
      <c r="Y49" s="235" t="s">
        <v>33</v>
      </c>
      <c r="Z49" s="1">
        <f>SUM(AD49:AO49)</f>
        <v>118659.6</v>
      </c>
      <c r="AB49" s="1" t="s">
        <v>106</v>
      </c>
      <c r="AD49" s="1">
        <f>IF($Z$47&gt;AD48,(IF($Z$47-AE48&gt;0,(AE48-AD48)*$B$21*AD51,($Z$47-AD48)*$B$21*AD51)),0)</f>
        <v>118659.6</v>
      </c>
      <c r="AE49" s="1">
        <f t="shared" ref="AE49:AN49" si="20">IF($Z$47&gt;AE48,(IF($Z$47-AF48&gt;0,(AF48-AE48)*$B$21*AE51,($Z$47-AE48)*$B$21*AE51)),0)</f>
        <v>0</v>
      </c>
      <c r="AF49" s="1">
        <f t="shared" si="20"/>
        <v>0</v>
      </c>
      <c r="AG49" s="1">
        <f t="shared" si="20"/>
        <v>0</v>
      </c>
      <c r="AH49" s="1">
        <f t="shared" si="20"/>
        <v>0</v>
      </c>
      <c r="AI49" s="1">
        <f t="shared" si="20"/>
        <v>0</v>
      </c>
      <c r="AJ49" s="1">
        <f t="shared" si="20"/>
        <v>0</v>
      </c>
      <c r="AK49" s="1">
        <f t="shared" si="20"/>
        <v>0</v>
      </c>
      <c r="AL49" s="1">
        <f t="shared" si="20"/>
        <v>0</v>
      </c>
      <c r="AM49" s="1">
        <f t="shared" si="20"/>
        <v>0</v>
      </c>
      <c r="AN49" s="1">
        <f t="shared" si="20"/>
        <v>0</v>
      </c>
    </row>
    <row r="50" spans="7:41" ht="15.75" x14ac:dyDescent="0.25">
      <c r="G50" s="265" t="s">
        <v>13</v>
      </c>
      <c r="H50" s="271">
        <v>173</v>
      </c>
      <c r="I50" s="268">
        <f>Z94</f>
        <v>351309.32500000001</v>
      </c>
      <c r="J50" s="268">
        <v>743966.9742480343</v>
      </c>
      <c r="K50" s="269">
        <f t="shared" si="13"/>
        <v>0.47221091414049182</v>
      </c>
      <c r="L50" s="263"/>
      <c r="M50" s="270">
        <f t="shared" si="14"/>
        <v>2030.689739884393</v>
      </c>
      <c r="N50" s="263"/>
      <c r="O50" s="263"/>
      <c r="P50" s="263"/>
      <c r="Q50" s="263"/>
      <c r="R50" s="263"/>
      <c r="S50" s="263"/>
      <c r="T50" s="264"/>
    </row>
    <row r="51" spans="7:41" ht="15.75" x14ac:dyDescent="0.25">
      <c r="G51" s="265" t="s">
        <v>17</v>
      </c>
      <c r="H51" s="266">
        <v>275</v>
      </c>
      <c r="I51" s="267">
        <f>Z102</f>
        <v>376579.42500000005</v>
      </c>
      <c r="J51" s="268">
        <v>1182606.4619549678</v>
      </c>
      <c r="K51" s="269">
        <f t="shared" si="13"/>
        <v>0.31843173288388449</v>
      </c>
      <c r="L51" s="263"/>
      <c r="M51" s="270">
        <f t="shared" si="14"/>
        <v>1369.3797272727275</v>
      </c>
      <c r="N51" s="263"/>
      <c r="O51" s="263"/>
      <c r="P51" s="263"/>
      <c r="Q51" s="263"/>
      <c r="R51" s="263"/>
      <c r="S51" s="263"/>
      <c r="T51" s="264"/>
      <c r="AB51" s="1" t="s">
        <v>109</v>
      </c>
      <c r="AD51" s="218">
        <f t="shared" ref="AD51:AO51" si="21">AD21</f>
        <v>0.45</v>
      </c>
      <c r="AE51" s="218">
        <f t="shared" si="21"/>
        <v>0.28000000000000003</v>
      </c>
      <c r="AF51" s="218">
        <f t="shared" si="21"/>
        <v>0.2</v>
      </c>
      <c r="AG51" s="218">
        <f t="shared" si="21"/>
        <v>0.08</v>
      </c>
      <c r="AH51" s="218">
        <f t="shared" si="21"/>
        <v>0.04</v>
      </c>
      <c r="AI51" s="218">
        <f t="shared" si="21"/>
        <v>2.5000000000000001E-2</v>
      </c>
      <c r="AJ51" s="218">
        <f t="shared" si="21"/>
        <v>2.5000000000000001E-2</v>
      </c>
      <c r="AK51" s="218">
        <f t="shared" si="21"/>
        <v>2.5000000000000001E-2</v>
      </c>
      <c r="AL51" s="218">
        <f t="shared" si="21"/>
        <v>2.5000000000000001E-2</v>
      </c>
      <c r="AM51" s="218">
        <f t="shared" si="21"/>
        <v>2.5000000000000001E-2</v>
      </c>
      <c r="AN51" s="218">
        <f t="shared" si="21"/>
        <v>2.5000000000000001E-2</v>
      </c>
      <c r="AO51" s="218">
        <f t="shared" si="21"/>
        <v>0</v>
      </c>
    </row>
    <row r="52" spans="7:41" ht="15.75" x14ac:dyDescent="0.25">
      <c r="G52" s="265" t="s">
        <v>19</v>
      </c>
      <c r="H52" s="266">
        <v>208</v>
      </c>
      <c r="I52" s="267">
        <f>Z109</f>
        <v>360373.60000000003</v>
      </c>
      <c r="J52" s="268">
        <v>894480.5239513939</v>
      </c>
      <c r="K52" s="269">
        <f t="shared" si="13"/>
        <v>0.40288591014596842</v>
      </c>
      <c r="L52" s="263"/>
      <c r="M52" s="270">
        <f t="shared" si="14"/>
        <v>1732.5653846153848</v>
      </c>
      <c r="N52" s="263"/>
      <c r="O52" s="263"/>
      <c r="P52" s="263"/>
      <c r="Q52" s="263"/>
      <c r="R52" s="263"/>
      <c r="S52" s="263"/>
      <c r="T52" s="264"/>
    </row>
    <row r="53" spans="7:41" ht="15.75" x14ac:dyDescent="0.25">
      <c r="G53" s="265" t="s">
        <v>133</v>
      </c>
      <c r="H53" s="266">
        <v>318</v>
      </c>
      <c r="I53" s="267">
        <f>Z117</f>
        <v>387566.42500000005</v>
      </c>
      <c r="J53" s="268">
        <v>1215576.0966518943</v>
      </c>
      <c r="K53" s="269">
        <f t="shared" si="13"/>
        <v>0.31883353585800878</v>
      </c>
      <c r="L53" s="263"/>
      <c r="M53" s="270">
        <f t="shared" si="14"/>
        <v>1218.7623427672956</v>
      </c>
      <c r="N53" s="263"/>
      <c r="O53" s="263"/>
      <c r="P53" s="263"/>
      <c r="Q53" s="263"/>
      <c r="R53" s="263"/>
      <c r="S53" s="263"/>
      <c r="T53" s="264"/>
    </row>
    <row r="54" spans="7:41" ht="15.75" x14ac:dyDescent="0.25">
      <c r="G54" s="265" t="s">
        <v>134</v>
      </c>
      <c r="H54" s="266">
        <v>565</v>
      </c>
      <c r="I54" s="267">
        <f>Z124</f>
        <v>461179.32500000001</v>
      </c>
      <c r="J54" s="268">
        <v>1889781.2351644028</v>
      </c>
      <c r="K54" s="269">
        <f t="shared" si="13"/>
        <v>0.24403847197682615</v>
      </c>
      <c r="L54" s="263"/>
      <c r="M54" s="270">
        <f t="shared" si="14"/>
        <v>816.24659292035403</v>
      </c>
      <c r="N54" s="263"/>
      <c r="O54" s="263"/>
      <c r="P54" s="263"/>
      <c r="Q54" s="263"/>
      <c r="R54" s="263"/>
      <c r="S54" s="263"/>
      <c r="T54" s="264"/>
    </row>
    <row r="55" spans="7:41" ht="15.75" x14ac:dyDescent="0.25">
      <c r="G55" s="265" t="s">
        <v>135</v>
      </c>
      <c r="H55" s="266">
        <v>1080</v>
      </c>
      <c r="I55" s="267">
        <f>Z132</f>
        <v>604285</v>
      </c>
      <c r="J55" s="268">
        <v>2064185.8245032167</v>
      </c>
      <c r="K55" s="269">
        <f t="shared" si="13"/>
        <v>0.29274738389671484</v>
      </c>
      <c r="L55" s="263"/>
      <c r="M55" s="270">
        <f t="shared" si="14"/>
        <v>559.52314814814815</v>
      </c>
      <c r="N55" s="263"/>
      <c r="O55" s="263"/>
      <c r="P55" s="263"/>
      <c r="Q55" s="263"/>
      <c r="R55" s="263"/>
      <c r="S55" s="263"/>
      <c r="T55" s="264"/>
      <c r="Y55" s="235" t="s">
        <v>128</v>
      </c>
      <c r="Z55" s="1">
        <f>C34</f>
        <v>8</v>
      </c>
      <c r="AB55" s="1" t="s">
        <v>103</v>
      </c>
      <c r="AD55" s="1" t="str">
        <f t="shared" ref="AD55:AN55" si="22">AD25</f>
        <v>0-40</v>
      </c>
      <c r="AE55" s="1" t="str">
        <f t="shared" si="22"/>
        <v>40-60</v>
      </c>
      <c r="AF55" s="1" t="str">
        <f t="shared" si="22"/>
        <v>60-80</v>
      </c>
      <c r="AG55" s="1" t="str">
        <f t="shared" si="22"/>
        <v>80-100</v>
      </c>
      <c r="AH55" s="1" t="str">
        <f t="shared" si="22"/>
        <v>100-150</v>
      </c>
      <c r="AI55" s="1" t="str">
        <f t="shared" si="22"/>
        <v>150-200</v>
      </c>
      <c r="AJ55" s="1" t="str">
        <f t="shared" si="22"/>
        <v>200-250</v>
      </c>
      <c r="AK55" s="1" t="str">
        <f t="shared" si="22"/>
        <v>250-350</v>
      </c>
      <c r="AL55" s="1" t="str">
        <f t="shared" si="22"/>
        <v>350-450</v>
      </c>
      <c r="AM55" s="1" t="str">
        <f t="shared" si="22"/>
        <v>450-650</v>
      </c>
      <c r="AN55" s="1" t="str">
        <f t="shared" si="22"/>
        <v>650-2000</v>
      </c>
    </row>
    <row r="56" spans="7:41" ht="15.75" x14ac:dyDescent="0.25">
      <c r="G56" s="265"/>
      <c r="H56" s="266"/>
      <c r="I56" s="267"/>
      <c r="J56" s="268"/>
      <c r="K56" s="269"/>
      <c r="L56" s="263"/>
      <c r="M56" s="270"/>
      <c r="N56" s="263"/>
      <c r="O56" s="263"/>
      <c r="P56" s="263"/>
      <c r="Q56" s="263"/>
      <c r="R56" s="263"/>
      <c r="S56" s="263"/>
      <c r="T56" s="264"/>
      <c r="AD56" s="1">
        <f t="shared" ref="AD56:AO56" si="23">AD18</f>
        <v>0</v>
      </c>
      <c r="AE56" s="1">
        <f t="shared" si="23"/>
        <v>40</v>
      </c>
      <c r="AF56" s="1">
        <f t="shared" si="23"/>
        <v>60</v>
      </c>
      <c r="AG56" s="1">
        <f t="shared" si="23"/>
        <v>80</v>
      </c>
      <c r="AH56" s="1">
        <f t="shared" si="23"/>
        <v>100</v>
      </c>
      <c r="AI56" s="1">
        <f t="shared" si="23"/>
        <v>150</v>
      </c>
      <c r="AJ56" s="1">
        <f t="shared" si="23"/>
        <v>200</v>
      </c>
      <c r="AK56" s="1">
        <f t="shared" si="23"/>
        <v>250</v>
      </c>
      <c r="AL56" s="1">
        <f t="shared" si="23"/>
        <v>350</v>
      </c>
      <c r="AM56" s="1">
        <f t="shared" si="23"/>
        <v>450</v>
      </c>
      <c r="AN56" s="1">
        <f t="shared" si="23"/>
        <v>650</v>
      </c>
      <c r="AO56" s="1">
        <f t="shared" si="23"/>
        <v>2000</v>
      </c>
    </row>
    <row r="57" spans="7:41" ht="15.75" x14ac:dyDescent="0.25">
      <c r="G57" s="265" t="s">
        <v>32</v>
      </c>
      <c r="H57" s="266">
        <f>SUM(H40:H55)</f>
        <v>3138</v>
      </c>
      <c r="I57" s="267">
        <f>SUM(I40:I55)</f>
        <v>4599597.6800000006</v>
      </c>
      <c r="J57" s="267">
        <f>SUM(J40:J55)</f>
        <v>11493979.168616869</v>
      </c>
      <c r="K57" s="269">
        <f t="shared" si="13"/>
        <v>0.40017452724803348</v>
      </c>
      <c r="L57" s="263"/>
      <c r="M57" s="270">
        <f t="shared" si="14"/>
        <v>1465.7736392606757</v>
      </c>
      <c r="N57" s="263"/>
      <c r="O57" s="263"/>
      <c r="P57" s="263"/>
      <c r="Q57" s="263"/>
      <c r="R57" s="263"/>
      <c r="S57" s="263"/>
      <c r="T57" s="264"/>
      <c r="Y57" s="235" t="s">
        <v>33</v>
      </c>
      <c r="Z57" s="1">
        <f>SUM(AD57:AO57)</f>
        <v>39553.200000000004</v>
      </c>
      <c r="AB57" s="1" t="s">
        <v>106</v>
      </c>
      <c r="AD57" s="1">
        <f>IF($Z$55&gt;AD56,(IF($Z$55-AE56&gt;0,(AE56-AD56)*$B$21*AD59,($Z$55-AD56)*$B$21*AD59)),0)</f>
        <v>39553.200000000004</v>
      </c>
      <c r="AE57" s="1">
        <f t="shared" ref="AE57:AN57" si="24">IF($Z$55&gt;AE56,(IF($Z$55-AF56&gt;0,(AF56-AE56)*$B$21*AE59,($Z$55-AE56)*$B$21*AE59)),0)</f>
        <v>0</v>
      </c>
      <c r="AF57" s="1">
        <f t="shared" si="24"/>
        <v>0</v>
      </c>
      <c r="AG57" s="1">
        <f t="shared" si="24"/>
        <v>0</v>
      </c>
      <c r="AH57" s="1">
        <f t="shared" si="24"/>
        <v>0</v>
      </c>
      <c r="AI57" s="1">
        <f t="shared" si="24"/>
        <v>0</v>
      </c>
      <c r="AJ57" s="1">
        <f t="shared" si="24"/>
        <v>0</v>
      </c>
      <c r="AK57" s="1">
        <f t="shared" si="24"/>
        <v>0</v>
      </c>
      <c r="AL57" s="1">
        <f t="shared" si="24"/>
        <v>0</v>
      </c>
      <c r="AM57" s="1">
        <f t="shared" si="24"/>
        <v>0</v>
      </c>
      <c r="AN57" s="1">
        <f t="shared" si="24"/>
        <v>0</v>
      </c>
    </row>
    <row r="58" spans="7:41" ht="15.75" x14ac:dyDescent="0.25">
      <c r="G58" s="265"/>
      <c r="H58" s="272"/>
      <c r="I58" s="273"/>
      <c r="J58" s="274"/>
      <c r="K58" s="263"/>
      <c r="L58" s="263"/>
      <c r="M58" s="263"/>
      <c r="N58" s="263"/>
      <c r="O58" s="263"/>
      <c r="P58" s="263"/>
      <c r="Q58" s="263"/>
      <c r="R58" s="263"/>
      <c r="S58" s="263"/>
      <c r="T58" s="264"/>
    </row>
    <row r="59" spans="7:41" x14ac:dyDescent="0.2">
      <c r="G59" s="260"/>
      <c r="H59" s="272"/>
      <c r="I59" s="273"/>
      <c r="J59" s="263"/>
      <c r="K59" s="263"/>
      <c r="L59" s="263"/>
      <c r="M59" s="263"/>
      <c r="N59" s="263"/>
      <c r="O59" s="263"/>
      <c r="P59" s="263"/>
      <c r="Q59" s="263"/>
      <c r="R59" s="263"/>
      <c r="S59" s="263"/>
      <c r="T59" s="264"/>
      <c r="AB59" s="1" t="s">
        <v>109</v>
      </c>
      <c r="AD59" s="218">
        <f t="shared" ref="AD59:AO59" si="25">AD21</f>
        <v>0.45</v>
      </c>
      <c r="AE59" s="218">
        <f t="shared" si="25"/>
        <v>0.28000000000000003</v>
      </c>
      <c r="AF59" s="218">
        <f t="shared" si="25"/>
        <v>0.2</v>
      </c>
      <c r="AG59" s="218">
        <f t="shared" si="25"/>
        <v>0.08</v>
      </c>
      <c r="AH59" s="218">
        <f t="shared" si="25"/>
        <v>0.04</v>
      </c>
      <c r="AI59" s="218">
        <f t="shared" si="25"/>
        <v>2.5000000000000001E-2</v>
      </c>
      <c r="AJ59" s="218">
        <f t="shared" si="25"/>
        <v>2.5000000000000001E-2</v>
      </c>
      <c r="AK59" s="218">
        <f t="shared" si="25"/>
        <v>2.5000000000000001E-2</v>
      </c>
      <c r="AL59" s="218">
        <f t="shared" si="25"/>
        <v>2.5000000000000001E-2</v>
      </c>
      <c r="AM59" s="218">
        <f t="shared" si="25"/>
        <v>2.5000000000000001E-2</v>
      </c>
      <c r="AN59" s="218">
        <f t="shared" si="25"/>
        <v>2.5000000000000001E-2</v>
      </c>
      <c r="AO59" s="218">
        <f t="shared" si="25"/>
        <v>0</v>
      </c>
    </row>
    <row r="60" spans="7:41" x14ac:dyDescent="0.2">
      <c r="G60" s="260"/>
      <c r="H60" s="272"/>
      <c r="I60" s="273"/>
      <c r="J60" s="263"/>
      <c r="K60" s="263"/>
      <c r="L60" s="263"/>
      <c r="M60" s="263"/>
      <c r="N60" s="263"/>
      <c r="O60" s="263"/>
      <c r="P60" s="263"/>
      <c r="Q60" s="263"/>
      <c r="R60" s="263"/>
      <c r="S60" s="263"/>
      <c r="T60" s="264"/>
    </row>
    <row r="61" spans="7:41" ht="15.75" thickBot="1" x14ac:dyDescent="0.25">
      <c r="G61" s="275"/>
      <c r="H61" s="276"/>
      <c r="I61" s="277"/>
      <c r="J61" s="278"/>
      <c r="K61" s="278"/>
      <c r="L61" s="278"/>
      <c r="M61" s="278"/>
      <c r="N61" s="278"/>
      <c r="O61" s="278"/>
      <c r="P61" s="278"/>
      <c r="Q61" s="278"/>
      <c r="R61" s="278"/>
      <c r="S61" s="278"/>
      <c r="T61" s="279"/>
    </row>
    <row r="62" spans="7:41" ht="15.75" x14ac:dyDescent="0.25">
      <c r="Y62" s="280" t="s">
        <v>16</v>
      </c>
      <c r="Z62" s="1">
        <f>C35</f>
        <v>26</v>
      </c>
      <c r="AB62" s="1" t="s">
        <v>103</v>
      </c>
      <c r="AD62" s="1" t="str">
        <f t="shared" ref="AD62:AN62" si="26">AD25</f>
        <v>0-40</v>
      </c>
      <c r="AE62" s="1" t="str">
        <f t="shared" si="26"/>
        <v>40-60</v>
      </c>
      <c r="AF62" s="1" t="str">
        <f t="shared" si="26"/>
        <v>60-80</v>
      </c>
      <c r="AG62" s="1" t="str">
        <f t="shared" si="26"/>
        <v>80-100</v>
      </c>
      <c r="AH62" s="1" t="str">
        <f t="shared" si="26"/>
        <v>100-150</v>
      </c>
      <c r="AI62" s="1" t="str">
        <f t="shared" si="26"/>
        <v>150-200</v>
      </c>
      <c r="AJ62" s="1" t="str">
        <f t="shared" si="26"/>
        <v>200-250</v>
      </c>
      <c r="AK62" s="1" t="str">
        <f t="shared" si="26"/>
        <v>250-350</v>
      </c>
      <c r="AL62" s="1" t="str">
        <f t="shared" si="26"/>
        <v>350-450</v>
      </c>
      <c r="AM62" s="1" t="str">
        <f t="shared" si="26"/>
        <v>450-650</v>
      </c>
      <c r="AN62" s="1" t="str">
        <f t="shared" si="26"/>
        <v>650-2000</v>
      </c>
    </row>
    <row r="63" spans="7:41" x14ac:dyDescent="0.2">
      <c r="AD63" s="1">
        <f t="shared" ref="AD63:AO63" si="27">AD18</f>
        <v>0</v>
      </c>
      <c r="AE63" s="1">
        <f t="shared" si="27"/>
        <v>40</v>
      </c>
      <c r="AF63" s="1">
        <f t="shared" si="27"/>
        <v>60</v>
      </c>
      <c r="AG63" s="1">
        <f t="shared" si="27"/>
        <v>80</v>
      </c>
      <c r="AH63" s="1">
        <f t="shared" si="27"/>
        <v>100</v>
      </c>
      <c r="AI63" s="1">
        <f t="shared" si="27"/>
        <v>150</v>
      </c>
      <c r="AJ63" s="1">
        <f t="shared" si="27"/>
        <v>200</v>
      </c>
      <c r="AK63" s="1">
        <f t="shared" si="27"/>
        <v>250</v>
      </c>
      <c r="AL63" s="1">
        <f t="shared" si="27"/>
        <v>350</v>
      </c>
      <c r="AM63" s="1">
        <f t="shared" si="27"/>
        <v>450</v>
      </c>
      <c r="AN63" s="1">
        <f t="shared" si="27"/>
        <v>650</v>
      </c>
      <c r="AO63" s="1">
        <f t="shared" si="27"/>
        <v>2000</v>
      </c>
    </row>
    <row r="64" spans="7:41" x14ac:dyDescent="0.2">
      <c r="Y64" s="235" t="s">
        <v>33</v>
      </c>
      <c r="Z64" s="1">
        <f>SUM(AD64:AO64)</f>
        <v>128547.90000000001</v>
      </c>
      <c r="AB64" s="1" t="s">
        <v>106</v>
      </c>
      <c r="AD64" s="1">
        <f>IF($Z$62&gt;AD63,(IF($Z$62-AE63&gt;0,(AE63-AD63)*$B$21*AD66,($Z$62-AD63)*$B$21*AD66)),0)</f>
        <v>128547.90000000001</v>
      </c>
      <c r="AE64" s="1">
        <f t="shared" ref="AE64:AN64" si="28">IF($Z$62&gt;AE63,(IF($Z$62-AF63&gt;0,(AF63-AE63)*$B$21*AE66,($Z$62-AE63)*$B$21*AE66)),0)</f>
        <v>0</v>
      </c>
      <c r="AF64" s="1">
        <f t="shared" si="28"/>
        <v>0</v>
      </c>
      <c r="AG64" s="1">
        <f t="shared" si="28"/>
        <v>0</v>
      </c>
      <c r="AH64" s="1">
        <f t="shared" si="28"/>
        <v>0</v>
      </c>
      <c r="AI64" s="1">
        <f t="shared" si="28"/>
        <v>0</v>
      </c>
      <c r="AJ64" s="1">
        <f t="shared" si="28"/>
        <v>0</v>
      </c>
      <c r="AK64" s="1">
        <f t="shared" si="28"/>
        <v>0</v>
      </c>
      <c r="AL64" s="1">
        <f t="shared" si="28"/>
        <v>0</v>
      </c>
      <c r="AM64" s="1">
        <f t="shared" si="28"/>
        <v>0</v>
      </c>
      <c r="AN64" s="1">
        <f t="shared" si="28"/>
        <v>0</v>
      </c>
    </row>
    <row r="65" spans="7:41" x14ac:dyDescent="0.2">
      <c r="G65" s="1" t="s">
        <v>137</v>
      </c>
    </row>
    <row r="66" spans="7:41" x14ac:dyDescent="0.2">
      <c r="G66" s="219"/>
      <c r="H66" s="219"/>
      <c r="I66" s="219"/>
      <c r="J66" s="219"/>
      <c r="K66" s="219"/>
      <c r="L66" s="219"/>
      <c r="M66" s="219"/>
      <c r="N66" s="219"/>
      <c r="O66" s="219"/>
      <c r="P66" s="219"/>
      <c r="Q66" s="219"/>
      <c r="R66" s="219"/>
      <c r="S66" s="219"/>
      <c r="T66" s="219"/>
      <c r="U66" s="219"/>
      <c r="V66" s="219"/>
      <c r="AB66" s="1" t="s">
        <v>109</v>
      </c>
      <c r="AD66" s="218">
        <f t="shared" ref="AD66:AO66" si="29">AD21</f>
        <v>0.45</v>
      </c>
      <c r="AE66" s="218">
        <f t="shared" si="29"/>
        <v>0.28000000000000003</v>
      </c>
      <c r="AF66" s="218">
        <f t="shared" si="29"/>
        <v>0.2</v>
      </c>
      <c r="AG66" s="218">
        <f t="shared" si="29"/>
        <v>0.08</v>
      </c>
      <c r="AH66" s="218">
        <f t="shared" si="29"/>
        <v>0.04</v>
      </c>
      <c r="AI66" s="218">
        <f t="shared" si="29"/>
        <v>2.5000000000000001E-2</v>
      </c>
      <c r="AJ66" s="218">
        <f t="shared" si="29"/>
        <v>2.5000000000000001E-2</v>
      </c>
      <c r="AK66" s="218">
        <f t="shared" si="29"/>
        <v>2.5000000000000001E-2</v>
      </c>
      <c r="AL66" s="218">
        <f t="shared" si="29"/>
        <v>2.5000000000000001E-2</v>
      </c>
      <c r="AM66" s="218">
        <f t="shared" si="29"/>
        <v>2.5000000000000001E-2</v>
      </c>
      <c r="AN66" s="218">
        <f t="shared" si="29"/>
        <v>2.5000000000000001E-2</v>
      </c>
      <c r="AO66" s="218">
        <f t="shared" si="29"/>
        <v>0</v>
      </c>
    </row>
    <row r="67" spans="7:41" x14ac:dyDescent="0.2">
      <c r="G67" s="219"/>
      <c r="H67" s="219"/>
      <c r="I67" s="219"/>
      <c r="J67" s="219"/>
      <c r="K67" s="219"/>
      <c r="L67" s="219"/>
      <c r="M67" s="219"/>
      <c r="N67" s="219"/>
      <c r="O67" s="219"/>
      <c r="P67" s="219"/>
      <c r="Q67" s="219"/>
      <c r="R67" s="219"/>
      <c r="S67" s="219"/>
      <c r="T67" s="219"/>
      <c r="U67" s="219"/>
      <c r="V67" s="219"/>
      <c r="W67" s="219"/>
    </row>
    <row r="68" spans="7:41" x14ac:dyDescent="0.2">
      <c r="G68" s="1" t="s">
        <v>8</v>
      </c>
      <c r="H68" s="1" t="s">
        <v>9</v>
      </c>
      <c r="I68" s="1" t="s">
        <v>10</v>
      </c>
      <c r="J68" s="1" t="s">
        <v>11</v>
      </c>
      <c r="K68" s="1" t="s">
        <v>12</v>
      </c>
      <c r="L68" s="1" t="s">
        <v>13</v>
      </c>
      <c r="M68" s="1" t="s">
        <v>14</v>
      </c>
      <c r="N68" s="1" t="s">
        <v>15</v>
      </c>
      <c r="O68" s="1" t="s">
        <v>16</v>
      </c>
      <c r="P68" s="1" t="s">
        <v>17</v>
      </c>
      <c r="Q68" s="1" t="s">
        <v>18</v>
      </c>
      <c r="R68" s="1" t="s">
        <v>19</v>
      </c>
      <c r="S68" s="1" t="s">
        <v>20</v>
      </c>
      <c r="T68" s="1" t="s">
        <v>21</v>
      </c>
      <c r="U68" s="1" t="s">
        <v>22</v>
      </c>
      <c r="V68" s="1" t="s">
        <v>23</v>
      </c>
    </row>
    <row r="69" spans="7:41" x14ac:dyDescent="0.2">
      <c r="G69" s="22">
        <f>I41</f>
        <v>203918.72</v>
      </c>
      <c r="H69" s="22">
        <f>I47</f>
        <v>306757.04000000004</v>
      </c>
      <c r="I69" s="22">
        <f>I53</f>
        <v>387566.42500000005</v>
      </c>
      <c r="J69" s="22">
        <f>I42</f>
        <v>265885.40000000002</v>
      </c>
      <c r="K69" s="22">
        <f>I40</f>
        <v>234682.32</v>
      </c>
      <c r="L69" s="22">
        <f>I50</f>
        <v>351309.32500000001</v>
      </c>
      <c r="M69" s="22">
        <f>I54</f>
        <v>461179.32500000001</v>
      </c>
      <c r="N69" s="22">
        <f>I44</f>
        <v>118659.6</v>
      </c>
      <c r="O69" s="22">
        <f>I46</f>
        <v>128547.90000000001</v>
      </c>
      <c r="P69" s="22">
        <f>I51</f>
        <v>376579.42500000005</v>
      </c>
      <c r="Q69" s="22">
        <f>I49</f>
        <v>222376.88</v>
      </c>
      <c r="R69" s="22">
        <f>I52</f>
        <v>360373.60000000003</v>
      </c>
      <c r="S69" s="22">
        <f>I45</f>
        <v>39553.200000000004</v>
      </c>
      <c r="T69" s="22">
        <f>I48</f>
        <v>324775.72000000003</v>
      </c>
      <c r="U69" s="22">
        <f>I43</f>
        <v>213147.8</v>
      </c>
      <c r="V69" s="22">
        <f>I55</f>
        <v>604285</v>
      </c>
    </row>
    <row r="70" spans="7:41" x14ac:dyDescent="0.2">
      <c r="Y70" s="235" t="s">
        <v>9</v>
      </c>
      <c r="Z70" s="1">
        <f>C36</f>
        <v>84</v>
      </c>
      <c r="AB70" s="1" t="s">
        <v>103</v>
      </c>
      <c r="AD70" s="1" t="str">
        <f t="shared" ref="AD70:AN70" si="30">AD25</f>
        <v>0-40</v>
      </c>
      <c r="AE70" s="1" t="str">
        <f t="shared" si="30"/>
        <v>40-60</v>
      </c>
      <c r="AF70" s="1" t="str">
        <f t="shared" si="30"/>
        <v>60-80</v>
      </c>
      <c r="AG70" s="1" t="str">
        <f t="shared" si="30"/>
        <v>80-100</v>
      </c>
      <c r="AH70" s="1" t="str">
        <f t="shared" si="30"/>
        <v>100-150</v>
      </c>
      <c r="AI70" s="1" t="str">
        <f t="shared" si="30"/>
        <v>150-200</v>
      </c>
      <c r="AJ70" s="1" t="str">
        <f t="shared" si="30"/>
        <v>200-250</v>
      </c>
      <c r="AK70" s="1" t="str">
        <f t="shared" si="30"/>
        <v>250-350</v>
      </c>
      <c r="AL70" s="1" t="str">
        <f t="shared" si="30"/>
        <v>350-450</v>
      </c>
      <c r="AM70" s="1" t="str">
        <f t="shared" si="30"/>
        <v>450-650</v>
      </c>
      <c r="AN70" s="1" t="str">
        <f t="shared" si="30"/>
        <v>650-2000</v>
      </c>
    </row>
    <row r="71" spans="7:41" x14ac:dyDescent="0.2">
      <c r="AD71" s="1">
        <f t="shared" ref="AD71:AO71" si="31">AD18</f>
        <v>0</v>
      </c>
      <c r="AE71" s="1">
        <f t="shared" si="31"/>
        <v>40</v>
      </c>
      <c r="AF71" s="1">
        <f t="shared" si="31"/>
        <v>60</v>
      </c>
      <c r="AG71" s="1">
        <f t="shared" si="31"/>
        <v>80</v>
      </c>
      <c r="AH71" s="1">
        <f t="shared" si="31"/>
        <v>100</v>
      </c>
      <c r="AI71" s="1">
        <f t="shared" si="31"/>
        <v>150</v>
      </c>
      <c r="AJ71" s="1">
        <f t="shared" si="31"/>
        <v>200</v>
      </c>
      <c r="AK71" s="1">
        <f t="shared" si="31"/>
        <v>250</v>
      </c>
      <c r="AL71" s="1">
        <f t="shared" si="31"/>
        <v>350</v>
      </c>
      <c r="AM71" s="1">
        <f t="shared" si="31"/>
        <v>450</v>
      </c>
      <c r="AN71" s="1">
        <f t="shared" si="31"/>
        <v>650</v>
      </c>
      <c r="AO71" s="1">
        <f t="shared" si="31"/>
        <v>2000</v>
      </c>
    </row>
    <row r="72" spans="7:41" x14ac:dyDescent="0.2">
      <c r="Y72" s="235" t="s">
        <v>33</v>
      </c>
      <c r="Z72" s="1">
        <f>SUM(AD72:AO72)</f>
        <v>306757.04000000004</v>
      </c>
      <c r="AB72" s="1" t="s">
        <v>106</v>
      </c>
      <c r="AD72" s="1">
        <f>IF($Z$70&gt;AD71,(IF($Z$70-AE71&gt;0,(AE71-AD71)*$B$21*AD74,($Z$70-AD71)*$B$21*AD74)),0)</f>
        <v>197766</v>
      </c>
      <c r="AE72" s="1">
        <f t="shared" ref="AE72:AN72" si="32">IF($Z$70&gt;AE71,(IF($Z$70-AF71&gt;0,(AF71-AE71)*$B$21*AE74,($Z$70-AE71)*$B$21*AE74)),0)</f>
        <v>61527.200000000004</v>
      </c>
      <c r="AF72" s="1">
        <f t="shared" si="32"/>
        <v>43948</v>
      </c>
      <c r="AG72" s="1">
        <f t="shared" si="32"/>
        <v>3515.84</v>
      </c>
      <c r="AH72" s="1">
        <f t="shared" si="32"/>
        <v>0</v>
      </c>
      <c r="AI72" s="1">
        <f t="shared" si="32"/>
        <v>0</v>
      </c>
      <c r="AJ72" s="1">
        <f t="shared" si="32"/>
        <v>0</v>
      </c>
      <c r="AK72" s="1">
        <f t="shared" si="32"/>
        <v>0</v>
      </c>
      <c r="AL72" s="1">
        <f t="shared" si="32"/>
        <v>0</v>
      </c>
      <c r="AM72" s="1">
        <f t="shared" si="32"/>
        <v>0</v>
      </c>
      <c r="AN72" s="1">
        <f t="shared" si="32"/>
        <v>0</v>
      </c>
    </row>
    <row r="74" spans="7:41" x14ac:dyDescent="0.2">
      <c r="AB74" s="1" t="s">
        <v>109</v>
      </c>
      <c r="AD74" s="218">
        <f t="shared" ref="AD74:AO74" si="33">AD21</f>
        <v>0.45</v>
      </c>
      <c r="AE74" s="218">
        <f t="shared" si="33"/>
        <v>0.28000000000000003</v>
      </c>
      <c r="AF74" s="218">
        <f t="shared" si="33"/>
        <v>0.2</v>
      </c>
      <c r="AG74" s="218">
        <f t="shared" si="33"/>
        <v>0.08</v>
      </c>
      <c r="AH74" s="218">
        <f t="shared" si="33"/>
        <v>0.04</v>
      </c>
      <c r="AI74" s="218">
        <f t="shared" si="33"/>
        <v>2.5000000000000001E-2</v>
      </c>
      <c r="AJ74" s="218">
        <f t="shared" si="33"/>
        <v>2.5000000000000001E-2</v>
      </c>
      <c r="AK74" s="218">
        <f t="shared" si="33"/>
        <v>2.5000000000000001E-2</v>
      </c>
      <c r="AL74" s="218">
        <f t="shared" si="33"/>
        <v>2.5000000000000001E-2</v>
      </c>
      <c r="AM74" s="218">
        <f t="shared" si="33"/>
        <v>2.5000000000000001E-2</v>
      </c>
      <c r="AN74" s="218">
        <f t="shared" si="33"/>
        <v>2.5000000000000001E-2</v>
      </c>
      <c r="AO74" s="218">
        <f t="shared" si="33"/>
        <v>0</v>
      </c>
    </row>
    <row r="77" spans="7:41" x14ac:dyDescent="0.2">
      <c r="Y77" s="235" t="s">
        <v>21</v>
      </c>
      <c r="Z77" s="1">
        <f>C37</f>
        <v>109</v>
      </c>
      <c r="AB77" s="1" t="s">
        <v>103</v>
      </c>
      <c r="AD77" s="1" t="str">
        <f t="shared" ref="AD77:AN77" si="34">AD25</f>
        <v>0-40</v>
      </c>
      <c r="AE77" s="1" t="str">
        <f t="shared" si="34"/>
        <v>40-60</v>
      </c>
      <c r="AF77" s="1" t="str">
        <f t="shared" si="34"/>
        <v>60-80</v>
      </c>
      <c r="AG77" s="1" t="str">
        <f t="shared" si="34"/>
        <v>80-100</v>
      </c>
      <c r="AH77" s="1" t="str">
        <f t="shared" si="34"/>
        <v>100-150</v>
      </c>
      <c r="AI77" s="1" t="str">
        <f t="shared" si="34"/>
        <v>150-200</v>
      </c>
      <c r="AJ77" s="1" t="str">
        <f t="shared" si="34"/>
        <v>200-250</v>
      </c>
      <c r="AK77" s="1" t="str">
        <f t="shared" si="34"/>
        <v>250-350</v>
      </c>
      <c r="AL77" s="1" t="str">
        <f t="shared" si="34"/>
        <v>350-450</v>
      </c>
      <c r="AM77" s="1" t="str">
        <f t="shared" si="34"/>
        <v>450-650</v>
      </c>
      <c r="AN77" s="1" t="str">
        <f t="shared" si="34"/>
        <v>650-2000</v>
      </c>
    </row>
    <row r="78" spans="7:41" x14ac:dyDescent="0.2">
      <c r="AD78" s="1">
        <f t="shared" ref="AD78:AO78" si="35">AD18</f>
        <v>0</v>
      </c>
      <c r="AE78" s="1">
        <f t="shared" si="35"/>
        <v>40</v>
      </c>
      <c r="AF78" s="1">
        <f t="shared" si="35"/>
        <v>60</v>
      </c>
      <c r="AG78" s="1">
        <f t="shared" si="35"/>
        <v>80</v>
      </c>
      <c r="AH78" s="1">
        <f t="shared" si="35"/>
        <v>100</v>
      </c>
      <c r="AI78" s="1">
        <f t="shared" si="35"/>
        <v>150</v>
      </c>
      <c r="AJ78" s="1">
        <f t="shared" si="35"/>
        <v>200</v>
      </c>
      <c r="AK78" s="1">
        <f t="shared" si="35"/>
        <v>250</v>
      </c>
      <c r="AL78" s="1">
        <f t="shared" si="35"/>
        <v>350</v>
      </c>
      <c r="AM78" s="1">
        <f t="shared" si="35"/>
        <v>450</v>
      </c>
      <c r="AN78" s="1">
        <f t="shared" si="35"/>
        <v>650</v>
      </c>
      <c r="AO78" s="1">
        <f t="shared" si="35"/>
        <v>2000</v>
      </c>
    </row>
    <row r="79" spans="7:41" x14ac:dyDescent="0.2">
      <c r="Y79" s="235" t="s">
        <v>33</v>
      </c>
      <c r="Z79" s="1">
        <f>SUM(AD79:AO79)</f>
        <v>324775.72000000003</v>
      </c>
      <c r="AB79" s="1" t="s">
        <v>106</v>
      </c>
      <c r="AD79" s="1">
        <f>IF($Z$77&gt;AD78,(IF($Z$77-AE78&gt;0,(AE78-AD78)*$B$21*AD81,($Z$77-AD78)*$B$21*AD81)),0)</f>
        <v>197766</v>
      </c>
      <c r="AE79" s="1">
        <f t="shared" ref="AE79:AN79" si="36">IF($Z$77&gt;AE78,(IF($Z$77-AF78&gt;0,(AF78-AE78)*$B$21*AE81,($Z$77-AE78)*$B$21*AE81)),0)</f>
        <v>61527.200000000004</v>
      </c>
      <c r="AF79" s="1">
        <f t="shared" si="36"/>
        <v>43948</v>
      </c>
      <c r="AG79" s="1">
        <f t="shared" si="36"/>
        <v>17579.2</v>
      </c>
      <c r="AH79" s="1">
        <f t="shared" si="36"/>
        <v>3955.32</v>
      </c>
      <c r="AI79" s="1">
        <f t="shared" si="36"/>
        <v>0</v>
      </c>
      <c r="AJ79" s="1">
        <f t="shared" si="36"/>
        <v>0</v>
      </c>
      <c r="AK79" s="1">
        <f t="shared" si="36"/>
        <v>0</v>
      </c>
      <c r="AL79" s="1">
        <f t="shared" si="36"/>
        <v>0</v>
      </c>
      <c r="AM79" s="1">
        <f t="shared" si="36"/>
        <v>0</v>
      </c>
      <c r="AN79" s="1">
        <f t="shared" si="36"/>
        <v>0</v>
      </c>
    </row>
    <row r="81" spans="25:41" x14ac:dyDescent="0.2">
      <c r="AB81" s="1" t="s">
        <v>109</v>
      </c>
      <c r="AD81" s="218">
        <f t="shared" ref="AD81:AO81" si="37">AD21</f>
        <v>0.45</v>
      </c>
      <c r="AE81" s="218">
        <f t="shared" si="37"/>
        <v>0.28000000000000003</v>
      </c>
      <c r="AF81" s="218">
        <f t="shared" si="37"/>
        <v>0.2</v>
      </c>
      <c r="AG81" s="218">
        <f t="shared" si="37"/>
        <v>0.08</v>
      </c>
      <c r="AH81" s="218">
        <f t="shared" si="37"/>
        <v>0.04</v>
      </c>
      <c r="AI81" s="218">
        <f t="shared" si="37"/>
        <v>2.5000000000000001E-2</v>
      </c>
      <c r="AJ81" s="218">
        <f t="shared" si="37"/>
        <v>2.5000000000000001E-2</v>
      </c>
      <c r="AK81" s="218">
        <f t="shared" si="37"/>
        <v>2.5000000000000001E-2</v>
      </c>
      <c r="AL81" s="218">
        <f t="shared" si="37"/>
        <v>2.5000000000000001E-2</v>
      </c>
      <c r="AM81" s="218">
        <f t="shared" si="37"/>
        <v>2.5000000000000001E-2</v>
      </c>
      <c r="AN81" s="218">
        <f t="shared" si="37"/>
        <v>2.5000000000000001E-2</v>
      </c>
      <c r="AO81" s="218">
        <f t="shared" si="37"/>
        <v>0</v>
      </c>
    </row>
    <row r="85" spans="25:41" x14ac:dyDescent="0.2">
      <c r="Y85" s="235" t="s">
        <v>18</v>
      </c>
      <c r="Z85" s="1">
        <f>C38</f>
        <v>48</v>
      </c>
      <c r="AB85" s="1" t="s">
        <v>103</v>
      </c>
      <c r="AD85" s="1" t="str">
        <f t="shared" ref="AD85:AN85" si="38">AD25</f>
        <v>0-40</v>
      </c>
      <c r="AE85" s="1" t="str">
        <f t="shared" si="38"/>
        <v>40-60</v>
      </c>
      <c r="AF85" s="1" t="str">
        <f t="shared" si="38"/>
        <v>60-80</v>
      </c>
      <c r="AG85" s="1" t="str">
        <f t="shared" si="38"/>
        <v>80-100</v>
      </c>
      <c r="AH85" s="1" t="str">
        <f t="shared" si="38"/>
        <v>100-150</v>
      </c>
      <c r="AI85" s="1" t="str">
        <f t="shared" si="38"/>
        <v>150-200</v>
      </c>
      <c r="AJ85" s="1" t="str">
        <f t="shared" si="38"/>
        <v>200-250</v>
      </c>
      <c r="AK85" s="1" t="str">
        <f t="shared" si="38"/>
        <v>250-350</v>
      </c>
      <c r="AL85" s="1" t="str">
        <f t="shared" si="38"/>
        <v>350-450</v>
      </c>
      <c r="AM85" s="1" t="str">
        <f t="shared" si="38"/>
        <v>450-650</v>
      </c>
      <c r="AN85" s="1" t="str">
        <f t="shared" si="38"/>
        <v>650-2000</v>
      </c>
    </row>
    <row r="86" spans="25:41" x14ac:dyDescent="0.2">
      <c r="AD86" s="1">
        <f t="shared" ref="AD86:AO86" si="39">AD18</f>
        <v>0</v>
      </c>
      <c r="AE86" s="1">
        <f t="shared" si="39"/>
        <v>40</v>
      </c>
      <c r="AF86" s="1">
        <f t="shared" si="39"/>
        <v>60</v>
      </c>
      <c r="AG86" s="1">
        <f t="shared" si="39"/>
        <v>80</v>
      </c>
      <c r="AH86" s="1">
        <f t="shared" si="39"/>
        <v>100</v>
      </c>
      <c r="AI86" s="1">
        <f t="shared" si="39"/>
        <v>150</v>
      </c>
      <c r="AJ86" s="1">
        <f t="shared" si="39"/>
        <v>200</v>
      </c>
      <c r="AK86" s="1">
        <f t="shared" si="39"/>
        <v>250</v>
      </c>
      <c r="AL86" s="1">
        <f t="shared" si="39"/>
        <v>350</v>
      </c>
      <c r="AM86" s="1">
        <f t="shared" si="39"/>
        <v>450</v>
      </c>
      <c r="AN86" s="1">
        <f t="shared" si="39"/>
        <v>650</v>
      </c>
      <c r="AO86" s="1">
        <f t="shared" si="39"/>
        <v>2000</v>
      </c>
    </row>
    <row r="87" spans="25:41" x14ac:dyDescent="0.2">
      <c r="Y87" s="235" t="s">
        <v>33</v>
      </c>
      <c r="Z87" s="1">
        <f>SUM(AD87:AO87)</f>
        <v>222376.88</v>
      </c>
      <c r="AB87" s="1" t="s">
        <v>106</v>
      </c>
      <c r="AD87" s="1">
        <f>IF($Z$85&gt;AD86,(IF($Z$85-AE86&gt;0,(AE86-AD86)*$B$21*AD89,($Z$85-AD86)*$B$21*AD89)),0)</f>
        <v>197766</v>
      </c>
      <c r="AE87" s="1">
        <f t="shared" ref="AE87:AN87" si="40">IF($Z$85&gt;AE86,(IF($Z$85-AF86&gt;0,(AF86-AE86)*$B$21*AE89,($Z$85-AE86)*$B$21*AE89)),0)</f>
        <v>24610.880000000001</v>
      </c>
      <c r="AF87" s="1">
        <f t="shared" si="40"/>
        <v>0</v>
      </c>
      <c r="AG87" s="1">
        <f t="shared" si="40"/>
        <v>0</v>
      </c>
      <c r="AH87" s="1">
        <f t="shared" si="40"/>
        <v>0</v>
      </c>
      <c r="AI87" s="1">
        <f t="shared" si="40"/>
        <v>0</v>
      </c>
      <c r="AJ87" s="1">
        <f t="shared" si="40"/>
        <v>0</v>
      </c>
      <c r="AK87" s="1">
        <f t="shared" si="40"/>
        <v>0</v>
      </c>
      <c r="AL87" s="1">
        <f t="shared" si="40"/>
        <v>0</v>
      </c>
      <c r="AM87" s="1">
        <f t="shared" si="40"/>
        <v>0</v>
      </c>
      <c r="AN87" s="1">
        <f t="shared" si="40"/>
        <v>0</v>
      </c>
    </row>
    <row r="89" spans="25:41" x14ac:dyDescent="0.2">
      <c r="AB89" s="1" t="s">
        <v>109</v>
      </c>
      <c r="AD89" s="218">
        <f t="shared" ref="AD89:AO89" si="41">AD21</f>
        <v>0.45</v>
      </c>
      <c r="AE89" s="218">
        <f t="shared" si="41"/>
        <v>0.28000000000000003</v>
      </c>
      <c r="AF89" s="218">
        <f t="shared" si="41"/>
        <v>0.2</v>
      </c>
      <c r="AG89" s="218">
        <f t="shared" si="41"/>
        <v>0.08</v>
      </c>
      <c r="AH89" s="218">
        <f t="shared" si="41"/>
        <v>0.04</v>
      </c>
      <c r="AI89" s="218">
        <f t="shared" si="41"/>
        <v>2.5000000000000001E-2</v>
      </c>
      <c r="AJ89" s="218">
        <f t="shared" si="41"/>
        <v>2.5000000000000001E-2</v>
      </c>
      <c r="AK89" s="218">
        <f t="shared" si="41"/>
        <v>2.5000000000000001E-2</v>
      </c>
      <c r="AL89" s="218">
        <f t="shared" si="41"/>
        <v>2.5000000000000001E-2</v>
      </c>
      <c r="AM89" s="218">
        <f t="shared" si="41"/>
        <v>2.5000000000000001E-2</v>
      </c>
      <c r="AN89" s="218">
        <f t="shared" si="41"/>
        <v>2.5000000000000001E-2</v>
      </c>
      <c r="AO89" s="218">
        <f t="shared" si="41"/>
        <v>0</v>
      </c>
    </row>
    <row r="92" spans="25:41" x14ac:dyDescent="0.2">
      <c r="Y92" s="235" t="s">
        <v>13</v>
      </c>
      <c r="Z92" s="1">
        <f>C39</f>
        <v>181</v>
      </c>
      <c r="AB92" s="1" t="s">
        <v>103</v>
      </c>
      <c r="AD92" s="1" t="str">
        <f t="shared" ref="AD92:AN92" si="42">AD25</f>
        <v>0-40</v>
      </c>
      <c r="AE92" s="1" t="str">
        <f t="shared" si="42"/>
        <v>40-60</v>
      </c>
      <c r="AF92" s="1" t="str">
        <f t="shared" si="42"/>
        <v>60-80</v>
      </c>
      <c r="AG92" s="1" t="str">
        <f t="shared" si="42"/>
        <v>80-100</v>
      </c>
      <c r="AH92" s="1" t="str">
        <f t="shared" si="42"/>
        <v>100-150</v>
      </c>
      <c r="AI92" s="1" t="str">
        <f t="shared" si="42"/>
        <v>150-200</v>
      </c>
      <c r="AJ92" s="1" t="str">
        <f t="shared" si="42"/>
        <v>200-250</v>
      </c>
      <c r="AK92" s="1" t="str">
        <f t="shared" si="42"/>
        <v>250-350</v>
      </c>
      <c r="AL92" s="1" t="str">
        <f t="shared" si="42"/>
        <v>350-450</v>
      </c>
      <c r="AM92" s="1" t="str">
        <f t="shared" si="42"/>
        <v>450-650</v>
      </c>
      <c r="AN92" s="1" t="str">
        <f t="shared" si="42"/>
        <v>650-2000</v>
      </c>
    </row>
    <row r="93" spans="25:41" x14ac:dyDescent="0.2">
      <c r="AD93" s="1">
        <f t="shared" ref="AD93:AO93" si="43">AD18</f>
        <v>0</v>
      </c>
      <c r="AE93" s="1">
        <f t="shared" si="43"/>
        <v>40</v>
      </c>
      <c r="AF93" s="1">
        <f t="shared" si="43"/>
        <v>60</v>
      </c>
      <c r="AG93" s="1">
        <f t="shared" si="43"/>
        <v>80</v>
      </c>
      <c r="AH93" s="1">
        <f t="shared" si="43"/>
        <v>100</v>
      </c>
      <c r="AI93" s="1">
        <f t="shared" si="43"/>
        <v>150</v>
      </c>
      <c r="AJ93" s="1">
        <f t="shared" si="43"/>
        <v>200</v>
      </c>
      <c r="AK93" s="1">
        <f t="shared" si="43"/>
        <v>250</v>
      </c>
      <c r="AL93" s="1">
        <f t="shared" si="43"/>
        <v>350</v>
      </c>
      <c r="AM93" s="1">
        <f t="shared" si="43"/>
        <v>450</v>
      </c>
      <c r="AN93" s="1">
        <f t="shared" si="43"/>
        <v>650</v>
      </c>
      <c r="AO93" s="1">
        <f t="shared" si="43"/>
        <v>2000</v>
      </c>
    </row>
    <row r="94" spans="25:41" x14ac:dyDescent="0.2">
      <c r="Y94" s="235" t="s">
        <v>33</v>
      </c>
      <c r="Z94" s="1">
        <f>SUM(AD94:AO94)</f>
        <v>351309.32500000001</v>
      </c>
      <c r="AB94" s="1" t="s">
        <v>106</v>
      </c>
      <c r="AD94" s="1">
        <f>IF($Z$92&gt;AD93,(IF($Z$92-AE93&gt;0,(AE93-AD93)*$B$21*AD96,($Z$92-AD93)*$B$21*AD96)),0)</f>
        <v>197766</v>
      </c>
      <c r="AE94" s="1">
        <f t="shared" ref="AE94:AN94" si="44">IF($Z$92&gt;AE93,(IF($Z$92-AF93&gt;0,(AF93-AE93)*$B$21*AE96,($Z$92-AE93)*$B$21*AE96)),0)</f>
        <v>61527.200000000004</v>
      </c>
      <c r="AF94" s="1">
        <f t="shared" si="44"/>
        <v>43948</v>
      </c>
      <c r="AG94" s="1">
        <f t="shared" si="44"/>
        <v>17579.2</v>
      </c>
      <c r="AH94" s="1">
        <f t="shared" si="44"/>
        <v>21974</v>
      </c>
      <c r="AI94" s="1">
        <f t="shared" si="44"/>
        <v>8514.9250000000011</v>
      </c>
      <c r="AJ94" s="1">
        <f t="shared" si="44"/>
        <v>0</v>
      </c>
      <c r="AK94" s="1">
        <f t="shared" si="44"/>
        <v>0</v>
      </c>
      <c r="AL94" s="1">
        <f t="shared" si="44"/>
        <v>0</v>
      </c>
      <c r="AM94" s="1">
        <f t="shared" si="44"/>
        <v>0</v>
      </c>
      <c r="AN94" s="1">
        <f t="shared" si="44"/>
        <v>0</v>
      </c>
    </row>
    <row r="96" spans="25:41" x14ac:dyDescent="0.2">
      <c r="AB96" s="1" t="s">
        <v>109</v>
      </c>
      <c r="AD96" s="218">
        <f t="shared" ref="AD96:AO96" si="45">AD21</f>
        <v>0.45</v>
      </c>
      <c r="AE96" s="218">
        <f t="shared" si="45"/>
        <v>0.28000000000000003</v>
      </c>
      <c r="AF96" s="218">
        <f t="shared" si="45"/>
        <v>0.2</v>
      </c>
      <c r="AG96" s="218">
        <f t="shared" si="45"/>
        <v>0.08</v>
      </c>
      <c r="AH96" s="218">
        <f t="shared" si="45"/>
        <v>0.04</v>
      </c>
      <c r="AI96" s="218">
        <f t="shared" si="45"/>
        <v>2.5000000000000001E-2</v>
      </c>
      <c r="AJ96" s="218">
        <f t="shared" si="45"/>
        <v>2.5000000000000001E-2</v>
      </c>
      <c r="AK96" s="218">
        <f t="shared" si="45"/>
        <v>2.5000000000000001E-2</v>
      </c>
      <c r="AL96" s="218">
        <f t="shared" si="45"/>
        <v>2.5000000000000001E-2</v>
      </c>
      <c r="AM96" s="218">
        <f t="shared" si="45"/>
        <v>2.5000000000000001E-2</v>
      </c>
      <c r="AN96" s="218">
        <f t="shared" si="45"/>
        <v>2.5000000000000001E-2</v>
      </c>
      <c r="AO96" s="218">
        <f t="shared" si="45"/>
        <v>0</v>
      </c>
    </row>
    <row r="100" spans="8:41" x14ac:dyDescent="0.2">
      <c r="Y100" s="235" t="s">
        <v>17</v>
      </c>
      <c r="Z100" s="1">
        <f>C40</f>
        <v>273</v>
      </c>
      <c r="AB100" s="1" t="s">
        <v>103</v>
      </c>
      <c r="AD100" s="1" t="str">
        <f t="shared" ref="AD100:AN100" si="46">AD25</f>
        <v>0-40</v>
      </c>
      <c r="AE100" s="1" t="str">
        <f t="shared" si="46"/>
        <v>40-60</v>
      </c>
      <c r="AF100" s="1" t="str">
        <f t="shared" si="46"/>
        <v>60-80</v>
      </c>
      <c r="AG100" s="1" t="str">
        <f t="shared" si="46"/>
        <v>80-100</v>
      </c>
      <c r="AH100" s="1" t="str">
        <f t="shared" si="46"/>
        <v>100-150</v>
      </c>
      <c r="AI100" s="1" t="str">
        <f t="shared" si="46"/>
        <v>150-200</v>
      </c>
      <c r="AJ100" s="1" t="str">
        <f t="shared" si="46"/>
        <v>200-250</v>
      </c>
      <c r="AK100" s="1" t="str">
        <f t="shared" si="46"/>
        <v>250-350</v>
      </c>
      <c r="AL100" s="1" t="str">
        <f t="shared" si="46"/>
        <v>350-450</v>
      </c>
      <c r="AM100" s="1" t="str">
        <f t="shared" si="46"/>
        <v>450-650</v>
      </c>
      <c r="AN100" s="1" t="str">
        <f t="shared" si="46"/>
        <v>650-2000</v>
      </c>
    </row>
    <row r="101" spans="8:41" x14ac:dyDescent="0.2">
      <c r="AD101" s="1">
        <f t="shared" ref="AD101:AO101" si="47">AD18</f>
        <v>0</v>
      </c>
      <c r="AE101" s="1">
        <f t="shared" si="47"/>
        <v>40</v>
      </c>
      <c r="AF101" s="1">
        <f t="shared" si="47"/>
        <v>60</v>
      </c>
      <c r="AG101" s="1">
        <f t="shared" si="47"/>
        <v>80</v>
      </c>
      <c r="AH101" s="1">
        <f t="shared" si="47"/>
        <v>100</v>
      </c>
      <c r="AI101" s="1">
        <f t="shared" si="47"/>
        <v>150</v>
      </c>
      <c r="AJ101" s="1">
        <f t="shared" si="47"/>
        <v>200</v>
      </c>
      <c r="AK101" s="1">
        <f t="shared" si="47"/>
        <v>250</v>
      </c>
      <c r="AL101" s="1">
        <f t="shared" si="47"/>
        <v>350</v>
      </c>
      <c r="AM101" s="1">
        <f t="shared" si="47"/>
        <v>450</v>
      </c>
      <c r="AN101" s="1">
        <f t="shared" si="47"/>
        <v>650</v>
      </c>
      <c r="AO101" s="1">
        <f t="shared" si="47"/>
        <v>2000</v>
      </c>
    </row>
    <row r="102" spans="8:41" x14ac:dyDescent="0.2">
      <c r="Y102" s="235" t="s">
        <v>33</v>
      </c>
      <c r="Z102" s="1">
        <f>SUM(AD102:AO102)</f>
        <v>376579.42500000005</v>
      </c>
      <c r="AB102" s="1" t="s">
        <v>106</v>
      </c>
      <c r="AD102" s="1">
        <f>IF($Z$100&gt;AD101,(IF($Z$100-AE101&gt;0,(AE101-AD101)*$B$21*AD104,($Z$100-AD101)*$B$21*AD104)),0)</f>
        <v>197766</v>
      </c>
      <c r="AE102" s="1">
        <f t="shared" ref="AE102:AN102" si="48">IF($Z$100&gt;AE101,(IF($Z$100-AF101&gt;0,(AF101-AE101)*$B$21*AE104,($Z$100-AE101)*$B$21*AE104)),0)</f>
        <v>61527.200000000004</v>
      </c>
      <c r="AF102" s="1">
        <f t="shared" si="48"/>
        <v>43948</v>
      </c>
      <c r="AG102" s="1">
        <f t="shared" si="48"/>
        <v>17579.2</v>
      </c>
      <c r="AH102" s="1">
        <f t="shared" si="48"/>
        <v>21974</v>
      </c>
      <c r="AI102" s="1">
        <f t="shared" si="48"/>
        <v>13733.75</v>
      </c>
      <c r="AJ102" s="1">
        <f t="shared" si="48"/>
        <v>13733.75</v>
      </c>
      <c r="AK102" s="1">
        <f t="shared" si="48"/>
        <v>6317.5250000000005</v>
      </c>
      <c r="AL102" s="1">
        <f t="shared" si="48"/>
        <v>0</v>
      </c>
      <c r="AM102" s="1">
        <f t="shared" si="48"/>
        <v>0</v>
      </c>
      <c r="AN102" s="1">
        <f t="shared" si="48"/>
        <v>0</v>
      </c>
    </row>
    <row r="104" spans="8:41" x14ac:dyDescent="0.2">
      <c r="H104" s="22"/>
      <c r="I104" s="22"/>
      <c r="J104" s="22"/>
      <c r="K104" s="22"/>
      <c r="L104" s="22"/>
      <c r="M104" s="22"/>
      <c r="N104" s="22"/>
      <c r="O104" s="22"/>
      <c r="P104" s="22"/>
      <c r="Q104" s="22"/>
      <c r="R104" s="22"/>
      <c r="S104" s="22"/>
      <c r="T104" s="22"/>
      <c r="U104" s="22"/>
      <c r="V104" s="22"/>
      <c r="W104" s="22"/>
      <c r="AB104" s="1" t="s">
        <v>109</v>
      </c>
      <c r="AD104" s="218">
        <f t="shared" ref="AD104:AO104" si="49">AD21</f>
        <v>0.45</v>
      </c>
      <c r="AE104" s="218">
        <f t="shared" si="49"/>
        <v>0.28000000000000003</v>
      </c>
      <c r="AF104" s="218">
        <f t="shared" si="49"/>
        <v>0.2</v>
      </c>
      <c r="AG104" s="218">
        <f t="shared" si="49"/>
        <v>0.08</v>
      </c>
      <c r="AH104" s="218">
        <f t="shared" si="49"/>
        <v>0.04</v>
      </c>
      <c r="AI104" s="218">
        <f t="shared" si="49"/>
        <v>2.5000000000000001E-2</v>
      </c>
      <c r="AJ104" s="218">
        <f t="shared" si="49"/>
        <v>2.5000000000000001E-2</v>
      </c>
      <c r="AK104" s="218">
        <f t="shared" si="49"/>
        <v>2.5000000000000001E-2</v>
      </c>
      <c r="AL104" s="218">
        <f t="shared" si="49"/>
        <v>2.5000000000000001E-2</v>
      </c>
      <c r="AM104" s="218">
        <f t="shared" si="49"/>
        <v>2.5000000000000001E-2</v>
      </c>
      <c r="AN104" s="218">
        <f t="shared" si="49"/>
        <v>2.5000000000000001E-2</v>
      </c>
      <c r="AO104" s="218">
        <f t="shared" si="49"/>
        <v>0</v>
      </c>
    </row>
    <row r="105" spans="8:41" x14ac:dyDescent="0.2">
      <c r="H105" s="22"/>
      <c r="I105" s="22"/>
      <c r="J105" s="22"/>
      <c r="K105" s="22"/>
      <c r="L105" s="22"/>
      <c r="M105" s="22"/>
      <c r="N105" s="22"/>
      <c r="O105" s="22"/>
      <c r="P105" s="22"/>
      <c r="Q105" s="22"/>
      <c r="R105" s="22"/>
      <c r="S105" s="22"/>
      <c r="T105" s="22"/>
      <c r="U105" s="22"/>
      <c r="V105" s="22"/>
      <c r="W105" s="22"/>
    </row>
    <row r="106" spans="8:41" x14ac:dyDescent="0.2">
      <c r="H106" s="22"/>
      <c r="I106" s="22"/>
      <c r="J106" s="22"/>
      <c r="K106" s="22"/>
      <c r="L106" s="22"/>
      <c r="M106" s="22"/>
      <c r="N106" s="22"/>
      <c r="O106" s="22"/>
      <c r="P106" s="22"/>
      <c r="Q106" s="22"/>
      <c r="R106" s="22"/>
      <c r="S106" s="22"/>
      <c r="T106" s="22"/>
      <c r="U106" s="22"/>
      <c r="V106" s="22"/>
      <c r="W106" s="22"/>
    </row>
    <row r="107" spans="8:41" x14ac:dyDescent="0.2">
      <c r="Y107" s="235" t="s">
        <v>19</v>
      </c>
      <c r="Z107" s="1">
        <f>C41</f>
        <v>214</v>
      </c>
      <c r="AB107" s="1" t="s">
        <v>103</v>
      </c>
      <c r="AD107" s="1" t="str">
        <f t="shared" ref="AD107:AN107" si="50">AD25</f>
        <v>0-40</v>
      </c>
      <c r="AE107" s="1" t="str">
        <f t="shared" si="50"/>
        <v>40-60</v>
      </c>
      <c r="AF107" s="1" t="str">
        <f t="shared" si="50"/>
        <v>60-80</v>
      </c>
      <c r="AG107" s="1" t="str">
        <f t="shared" si="50"/>
        <v>80-100</v>
      </c>
      <c r="AH107" s="1" t="str">
        <f t="shared" si="50"/>
        <v>100-150</v>
      </c>
      <c r="AI107" s="1" t="str">
        <f t="shared" si="50"/>
        <v>150-200</v>
      </c>
      <c r="AJ107" s="1" t="str">
        <f t="shared" si="50"/>
        <v>200-250</v>
      </c>
      <c r="AK107" s="1" t="str">
        <f t="shared" si="50"/>
        <v>250-350</v>
      </c>
      <c r="AL107" s="1" t="str">
        <f t="shared" si="50"/>
        <v>350-450</v>
      </c>
      <c r="AM107" s="1" t="str">
        <f t="shared" si="50"/>
        <v>450-650</v>
      </c>
      <c r="AN107" s="1" t="str">
        <f t="shared" si="50"/>
        <v>650-2000</v>
      </c>
    </row>
    <row r="108" spans="8:41" x14ac:dyDescent="0.2">
      <c r="H108" s="22"/>
      <c r="I108" s="22"/>
      <c r="J108" s="22"/>
      <c r="K108" s="22"/>
      <c r="L108" s="22"/>
      <c r="M108" s="22"/>
      <c r="N108" s="22"/>
      <c r="O108" s="22"/>
      <c r="P108" s="22"/>
      <c r="Q108" s="22"/>
      <c r="R108" s="22"/>
      <c r="S108" s="22"/>
      <c r="T108" s="22"/>
      <c r="U108" s="22"/>
      <c r="V108" s="22"/>
      <c r="W108" s="22"/>
      <c r="AD108" s="1">
        <f t="shared" ref="AD108:AO108" si="51">AD18</f>
        <v>0</v>
      </c>
      <c r="AE108" s="1">
        <f t="shared" si="51"/>
        <v>40</v>
      </c>
      <c r="AF108" s="1">
        <f t="shared" si="51"/>
        <v>60</v>
      </c>
      <c r="AG108" s="1">
        <f t="shared" si="51"/>
        <v>80</v>
      </c>
      <c r="AH108" s="1">
        <f t="shared" si="51"/>
        <v>100</v>
      </c>
      <c r="AI108" s="1">
        <f t="shared" si="51"/>
        <v>150</v>
      </c>
      <c r="AJ108" s="1">
        <f t="shared" si="51"/>
        <v>200</v>
      </c>
      <c r="AK108" s="1">
        <f t="shared" si="51"/>
        <v>250</v>
      </c>
      <c r="AL108" s="1">
        <f t="shared" si="51"/>
        <v>350</v>
      </c>
      <c r="AM108" s="1">
        <f t="shared" si="51"/>
        <v>450</v>
      </c>
      <c r="AN108" s="1">
        <f t="shared" si="51"/>
        <v>650</v>
      </c>
      <c r="AO108" s="1">
        <f t="shared" si="51"/>
        <v>2000</v>
      </c>
    </row>
    <row r="109" spans="8:41" x14ac:dyDescent="0.2">
      <c r="Y109" s="235" t="s">
        <v>33</v>
      </c>
      <c r="Z109" s="1">
        <f>SUM(AD109:AO109)</f>
        <v>360373.60000000003</v>
      </c>
      <c r="AB109" s="1" t="s">
        <v>106</v>
      </c>
      <c r="AD109" s="1">
        <f>IF($Z$107&gt;AD108,(IF($Z$107-AE108&gt;0,(AE108-AD108)*$B$21*AD111,($Z$107-AD108)*$B$21*AD111)),0)</f>
        <v>197766</v>
      </c>
      <c r="AE109" s="1">
        <f t="shared" ref="AE109:AN109" si="52">IF($Z$107&gt;AE108,(IF($Z$107-AF108&gt;0,(AF108-AE108)*$B$21*AE111,($Z$107-AE108)*$B$21*AE111)),0)</f>
        <v>61527.200000000004</v>
      </c>
      <c r="AF109" s="1">
        <f t="shared" si="52"/>
        <v>43948</v>
      </c>
      <c r="AG109" s="1">
        <f t="shared" si="52"/>
        <v>17579.2</v>
      </c>
      <c r="AH109" s="1">
        <f t="shared" si="52"/>
        <v>21974</v>
      </c>
      <c r="AI109" s="1">
        <f t="shared" si="52"/>
        <v>13733.75</v>
      </c>
      <c r="AJ109" s="1">
        <f t="shared" si="52"/>
        <v>3845.4500000000003</v>
      </c>
      <c r="AK109" s="1">
        <f t="shared" si="52"/>
        <v>0</v>
      </c>
      <c r="AL109" s="1">
        <f t="shared" si="52"/>
        <v>0</v>
      </c>
      <c r="AM109" s="1">
        <f t="shared" si="52"/>
        <v>0</v>
      </c>
      <c r="AN109" s="1">
        <f t="shared" si="52"/>
        <v>0</v>
      </c>
    </row>
    <row r="111" spans="8:41" x14ac:dyDescent="0.2">
      <c r="AB111" s="1" t="s">
        <v>109</v>
      </c>
      <c r="AD111" s="218">
        <f t="shared" ref="AD111:AO111" si="53">AD21</f>
        <v>0.45</v>
      </c>
      <c r="AE111" s="218">
        <f t="shared" si="53"/>
        <v>0.28000000000000003</v>
      </c>
      <c r="AF111" s="218">
        <f t="shared" si="53"/>
        <v>0.2</v>
      </c>
      <c r="AG111" s="218">
        <f t="shared" si="53"/>
        <v>0.08</v>
      </c>
      <c r="AH111" s="218">
        <f t="shared" si="53"/>
        <v>0.04</v>
      </c>
      <c r="AI111" s="218">
        <f t="shared" si="53"/>
        <v>2.5000000000000001E-2</v>
      </c>
      <c r="AJ111" s="218">
        <f t="shared" si="53"/>
        <v>2.5000000000000001E-2</v>
      </c>
      <c r="AK111" s="218">
        <f t="shared" si="53"/>
        <v>2.5000000000000001E-2</v>
      </c>
      <c r="AL111" s="218">
        <f t="shared" si="53"/>
        <v>2.5000000000000001E-2</v>
      </c>
      <c r="AM111" s="218">
        <f t="shared" si="53"/>
        <v>2.5000000000000001E-2</v>
      </c>
      <c r="AN111" s="218">
        <f t="shared" si="53"/>
        <v>2.5000000000000001E-2</v>
      </c>
      <c r="AO111" s="218">
        <f t="shared" si="53"/>
        <v>0</v>
      </c>
    </row>
    <row r="115" spans="7:41" x14ac:dyDescent="0.2">
      <c r="H115" s="22"/>
      <c r="Y115" s="235" t="s">
        <v>10</v>
      </c>
      <c r="Z115" s="1">
        <f>C42</f>
        <v>313</v>
      </c>
      <c r="AB115" s="1" t="s">
        <v>103</v>
      </c>
      <c r="AD115" s="1" t="str">
        <f t="shared" ref="AD115:AN115" si="54">AD25</f>
        <v>0-40</v>
      </c>
      <c r="AE115" s="1" t="str">
        <f t="shared" si="54"/>
        <v>40-60</v>
      </c>
      <c r="AF115" s="1" t="str">
        <f t="shared" si="54"/>
        <v>60-80</v>
      </c>
      <c r="AG115" s="1" t="str">
        <f t="shared" si="54"/>
        <v>80-100</v>
      </c>
      <c r="AH115" s="1" t="str">
        <f t="shared" si="54"/>
        <v>100-150</v>
      </c>
      <c r="AI115" s="1" t="str">
        <f t="shared" si="54"/>
        <v>150-200</v>
      </c>
      <c r="AJ115" s="1" t="str">
        <f t="shared" si="54"/>
        <v>200-250</v>
      </c>
      <c r="AK115" s="1" t="str">
        <f t="shared" si="54"/>
        <v>250-350</v>
      </c>
      <c r="AL115" s="1" t="str">
        <f t="shared" si="54"/>
        <v>350-450</v>
      </c>
      <c r="AM115" s="1" t="str">
        <f t="shared" si="54"/>
        <v>450-650</v>
      </c>
      <c r="AN115" s="1" t="str">
        <f t="shared" si="54"/>
        <v>650-2000</v>
      </c>
    </row>
    <row r="116" spans="7:41" x14ac:dyDescent="0.2">
      <c r="AD116" s="1">
        <f t="shared" ref="AD116:AO116" si="55">AD18</f>
        <v>0</v>
      </c>
      <c r="AE116" s="1">
        <f t="shared" si="55"/>
        <v>40</v>
      </c>
      <c r="AF116" s="1">
        <f t="shared" si="55"/>
        <v>60</v>
      </c>
      <c r="AG116" s="1">
        <f t="shared" si="55"/>
        <v>80</v>
      </c>
      <c r="AH116" s="1">
        <f t="shared" si="55"/>
        <v>100</v>
      </c>
      <c r="AI116" s="1">
        <f t="shared" si="55"/>
        <v>150</v>
      </c>
      <c r="AJ116" s="1">
        <f t="shared" si="55"/>
        <v>200</v>
      </c>
      <c r="AK116" s="1">
        <f t="shared" si="55"/>
        <v>250</v>
      </c>
      <c r="AL116" s="1">
        <f t="shared" si="55"/>
        <v>350</v>
      </c>
      <c r="AM116" s="1">
        <f t="shared" si="55"/>
        <v>450</v>
      </c>
      <c r="AN116" s="1">
        <f t="shared" si="55"/>
        <v>650</v>
      </c>
      <c r="AO116" s="1">
        <f t="shared" si="55"/>
        <v>2000</v>
      </c>
    </row>
    <row r="117" spans="7:41" x14ac:dyDescent="0.2">
      <c r="Y117" s="235" t="s">
        <v>33</v>
      </c>
      <c r="Z117" s="1">
        <f>SUM(AD117:AO117)</f>
        <v>387566.42500000005</v>
      </c>
      <c r="AB117" s="1" t="s">
        <v>106</v>
      </c>
      <c r="AD117" s="1">
        <f>IF($Z$115&gt;AD116,(IF($Z$115-AE116&gt;0,(AE116-AD116)*$B$21*AD119,($Z$115-AD116)*$B$21*AD119)),0)</f>
        <v>197766</v>
      </c>
      <c r="AE117" s="1">
        <f t="shared" ref="AE117:AN117" si="56">IF($Z$115&gt;AE116,(IF($Z$115-AF116&gt;0,(AF116-AE116)*$B$21*AE119,($Z$115-AE116)*$B$21*AE119)),0)</f>
        <v>61527.200000000004</v>
      </c>
      <c r="AF117" s="1">
        <f t="shared" si="56"/>
        <v>43948</v>
      </c>
      <c r="AG117" s="1">
        <f t="shared" si="56"/>
        <v>17579.2</v>
      </c>
      <c r="AH117" s="1">
        <f t="shared" si="56"/>
        <v>21974</v>
      </c>
      <c r="AI117" s="1">
        <f t="shared" si="56"/>
        <v>13733.75</v>
      </c>
      <c r="AJ117" s="1">
        <f t="shared" si="56"/>
        <v>13733.75</v>
      </c>
      <c r="AK117" s="1">
        <f t="shared" si="56"/>
        <v>17304.525000000001</v>
      </c>
      <c r="AL117" s="1">
        <f t="shared" si="56"/>
        <v>0</v>
      </c>
      <c r="AM117" s="1">
        <f t="shared" si="56"/>
        <v>0</v>
      </c>
      <c r="AN117" s="1">
        <f t="shared" si="56"/>
        <v>0</v>
      </c>
    </row>
    <row r="119" spans="7:41" x14ac:dyDescent="0.2">
      <c r="AB119" s="1" t="s">
        <v>109</v>
      </c>
      <c r="AD119" s="218">
        <f t="shared" ref="AD119:AO119" si="57">AD21</f>
        <v>0.45</v>
      </c>
      <c r="AE119" s="218">
        <f t="shared" si="57"/>
        <v>0.28000000000000003</v>
      </c>
      <c r="AF119" s="218">
        <f t="shared" si="57"/>
        <v>0.2</v>
      </c>
      <c r="AG119" s="218">
        <f t="shared" si="57"/>
        <v>0.08</v>
      </c>
      <c r="AH119" s="218">
        <f t="shared" si="57"/>
        <v>0.04</v>
      </c>
      <c r="AI119" s="218">
        <f t="shared" si="57"/>
        <v>2.5000000000000001E-2</v>
      </c>
      <c r="AJ119" s="218">
        <f t="shared" si="57"/>
        <v>2.5000000000000001E-2</v>
      </c>
      <c r="AK119" s="218">
        <f t="shared" si="57"/>
        <v>2.5000000000000001E-2</v>
      </c>
      <c r="AL119" s="218">
        <f t="shared" si="57"/>
        <v>2.5000000000000001E-2</v>
      </c>
      <c r="AM119" s="218">
        <f t="shared" si="57"/>
        <v>2.5000000000000001E-2</v>
      </c>
      <c r="AN119" s="218">
        <f t="shared" si="57"/>
        <v>2.5000000000000001E-2</v>
      </c>
      <c r="AO119" s="218">
        <f t="shared" si="57"/>
        <v>0</v>
      </c>
    </row>
    <row r="122" spans="7:41" x14ac:dyDescent="0.2">
      <c r="H122" s="22"/>
      <c r="I122" s="22"/>
      <c r="J122" s="22"/>
      <c r="K122" s="22"/>
      <c r="L122" s="22"/>
      <c r="M122" s="22"/>
      <c r="N122" s="22"/>
      <c r="O122" s="22"/>
      <c r="P122" s="22"/>
      <c r="Q122" s="22"/>
      <c r="R122" s="22"/>
      <c r="S122" s="22"/>
      <c r="T122" s="22"/>
      <c r="U122" s="22"/>
      <c r="V122" s="22"/>
      <c r="W122" s="22"/>
      <c r="Y122" s="235" t="s">
        <v>14</v>
      </c>
      <c r="Z122" s="1">
        <f>C43</f>
        <v>581</v>
      </c>
      <c r="AB122" s="1" t="s">
        <v>103</v>
      </c>
      <c r="AD122" s="1" t="str">
        <f t="shared" ref="AD122:AN122" si="58">AD25</f>
        <v>0-40</v>
      </c>
      <c r="AE122" s="1" t="str">
        <f t="shared" si="58"/>
        <v>40-60</v>
      </c>
      <c r="AF122" s="1" t="str">
        <f t="shared" si="58"/>
        <v>60-80</v>
      </c>
      <c r="AG122" s="1" t="str">
        <f t="shared" si="58"/>
        <v>80-100</v>
      </c>
      <c r="AH122" s="1" t="str">
        <f t="shared" si="58"/>
        <v>100-150</v>
      </c>
      <c r="AI122" s="1" t="str">
        <f t="shared" si="58"/>
        <v>150-200</v>
      </c>
      <c r="AJ122" s="1" t="str">
        <f t="shared" si="58"/>
        <v>200-250</v>
      </c>
      <c r="AK122" s="1" t="str">
        <f t="shared" si="58"/>
        <v>250-350</v>
      </c>
      <c r="AL122" s="1" t="str">
        <f t="shared" si="58"/>
        <v>350-450</v>
      </c>
      <c r="AM122" s="1" t="str">
        <f t="shared" si="58"/>
        <v>450-650</v>
      </c>
      <c r="AN122" s="1" t="str">
        <f t="shared" si="58"/>
        <v>650-2000</v>
      </c>
    </row>
    <row r="123" spans="7:41" x14ac:dyDescent="0.2">
      <c r="H123" s="22"/>
      <c r="I123" s="22"/>
      <c r="J123" s="22"/>
      <c r="K123" s="22"/>
      <c r="L123" s="22"/>
      <c r="M123" s="22"/>
      <c r="N123" s="22"/>
      <c r="O123" s="22"/>
      <c r="P123" s="22"/>
      <c r="Q123" s="22"/>
      <c r="R123" s="22"/>
      <c r="S123" s="22"/>
      <c r="T123" s="22"/>
      <c r="U123" s="22"/>
      <c r="V123" s="22"/>
      <c r="W123" s="22"/>
      <c r="AD123" s="1">
        <f t="shared" ref="AD123:AO123" si="59">AD18</f>
        <v>0</v>
      </c>
      <c r="AE123" s="1">
        <f t="shared" si="59"/>
        <v>40</v>
      </c>
      <c r="AF123" s="1">
        <f t="shared" si="59"/>
        <v>60</v>
      </c>
      <c r="AG123" s="1">
        <f t="shared" si="59"/>
        <v>80</v>
      </c>
      <c r="AH123" s="1">
        <f t="shared" si="59"/>
        <v>100</v>
      </c>
      <c r="AI123" s="1">
        <f t="shared" si="59"/>
        <v>150</v>
      </c>
      <c r="AJ123" s="1">
        <f t="shared" si="59"/>
        <v>200</v>
      </c>
      <c r="AK123" s="1">
        <f t="shared" si="59"/>
        <v>250</v>
      </c>
      <c r="AL123" s="1">
        <f t="shared" si="59"/>
        <v>350</v>
      </c>
      <c r="AM123" s="1">
        <f t="shared" si="59"/>
        <v>450</v>
      </c>
      <c r="AN123" s="1">
        <f t="shared" si="59"/>
        <v>650</v>
      </c>
      <c r="AO123" s="1">
        <f t="shared" si="59"/>
        <v>2000</v>
      </c>
    </row>
    <row r="124" spans="7:41" x14ac:dyDescent="0.2">
      <c r="Y124" s="235" t="s">
        <v>33</v>
      </c>
      <c r="Z124" s="1">
        <f>SUM(AD124:AO124)</f>
        <v>461179.32500000001</v>
      </c>
      <c r="AB124" s="1" t="s">
        <v>106</v>
      </c>
      <c r="AD124" s="1">
        <f>IF($Z$122&gt;AD123,(IF($Z$122-AE123&gt;0,(AE123-AD123)*$B$21*AD126,($Z$122-AD123)*$B$21*AD126)),0)</f>
        <v>197766</v>
      </c>
      <c r="AE124" s="1">
        <f t="shared" ref="AE124:AN124" si="60">IF($Z$122&gt;AE123,(IF($Z$122-AF123&gt;0,(AF123-AE123)*$B$21*AE126,($Z$122-AE123)*$B$21*AE126)),0)</f>
        <v>61527.200000000004</v>
      </c>
      <c r="AF124" s="1">
        <f t="shared" si="60"/>
        <v>43948</v>
      </c>
      <c r="AG124" s="1">
        <f t="shared" si="60"/>
        <v>17579.2</v>
      </c>
      <c r="AH124" s="1">
        <f t="shared" si="60"/>
        <v>21974</v>
      </c>
      <c r="AI124" s="1">
        <f t="shared" si="60"/>
        <v>13733.75</v>
      </c>
      <c r="AJ124" s="1">
        <f t="shared" si="60"/>
        <v>13733.75</v>
      </c>
      <c r="AK124" s="1">
        <f t="shared" si="60"/>
        <v>27467.5</v>
      </c>
      <c r="AL124" s="1">
        <f t="shared" si="60"/>
        <v>27467.5</v>
      </c>
      <c r="AM124" s="1">
        <f t="shared" si="60"/>
        <v>35982.425000000003</v>
      </c>
      <c r="AN124" s="1">
        <f t="shared" si="60"/>
        <v>0</v>
      </c>
    </row>
    <row r="125" spans="7:41" x14ac:dyDescent="0.2">
      <c r="G125" s="24"/>
      <c r="H125" s="281"/>
      <c r="I125" s="281"/>
      <c r="J125" s="281"/>
      <c r="K125" s="281"/>
      <c r="L125" s="281"/>
      <c r="M125" s="281"/>
      <c r="N125" s="281"/>
      <c r="O125" s="281"/>
      <c r="P125" s="281"/>
      <c r="Q125" s="281"/>
      <c r="R125" s="281"/>
      <c r="S125" s="281"/>
      <c r="T125" s="281"/>
      <c r="U125" s="281"/>
      <c r="V125" s="281"/>
      <c r="W125" s="281"/>
    </row>
    <row r="126" spans="7:41" x14ac:dyDescent="0.2">
      <c r="H126" s="25"/>
      <c r="I126" s="25"/>
      <c r="J126" s="25"/>
      <c r="K126" s="25"/>
      <c r="L126" s="25"/>
      <c r="M126" s="25"/>
      <c r="N126" s="25"/>
      <c r="O126" s="25"/>
      <c r="P126" s="25"/>
      <c r="Q126" s="25"/>
      <c r="R126" s="25"/>
      <c r="S126" s="25"/>
      <c r="T126" s="25"/>
      <c r="U126" s="25"/>
      <c r="V126" s="25"/>
      <c r="W126" s="25"/>
      <c r="AB126" s="1" t="s">
        <v>109</v>
      </c>
      <c r="AD126" s="218">
        <f t="shared" ref="AD126:AO126" si="61">AD21</f>
        <v>0.45</v>
      </c>
      <c r="AE126" s="218">
        <f t="shared" si="61"/>
        <v>0.28000000000000003</v>
      </c>
      <c r="AF126" s="218">
        <f t="shared" si="61"/>
        <v>0.2</v>
      </c>
      <c r="AG126" s="218">
        <f t="shared" si="61"/>
        <v>0.08</v>
      </c>
      <c r="AH126" s="218">
        <f t="shared" si="61"/>
        <v>0.04</v>
      </c>
      <c r="AI126" s="218">
        <f t="shared" si="61"/>
        <v>2.5000000000000001E-2</v>
      </c>
      <c r="AJ126" s="218">
        <f t="shared" si="61"/>
        <v>2.5000000000000001E-2</v>
      </c>
      <c r="AK126" s="218">
        <f t="shared" si="61"/>
        <v>2.5000000000000001E-2</v>
      </c>
      <c r="AL126" s="218">
        <f t="shared" si="61"/>
        <v>2.5000000000000001E-2</v>
      </c>
      <c r="AM126" s="218">
        <f t="shared" si="61"/>
        <v>2.5000000000000001E-2</v>
      </c>
      <c r="AN126" s="218">
        <f t="shared" si="61"/>
        <v>2.5000000000000001E-2</v>
      </c>
      <c r="AO126" s="218">
        <f t="shared" si="61"/>
        <v>0</v>
      </c>
    </row>
    <row r="127" spans="7:41" x14ac:dyDescent="0.2">
      <c r="H127" s="115"/>
      <c r="I127" s="115"/>
      <c r="J127" s="115"/>
      <c r="K127" s="115"/>
      <c r="L127" s="115"/>
      <c r="M127" s="115"/>
      <c r="N127" s="115"/>
      <c r="O127" s="115"/>
      <c r="P127" s="115"/>
      <c r="Q127" s="115"/>
      <c r="R127" s="115"/>
      <c r="S127" s="115"/>
      <c r="T127" s="115"/>
      <c r="U127" s="115"/>
      <c r="V127" s="115"/>
      <c r="W127" s="115"/>
    </row>
    <row r="130" spans="25:41" x14ac:dyDescent="0.2">
      <c r="Y130" s="235" t="s">
        <v>23</v>
      </c>
      <c r="Z130" s="1">
        <f>C44</f>
        <v>1102</v>
      </c>
      <c r="AB130" s="1" t="s">
        <v>103</v>
      </c>
      <c r="AD130" s="1" t="str">
        <f t="shared" ref="AD130:AN130" si="62">AD122</f>
        <v>0-40</v>
      </c>
      <c r="AE130" s="1" t="str">
        <f t="shared" si="62"/>
        <v>40-60</v>
      </c>
      <c r="AF130" s="1" t="str">
        <f t="shared" si="62"/>
        <v>60-80</v>
      </c>
      <c r="AG130" s="1" t="str">
        <f t="shared" si="62"/>
        <v>80-100</v>
      </c>
      <c r="AH130" s="1" t="str">
        <f t="shared" si="62"/>
        <v>100-150</v>
      </c>
      <c r="AI130" s="1" t="str">
        <f t="shared" si="62"/>
        <v>150-200</v>
      </c>
      <c r="AJ130" s="1" t="str">
        <f t="shared" si="62"/>
        <v>200-250</v>
      </c>
      <c r="AK130" s="1" t="str">
        <f t="shared" si="62"/>
        <v>250-350</v>
      </c>
      <c r="AL130" s="1" t="str">
        <f t="shared" si="62"/>
        <v>350-450</v>
      </c>
      <c r="AM130" s="1" t="str">
        <f t="shared" si="62"/>
        <v>450-650</v>
      </c>
      <c r="AN130" s="1" t="str">
        <f t="shared" si="62"/>
        <v>650-2000</v>
      </c>
    </row>
    <row r="131" spans="25:41" x14ac:dyDescent="0.2">
      <c r="AD131" s="1">
        <f t="shared" ref="AD131:AO131" si="63">AD18</f>
        <v>0</v>
      </c>
      <c r="AE131" s="1">
        <f t="shared" si="63"/>
        <v>40</v>
      </c>
      <c r="AF131" s="1">
        <f t="shared" si="63"/>
        <v>60</v>
      </c>
      <c r="AG131" s="1">
        <f t="shared" si="63"/>
        <v>80</v>
      </c>
      <c r="AH131" s="1">
        <f t="shared" si="63"/>
        <v>100</v>
      </c>
      <c r="AI131" s="1">
        <f t="shared" si="63"/>
        <v>150</v>
      </c>
      <c r="AJ131" s="1">
        <f t="shared" si="63"/>
        <v>200</v>
      </c>
      <c r="AK131" s="1">
        <f t="shared" si="63"/>
        <v>250</v>
      </c>
      <c r="AL131" s="1">
        <f t="shared" si="63"/>
        <v>350</v>
      </c>
      <c r="AM131" s="1">
        <f t="shared" si="63"/>
        <v>450</v>
      </c>
      <c r="AN131" s="1">
        <f t="shared" si="63"/>
        <v>650</v>
      </c>
      <c r="AO131" s="1">
        <f t="shared" si="63"/>
        <v>2000</v>
      </c>
    </row>
    <row r="132" spans="25:41" x14ac:dyDescent="0.2">
      <c r="Y132" s="235" t="s">
        <v>33</v>
      </c>
      <c r="Z132" s="1">
        <f>SUM(AD132:AO132)</f>
        <v>604285</v>
      </c>
      <c r="AB132" s="1" t="s">
        <v>106</v>
      </c>
      <c r="AD132" s="1">
        <f>IF($Z$130&gt;AD131,(IF($Z$130-AE131&gt;0,(AE131-AD131)*$B$21*AD134,($Z$130-AD131)*$B$21*AD134)),0)</f>
        <v>197766</v>
      </c>
      <c r="AE132" s="1">
        <f t="shared" ref="AE132:AN132" si="64">IF($Z$130&gt;AE131,(IF($Z$130-AF131&gt;0,(AF131-AE131)*$B$21*AE134,($Z$130-AE131)*$B$21*AE134)),0)</f>
        <v>61527.200000000004</v>
      </c>
      <c r="AF132" s="1">
        <f t="shared" si="64"/>
        <v>43948</v>
      </c>
      <c r="AG132" s="1">
        <f t="shared" si="64"/>
        <v>17579.2</v>
      </c>
      <c r="AH132" s="1">
        <f t="shared" si="64"/>
        <v>21974</v>
      </c>
      <c r="AI132" s="1">
        <f t="shared" si="64"/>
        <v>13733.75</v>
      </c>
      <c r="AJ132" s="1">
        <f t="shared" si="64"/>
        <v>13733.75</v>
      </c>
      <c r="AK132" s="1">
        <f t="shared" si="64"/>
        <v>27467.5</v>
      </c>
      <c r="AL132" s="1">
        <f t="shared" si="64"/>
        <v>27467.5</v>
      </c>
      <c r="AM132" s="1">
        <f t="shared" si="64"/>
        <v>54935</v>
      </c>
      <c r="AN132" s="1">
        <f t="shared" si="64"/>
        <v>124153.1</v>
      </c>
    </row>
    <row r="134" spans="25:41" x14ac:dyDescent="0.2">
      <c r="AB134" s="1" t="s">
        <v>109</v>
      </c>
      <c r="AD134" s="218">
        <f t="shared" ref="AD134:AO134" si="65">AD21</f>
        <v>0.45</v>
      </c>
      <c r="AE134" s="218">
        <f t="shared" si="65"/>
        <v>0.28000000000000003</v>
      </c>
      <c r="AF134" s="218">
        <f t="shared" si="65"/>
        <v>0.2</v>
      </c>
      <c r="AG134" s="218">
        <f t="shared" si="65"/>
        <v>0.08</v>
      </c>
      <c r="AH134" s="218">
        <f t="shared" si="65"/>
        <v>0.04</v>
      </c>
      <c r="AI134" s="218">
        <f t="shared" si="65"/>
        <v>2.5000000000000001E-2</v>
      </c>
      <c r="AJ134" s="218">
        <f t="shared" si="65"/>
        <v>2.5000000000000001E-2</v>
      </c>
      <c r="AK134" s="218">
        <f t="shared" si="65"/>
        <v>2.5000000000000001E-2</v>
      </c>
      <c r="AL134" s="218">
        <f t="shared" si="65"/>
        <v>2.5000000000000001E-2</v>
      </c>
      <c r="AM134" s="218">
        <f t="shared" si="65"/>
        <v>2.5000000000000001E-2</v>
      </c>
      <c r="AN134" s="218">
        <f t="shared" si="65"/>
        <v>2.5000000000000001E-2</v>
      </c>
      <c r="AO134" s="218">
        <f t="shared" si="65"/>
        <v>0</v>
      </c>
    </row>
    <row r="137" spans="25:41" x14ac:dyDescent="0.2">
      <c r="Y137" s="235" t="s">
        <v>138</v>
      </c>
      <c r="Z137" s="1">
        <f>SUM(Z130+Z122+Z115+Z107+Z100+Z92+Z85+Z77+Z70+Z62+Z55+Z47+Z40+Z32+Z25+Z17)</f>
        <v>3165</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AO137"/>
  <sheetViews>
    <sheetView topLeftCell="A24" zoomScale="85" zoomScaleNormal="85" workbookViewId="0">
      <selection activeCell="M40" sqref="M40:M55"/>
    </sheetView>
  </sheetViews>
  <sheetFormatPr defaultColWidth="8.88671875" defaultRowHeight="15" x14ac:dyDescent="0.2"/>
  <cols>
    <col min="1" max="1" width="8.88671875" style="1"/>
    <col min="2" max="2" width="14.88671875" style="1" customWidth="1"/>
    <col min="3" max="3" width="8.88671875" style="1"/>
    <col min="4" max="4" width="12" style="1" customWidth="1"/>
    <col min="5" max="6" width="8.88671875" style="1"/>
    <col min="7" max="7" width="18.6640625" style="1" customWidth="1"/>
    <col min="8" max="8" width="12.109375" style="1" customWidth="1"/>
    <col min="9" max="9" width="19.44140625" style="1" customWidth="1"/>
    <col min="10" max="10" width="22.88671875" style="1" customWidth="1"/>
    <col min="11" max="11" width="7.33203125" style="1" customWidth="1"/>
    <col min="12" max="12" width="7.88671875" style="1" customWidth="1"/>
    <col min="13" max="13" width="10.77734375" style="1" customWidth="1"/>
    <col min="14" max="19" width="10.44140625" style="1" bestFit="1" customWidth="1"/>
    <col min="20" max="22" width="8.88671875" style="1"/>
    <col min="23" max="23" width="11.109375" style="1" customWidth="1"/>
    <col min="24" max="24" width="8.88671875" style="1"/>
    <col min="25" max="25" width="8.88671875" style="235"/>
    <col min="26" max="31" width="8.88671875" style="1"/>
    <col min="32" max="32" width="13.109375" style="1" customWidth="1"/>
    <col min="33" max="16384" width="8.88671875" style="1"/>
  </cols>
  <sheetData>
    <row r="15" spans="2:2" ht="16.5" thickBot="1" x14ac:dyDescent="0.3">
      <c r="B15" s="234" t="s">
        <v>101</v>
      </c>
    </row>
    <row r="17" spans="1:41" x14ac:dyDescent="0.2">
      <c r="B17" s="1" t="s">
        <v>473</v>
      </c>
      <c r="Y17" s="235" t="s">
        <v>102</v>
      </c>
      <c r="Z17" s="1">
        <f>C29</f>
        <v>53</v>
      </c>
      <c r="AB17" s="1" t="s">
        <v>103</v>
      </c>
      <c r="AD17" s="1" t="str">
        <f>I23</f>
        <v>0-40</v>
      </c>
      <c r="AE17" s="1" t="str">
        <f t="shared" ref="AE17:AN17" si="0">J23</f>
        <v>40-60</v>
      </c>
      <c r="AF17" s="1" t="str">
        <f t="shared" si="0"/>
        <v>60-80</v>
      </c>
      <c r="AG17" s="1" t="str">
        <f t="shared" si="0"/>
        <v>80-100</v>
      </c>
      <c r="AH17" s="1" t="str">
        <f t="shared" si="0"/>
        <v>100-150</v>
      </c>
      <c r="AI17" s="1" t="str">
        <f t="shared" si="0"/>
        <v>150-200</v>
      </c>
      <c r="AJ17" s="1" t="str">
        <f t="shared" si="0"/>
        <v>200-250</v>
      </c>
      <c r="AK17" s="1" t="str">
        <f t="shared" si="0"/>
        <v>250-350</v>
      </c>
      <c r="AL17" s="1" t="str">
        <f t="shared" si="0"/>
        <v>350-450</v>
      </c>
      <c r="AM17" s="1" t="str">
        <f t="shared" si="0"/>
        <v>450-650</v>
      </c>
      <c r="AN17" s="1" t="str">
        <f t="shared" si="0"/>
        <v>650-2000</v>
      </c>
    </row>
    <row r="18" spans="1:41" ht="16.5" thickBot="1" x14ac:dyDescent="0.3">
      <c r="G18" s="5" t="s">
        <v>104</v>
      </c>
      <c r="AD18" s="1">
        <f t="shared" ref="AD18:AO18" si="1">I24</f>
        <v>0</v>
      </c>
      <c r="AE18" s="1">
        <f t="shared" si="1"/>
        <v>40</v>
      </c>
      <c r="AF18" s="1">
        <f t="shared" si="1"/>
        <v>60</v>
      </c>
      <c r="AG18" s="1">
        <f t="shared" si="1"/>
        <v>80</v>
      </c>
      <c r="AH18" s="1">
        <f t="shared" si="1"/>
        <v>100</v>
      </c>
      <c r="AI18" s="1">
        <f t="shared" si="1"/>
        <v>150</v>
      </c>
      <c r="AJ18" s="1">
        <f t="shared" si="1"/>
        <v>200</v>
      </c>
      <c r="AK18" s="1">
        <f t="shared" si="1"/>
        <v>250</v>
      </c>
      <c r="AL18" s="1">
        <f t="shared" si="1"/>
        <v>350</v>
      </c>
      <c r="AM18" s="1">
        <f t="shared" si="1"/>
        <v>450</v>
      </c>
      <c r="AN18" s="1">
        <f t="shared" si="1"/>
        <v>650</v>
      </c>
      <c r="AO18" s="1">
        <f t="shared" si="1"/>
        <v>2000</v>
      </c>
    </row>
    <row r="19" spans="1:41" ht="15.75" x14ac:dyDescent="0.25">
      <c r="B19" s="229" t="s">
        <v>472</v>
      </c>
      <c r="G19" s="99"/>
      <c r="H19" s="100"/>
      <c r="I19" s="100"/>
      <c r="J19" s="100"/>
      <c r="K19" s="100"/>
      <c r="L19" s="100"/>
      <c r="M19" s="100"/>
      <c r="N19" s="100"/>
      <c r="O19" s="100"/>
      <c r="P19" s="100"/>
      <c r="Q19" s="100"/>
      <c r="R19" s="100"/>
      <c r="S19" s="100"/>
      <c r="T19" s="101"/>
      <c r="Y19" s="235" t="s">
        <v>33</v>
      </c>
      <c r="Z19" s="1">
        <f>SUM(AD19:AO19)</f>
        <v>238234.76</v>
      </c>
      <c r="AB19" s="1" t="s">
        <v>106</v>
      </c>
      <c r="AD19" s="1">
        <f>IF($Z$17&gt;AD18,(IF($Z$17-AE18&gt;0,(AE18-AD18)*$B$21*AD21,($Z$17-AD18)*$B$21*AD21)),0)</f>
        <v>198162</v>
      </c>
      <c r="AE19" s="1">
        <f t="shared" ref="AE19:AN19" si="2">IF($Z$17&gt;AE18,(IF($Z$17-AF18&gt;0,(AF18-AE18)*$B$21*AE21,($Z$17-AE18)*$B$21*AE21)),0)</f>
        <v>40072.76</v>
      </c>
      <c r="AF19" s="1">
        <f t="shared" si="2"/>
        <v>0</v>
      </c>
      <c r="AG19" s="1">
        <f t="shared" si="2"/>
        <v>0</v>
      </c>
      <c r="AH19" s="1">
        <f t="shared" si="2"/>
        <v>0</v>
      </c>
      <c r="AI19" s="1">
        <f t="shared" si="2"/>
        <v>0</v>
      </c>
      <c r="AJ19" s="1">
        <f t="shared" si="2"/>
        <v>0</v>
      </c>
      <c r="AK19" s="1">
        <f t="shared" si="2"/>
        <v>0</v>
      </c>
      <c r="AL19" s="1">
        <f t="shared" si="2"/>
        <v>0</v>
      </c>
      <c r="AM19" s="1">
        <f t="shared" si="2"/>
        <v>0</v>
      </c>
      <c r="AN19" s="1">
        <f t="shared" si="2"/>
        <v>0</v>
      </c>
    </row>
    <row r="20" spans="1:41" ht="15.75" x14ac:dyDescent="0.25">
      <c r="B20" s="236" t="s">
        <v>0</v>
      </c>
      <c r="C20" s="1">
        <v>10782</v>
      </c>
      <c r="G20" s="237"/>
      <c r="H20" s="97"/>
      <c r="I20" s="66" t="s">
        <v>107</v>
      </c>
      <c r="J20" s="97"/>
      <c r="K20" s="97"/>
      <c r="L20" s="97"/>
      <c r="M20" s="97"/>
      <c r="N20" s="97"/>
      <c r="O20" s="97"/>
      <c r="P20" s="97"/>
      <c r="Q20" s="97"/>
      <c r="R20" s="97"/>
      <c r="S20" s="97"/>
      <c r="T20" s="102"/>
    </row>
    <row r="21" spans="1:41" ht="15.75" x14ac:dyDescent="0.25">
      <c r="B21" s="238">
        <f>Kontrollpanel!P21</f>
        <v>11009</v>
      </c>
      <c r="C21" s="239">
        <v>303.55799872530275</v>
      </c>
      <c r="G21" s="237"/>
      <c r="H21" s="240" t="s">
        <v>108</v>
      </c>
      <c r="I21" s="241">
        <v>150</v>
      </c>
      <c r="J21" s="97"/>
      <c r="K21" s="97"/>
      <c r="L21" s="97"/>
      <c r="M21" s="97"/>
      <c r="N21" s="97"/>
      <c r="O21" s="97"/>
      <c r="P21" s="97"/>
      <c r="Q21" s="97"/>
      <c r="R21" s="97"/>
      <c r="S21" s="97"/>
      <c r="T21" s="102"/>
      <c r="AB21" s="1" t="s">
        <v>109</v>
      </c>
      <c r="AD21" s="218">
        <f t="shared" ref="AD21:AO21" si="3">I27</f>
        <v>0.45</v>
      </c>
      <c r="AE21" s="218">
        <f t="shared" si="3"/>
        <v>0.28000000000000003</v>
      </c>
      <c r="AF21" s="218">
        <f t="shared" si="3"/>
        <v>0.2</v>
      </c>
      <c r="AG21" s="218">
        <f t="shared" si="3"/>
        <v>0.08</v>
      </c>
      <c r="AH21" s="218">
        <f t="shared" si="3"/>
        <v>0.04</v>
      </c>
      <c r="AI21" s="218">
        <f t="shared" si="3"/>
        <v>2.5000000000000001E-2</v>
      </c>
      <c r="AJ21" s="218">
        <f t="shared" si="3"/>
        <v>2.5000000000000001E-2</v>
      </c>
      <c r="AK21" s="218">
        <f t="shared" si="3"/>
        <v>2.5000000000000001E-2</v>
      </c>
      <c r="AL21" s="218">
        <f t="shared" si="3"/>
        <v>2.5000000000000001E-2</v>
      </c>
      <c r="AM21" s="218">
        <f t="shared" si="3"/>
        <v>2.5000000000000001E-2</v>
      </c>
      <c r="AN21" s="218">
        <f t="shared" si="3"/>
        <v>2.5000000000000001E-2</v>
      </c>
      <c r="AO21" s="218">
        <f t="shared" si="3"/>
        <v>0</v>
      </c>
    </row>
    <row r="22" spans="1:41" x14ac:dyDescent="0.2">
      <c r="G22" s="237"/>
      <c r="H22" s="97"/>
      <c r="I22" s="97"/>
      <c r="J22" s="97"/>
      <c r="K22" s="97"/>
      <c r="L22" s="97"/>
      <c r="M22" s="97"/>
      <c r="N22" s="97"/>
      <c r="O22" s="97"/>
      <c r="P22" s="97"/>
      <c r="Q22" s="97"/>
      <c r="R22" s="97"/>
      <c r="S22" s="97"/>
      <c r="T22" s="102"/>
    </row>
    <row r="23" spans="1:41" ht="15.75" x14ac:dyDescent="0.25">
      <c r="G23" s="242" t="s">
        <v>103</v>
      </c>
      <c r="H23" s="243"/>
      <c r="I23" s="243" t="str">
        <f>Kontrollpanel!E26</f>
        <v>0-40</v>
      </c>
      <c r="J23" s="243" t="str">
        <f>Kontrollpanel!F26</f>
        <v>40-60</v>
      </c>
      <c r="K23" s="243" t="str">
        <f>Kontrollpanel!G26</f>
        <v>60-80</v>
      </c>
      <c r="L23" s="243" t="str">
        <f>Kontrollpanel!H26</f>
        <v>80-100</v>
      </c>
      <c r="M23" s="243" t="str">
        <f>Kontrollpanel!I26</f>
        <v>100-150</v>
      </c>
      <c r="N23" s="243" t="str">
        <f>Kontrollpanel!J26</f>
        <v>150-200</v>
      </c>
      <c r="O23" s="243" t="str">
        <f>Kontrollpanel!K26</f>
        <v>200-250</v>
      </c>
      <c r="P23" s="243" t="str">
        <f>Kontrollpanel!L26</f>
        <v>250-350</v>
      </c>
      <c r="Q23" s="243" t="str">
        <f>Kontrollpanel!M26</f>
        <v>350-450</v>
      </c>
      <c r="R23" s="243" t="str">
        <f>Kontrollpanel!N26</f>
        <v>450-650</v>
      </c>
      <c r="S23" s="243" t="str">
        <f>Kontrollpanel!O26</f>
        <v>650-2000</v>
      </c>
      <c r="T23" s="244"/>
      <c r="U23" s="5"/>
      <c r="V23" s="5"/>
      <c r="W23" s="5"/>
      <c r="X23" s="5"/>
      <c r="Z23" s="5"/>
      <c r="AA23" s="5"/>
      <c r="AB23" s="5"/>
      <c r="AC23" s="5"/>
      <c r="AD23" s="5"/>
    </row>
    <row r="24" spans="1:41" ht="15.75" x14ac:dyDescent="0.25">
      <c r="F24" s="245" t="s">
        <v>121</v>
      </c>
      <c r="G24" s="229" t="s">
        <v>122</v>
      </c>
      <c r="H24" s="229"/>
      <c r="I24" s="229">
        <f>Kontrollpanel!E27</f>
        <v>0</v>
      </c>
      <c r="J24" s="229">
        <f>Kontrollpanel!F27</f>
        <v>40</v>
      </c>
      <c r="K24" s="229">
        <f>Kontrollpanel!G27</f>
        <v>60</v>
      </c>
      <c r="L24" s="229">
        <f>Kontrollpanel!H27</f>
        <v>80</v>
      </c>
      <c r="M24" s="229">
        <f>Kontrollpanel!I27</f>
        <v>100</v>
      </c>
      <c r="N24" s="229">
        <f>Kontrollpanel!J27</f>
        <v>150</v>
      </c>
      <c r="O24" s="229">
        <f>Kontrollpanel!K27</f>
        <v>200</v>
      </c>
      <c r="P24" s="229">
        <f>Kontrollpanel!L27</f>
        <v>250</v>
      </c>
      <c r="Q24" s="229">
        <f>Kontrollpanel!M27</f>
        <v>350</v>
      </c>
      <c r="R24" s="229">
        <f>Kontrollpanel!N27</f>
        <v>450</v>
      </c>
      <c r="S24" s="229">
        <f>Kontrollpanel!O27</f>
        <v>650</v>
      </c>
      <c r="T24" s="229">
        <f>Kontrollpanel!P27</f>
        <v>2000</v>
      </c>
    </row>
    <row r="25" spans="1:41" ht="15.75" x14ac:dyDescent="0.25">
      <c r="G25" s="246" t="s">
        <v>106</v>
      </c>
      <c r="H25" s="97"/>
      <c r="I25" s="98">
        <f>IF($I$21&gt;I24,(IF($I$21-J24&gt;0,(J24-I24)*$B$21*I27,($I$21-I24)*$B$21*I27)),0)</f>
        <v>198162</v>
      </c>
      <c r="J25" s="98">
        <f t="shared" ref="J25:S25" si="4">IF($I$21&gt;J24,(IF($I$21-K24&gt;0,(K24-J24)*$B$21*J27,($I$21-J24)*$B$21*J27)),0)</f>
        <v>61650.400000000009</v>
      </c>
      <c r="K25" s="98">
        <f t="shared" si="4"/>
        <v>44036</v>
      </c>
      <c r="L25" s="98">
        <f t="shared" si="4"/>
        <v>17614.400000000001</v>
      </c>
      <c r="M25" s="98">
        <f t="shared" si="4"/>
        <v>22018</v>
      </c>
      <c r="N25" s="98">
        <f t="shared" si="4"/>
        <v>0</v>
      </c>
      <c r="O25" s="98">
        <f t="shared" si="4"/>
        <v>0</v>
      </c>
      <c r="P25" s="98">
        <f t="shared" si="4"/>
        <v>0</v>
      </c>
      <c r="Q25" s="98">
        <f t="shared" si="4"/>
        <v>0</v>
      </c>
      <c r="R25" s="98">
        <f t="shared" si="4"/>
        <v>0</v>
      </c>
      <c r="S25" s="98">
        <f t="shared" si="4"/>
        <v>0</v>
      </c>
      <c r="T25" s="247"/>
      <c r="Y25" s="235" t="s">
        <v>8</v>
      </c>
      <c r="Z25" s="1">
        <f>C30</f>
        <v>43</v>
      </c>
      <c r="AB25" s="1" t="s">
        <v>103</v>
      </c>
      <c r="AD25" s="1" t="str">
        <f t="shared" ref="AD25:AO26" si="5">AD17</f>
        <v>0-40</v>
      </c>
      <c r="AE25" s="1" t="str">
        <f t="shared" si="5"/>
        <v>40-60</v>
      </c>
      <c r="AF25" s="1" t="str">
        <f t="shared" si="5"/>
        <v>60-80</v>
      </c>
      <c r="AG25" s="1" t="str">
        <f t="shared" si="5"/>
        <v>80-100</v>
      </c>
      <c r="AH25" s="1" t="str">
        <f t="shared" si="5"/>
        <v>100-150</v>
      </c>
      <c r="AI25" s="1" t="str">
        <f t="shared" si="5"/>
        <v>150-200</v>
      </c>
      <c r="AJ25" s="1" t="str">
        <f t="shared" si="5"/>
        <v>200-250</v>
      </c>
      <c r="AK25" s="1" t="str">
        <f t="shared" si="5"/>
        <v>250-350</v>
      </c>
      <c r="AL25" s="1" t="str">
        <f t="shared" si="5"/>
        <v>350-450</v>
      </c>
      <c r="AM25" s="1" t="str">
        <f t="shared" si="5"/>
        <v>450-650</v>
      </c>
      <c r="AN25" s="1" t="str">
        <f t="shared" si="5"/>
        <v>650-2000</v>
      </c>
    </row>
    <row r="26" spans="1:41" ht="15.75" x14ac:dyDescent="0.25">
      <c r="A26" s="5"/>
      <c r="B26" s="5"/>
      <c r="C26" s="5"/>
      <c r="G26" s="237"/>
      <c r="H26" s="97"/>
      <c r="I26" s="97"/>
      <c r="J26" s="97"/>
      <c r="K26" s="97"/>
      <c r="L26" s="97"/>
      <c r="M26" s="97"/>
      <c r="N26" s="97"/>
      <c r="O26" s="97"/>
      <c r="P26" s="97"/>
      <c r="Q26" s="97"/>
      <c r="R26" s="97"/>
      <c r="S26" s="97"/>
      <c r="T26" s="102"/>
      <c r="AD26" s="1">
        <f t="shared" si="5"/>
        <v>0</v>
      </c>
      <c r="AE26" s="1">
        <f t="shared" si="5"/>
        <v>40</v>
      </c>
      <c r="AF26" s="1">
        <f t="shared" si="5"/>
        <v>60</v>
      </c>
      <c r="AG26" s="1">
        <f t="shared" si="5"/>
        <v>80</v>
      </c>
      <c r="AH26" s="1">
        <f t="shared" si="5"/>
        <v>100</v>
      </c>
      <c r="AI26" s="1">
        <f t="shared" si="5"/>
        <v>150</v>
      </c>
      <c r="AJ26" s="1">
        <f t="shared" si="5"/>
        <v>200</v>
      </c>
      <c r="AK26" s="1">
        <f t="shared" si="5"/>
        <v>250</v>
      </c>
      <c r="AL26" s="1">
        <f t="shared" si="5"/>
        <v>350</v>
      </c>
      <c r="AM26" s="1">
        <f t="shared" si="5"/>
        <v>450</v>
      </c>
      <c r="AN26" s="1">
        <f t="shared" si="5"/>
        <v>650</v>
      </c>
      <c r="AO26" s="1">
        <f t="shared" si="5"/>
        <v>2000</v>
      </c>
    </row>
    <row r="27" spans="1:41" ht="15.75" x14ac:dyDescent="0.25">
      <c r="A27" s="5"/>
      <c r="B27" s="5" t="s">
        <v>123</v>
      </c>
      <c r="C27" s="5" t="s">
        <v>124</v>
      </c>
      <c r="F27" s="245" t="s">
        <v>125</v>
      </c>
      <c r="G27" s="248" t="s">
        <v>109</v>
      </c>
      <c r="H27" s="249"/>
      <c r="I27" s="250">
        <f>Kontrollpanel!E28</f>
        <v>0.45</v>
      </c>
      <c r="J27" s="250">
        <f>Kontrollpanel!F28</f>
        <v>0.28000000000000003</v>
      </c>
      <c r="K27" s="250">
        <f>Kontrollpanel!G28</f>
        <v>0.2</v>
      </c>
      <c r="L27" s="250">
        <f>Kontrollpanel!H28</f>
        <v>0.08</v>
      </c>
      <c r="M27" s="250">
        <f>Kontrollpanel!I28</f>
        <v>0.04</v>
      </c>
      <c r="N27" s="250">
        <f>Kontrollpanel!J28</f>
        <v>2.5000000000000001E-2</v>
      </c>
      <c r="O27" s="250">
        <f>Kontrollpanel!K28</f>
        <v>2.5000000000000001E-2</v>
      </c>
      <c r="P27" s="250">
        <f>Kontrollpanel!L28</f>
        <v>2.5000000000000001E-2</v>
      </c>
      <c r="Q27" s="250">
        <f>Kontrollpanel!M28</f>
        <v>2.5000000000000001E-2</v>
      </c>
      <c r="R27" s="250">
        <f>Kontrollpanel!N28</f>
        <v>2.5000000000000001E-2</v>
      </c>
      <c r="S27" s="250">
        <f>Kontrollpanel!O28</f>
        <v>2.5000000000000001E-2</v>
      </c>
      <c r="T27" s="250">
        <f>Kontrollpanel!P28</f>
        <v>0</v>
      </c>
      <c r="Y27" s="235" t="s">
        <v>33</v>
      </c>
      <c r="Z27" s="1">
        <f>SUM(AD27:AO27)</f>
        <v>207409.56</v>
      </c>
      <c r="AB27" s="1" t="s">
        <v>106</v>
      </c>
      <c r="AD27" s="1">
        <f>IF($Z$25&gt;AD26,(IF($Z$25-AE26&gt;0,(AE26-AD26)*$B$21*AD29,($Z$25-AD26)*$B$21*AD29)),0)</f>
        <v>198162</v>
      </c>
      <c r="AE27" s="1">
        <f t="shared" ref="AE27:AN27" si="6">IF($Z$25&gt;AE26,(IF($Z$25-AF26&gt;0,(AF26-AE26)*$B$21*AE29,($Z$25-AE26)*$B$21*AE29)),0)</f>
        <v>9247.5600000000013</v>
      </c>
      <c r="AF27" s="1">
        <f t="shared" si="6"/>
        <v>0</v>
      </c>
      <c r="AG27" s="1">
        <f t="shared" si="6"/>
        <v>0</v>
      </c>
      <c r="AH27" s="1">
        <f t="shared" si="6"/>
        <v>0</v>
      </c>
      <c r="AI27" s="1">
        <f t="shared" si="6"/>
        <v>0</v>
      </c>
      <c r="AJ27" s="1">
        <f t="shared" si="6"/>
        <v>0</v>
      </c>
      <c r="AK27" s="1">
        <f t="shared" si="6"/>
        <v>0</v>
      </c>
      <c r="AL27" s="1">
        <f t="shared" si="6"/>
        <v>0</v>
      </c>
      <c r="AM27" s="1">
        <f t="shared" si="6"/>
        <v>0</v>
      </c>
      <c r="AN27" s="1">
        <f t="shared" si="6"/>
        <v>0</v>
      </c>
    </row>
    <row r="28" spans="1:41" ht="15.75" x14ac:dyDescent="0.25">
      <c r="A28" s="252" t="s">
        <v>126</v>
      </c>
      <c r="B28" s="5"/>
      <c r="C28" s="5" t="s">
        <v>474</v>
      </c>
      <c r="G28" s="237"/>
      <c r="H28" s="97"/>
      <c r="I28" s="97"/>
      <c r="J28" s="97"/>
      <c r="K28" s="97"/>
      <c r="L28" s="97"/>
      <c r="M28" s="97"/>
      <c r="N28" s="97"/>
      <c r="O28" s="97"/>
      <c r="P28" s="97"/>
      <c r="Q28" s="97"/>
      <c r="R28" s="97"/>
      <c r="S28" s="97"/>
      <c r="T28" s="102"/>
    </row>
    <row r="29" spans="1:41" ht="16.5" thickBot="1" x14ac:dyDescent="0.3">
      <c r="B29" s="229" t="s">
        <v>102</v>
      </c>
      <c r="C29" s="229">
        <v>53</v>
      </c>
      <c r="G29" s="253"/>
      <c r="H29" s="105"/>
      <c r="I29" s="105"/>
      <c r="J29" s="105"/>
      <c r="K29" s="105"/>
      <c r="L29" s="105"/>
      <c r="M29" s="105"/>
      <c r="N29" s="105"/>
      <c r="O29" s="105"/>
      <c r="P29" s="105"/>
      <c r="Q29" s="105"/>
      <c r="R29" s="105"/>
      <c r="S29" s="105"/>
      <c r="T29" s="106"/>
      <c r="AB29" s="1" t="s">
        <v>109</v>
      </c>
      <c r="AD29" s="218">
        <f t="shared" ref="AD29:AO29" si="7">AD21</f>
        <v>0.45</v>
      </c>
      <c r="AE29" s="218">
        <f t="shared" si="7"/>
        <v>0.28000000000000003</v>
      </c>
      <c r="AF29" s="218">
        <f t="shared" si="7"/>
        <v>0.2</v>
      </c>
      <c r="AG29" s="218">
        <f t="shared" si="7"/>
        <v>0.08</v>
      </c>
      <c r="AH29" s="218">
        <f t="shared" si="7"/>
        <v>0.04</v>
      </c>
      <c r="AI29" s="218">
        <f t="shared" si="7"/>
        <v>2.5000000000000001E-2</v>
      </c>
      <c r="AJ29" s="218">
        <f t="shared" si="7"/>
        <v>2.5000000000000001E-2</v>
      </c>
      <c r="AK29" s="218">
        <f t="shared" si="7"/>
        <v>2.5000000000000001E-2</v>
      </c>
      <c r="AL29" s="218">
        <f t="shared" si="7"/>
        <v>2.5000000000000001E-2</v>
      </c>
      <c r="AM29" s="218">
        <f t="shared" si="7"/>
        <v>2.5000000000000001E-2</v>
      </c>
      <c r="AN29" s="218">
        <f t="shared" si="7"/>
        <v>2.5000000000000001E-2</v>
      </c>
      <c r="AO29" s="218">
        <f t="shared" si="7"/>
        <v>0</v>
      </c>
    </row>
    <row r="30" spans="1:41" ht="15.75" x14ac:dyDescent="0.25">
      <c r="B30" s="229" t="s">
        <v>8</v>
      </c>
      <c r="C30" s="229">
        <v>43</v>
      </c>
    </row>
    <row r="31" spans="1:41" ht="15.75" x14ac:dyDescent="0.25">
      <c r="B31" s="229" t="s">
        <v>11</v>
      </c>
      <c r="C31" s="229">
        <v>58</v>
      </c>
      <c r="L31" s="22"/>
    </row>
    <row r="32" spans="1:41" ht="15.75" x14ac:dyDescent="0.25">
      <c r="B32" s="254" t="s">
        <v>22</v>
      </c>
      <c r="C32" s="255">
        <v>50</v>
      </c>
      <c r="Y32" s="235" t="s">
        <v>11</v>
      </c>
      <c r="Z32" s="1">
        <f>C31</f>
        <v>58</v>
      </c>
      <c r="AB32" s="1" t="s">
        <v>103</v>
      </c>
      <c r="AD32" s="1" t="str">
        <f t="shared" ref="AD32:AN32" si="8">AD25</f>
        <v>0-40</v>
      </c>
      <c r="AE32" s="1" t="str">
        <f t="shared" si="8"/>
        <v>40-60</v>
      </c>
      <c r="AF32" s="1" t="str">
        <f t="shared" si="8"/>
        <v>60-80</v>
      </c>
      <c r="AG32" s="1" t="str">
        <f t="shared" si="8"/>
        <v>80-100</v>
      </c>
      <c r="AH32" s="1" t="str">
        <f t="shared" si="8"/>
        <v>100-150</v>
      </c>
      <c r="AI32" s="1" t="str">
        <f t="shared" si="8"/>
        <v>150-200</v>
      </c>
      <c r="AJ32" s="1" t="str">
        <f t="shared" si="8"/>
        <v>200-250</v>
      </c>
      <c r="AK32" s="1" t="str">
        <f t="shared" si="8"/>
        <v>250-350</v>
      </c>
      <c r="AL32" s="1" t="str">
        <f t="shared" si="8"/>
        <v>350-450</v>
      </c>
      <c r="AM32" s="1" t="str">
        <f t="shared" si="8"/>
        <v>450-650</v>
      </c>
      <c r="AN32" s="1" t="str">
        <f t="shared" si="8"/>
        <v>650-2000</v>
      </c>
    </row>
    <row r="33" spans="2:41" ht="15.75" x14ac:dyDescent="0.25">
      <c r="B33" s="229" t="s">
        <v>15</v>
      </c>
      <c r="C33" s="229">
        <v>22</v>
      </c>
      <c r="AD33" s="1">
        <f t="shared" ref="AD33:AO33" si="9">AD18</f>
        <v>0</v>
      </c>
      <c r="AE33" s="1">
        <f t="shared" si="9"/>
        <v>40</v>
      </c>
      <c r="AF33" s="1">
        <f t="shared" si="9"/>
        <v>60</v>
      </c>
      <c r="AG33" s="1">
        <f t="shared" si="9"/>
        <v>80</v>
      </c>
      <c r="AH33" s="1">
        <f t="shared" si="9"/>
        <v>100</v>
      </c>
      <c r="AI33" s="1">
        <f t="shared" si="9"/>
        <v>150</v>
      </c>
      <c r="AJ33" s="1">
        <f t="shared" si="9"/>
        <v>200</v>
      </c>
      <c r="AK33" s="1">
        <f t="shared" si="9"/>
        <v>250</v>
      </c>
      <c r="AL33" s="1">
        <f t="shared" si="9"/>
        <v>350</v>
      </c>
      <c r="AM33" s="1">
        <f t="shared" si="9"/>
        <v>450</v>
      </c>
      <c r="AN33" s="1">
        <f t="shared" si="9"/>
        <v>650</v>
      </c>
      <c r="AO33" s="1">
        <f t="shared" si="9"/>
        <v>2000</v>
      </c>
    </row>
    <row r="34" spans="2:41" ht="15.75" x14ac:dyDescent="0.25">
      <c r="B34" s="229" t="s">
        <v>128</v>
      </c>
      <c r="C34" s="229">
        <v>3</v>
      </c>
      <c r="G34" s="5" t="s">
        <v>33</v>
      </c>
      <c r="H34" s="5"/>
      <c r="I34" s="217">
        <f>SUM(I25:S25)</f>
        <v>343480.80000000005</v>
      </c>
      <c r="J34" s="239"/>
      <c r="Y34" s="235" t="s">
        <v>33</v>
      </c>
      <c r="Z34" s="1">
        <f>SUM(AD34:AO34)</f>
        <v>253647.36000000002</v>
      </c>
      <c r="AB34" s="1" t="s">
        <v>106</v>
      </c>
      <c r="AD34" s="1">
        <f>IF($Z$32&gt;AD33,(IF($Z$32-AE33&gt;0,(AE33-AD33)*$B$21*AD36,($Z$32-AD33)*$B$21*AD36)),0)</f>
        <v>198162</v>
      </c>
      <c r="AE34" s="1">
        <f t="shared" ref="AE34:AN34" si="10">IF($Z$32&gt;AE33,(IF($Z$32-AF33&gt;0,(AF33-AE33)*$B$21*AE36,($Z$32-AE33)*$B$21*AE36)),0)</f>
        <v>55485.360000000008</v>
      </c>
      <c r="AF34" s="1">
        <f t="shared" si="10"/>
        <v>0</v>
      </c>
      <c r="AG34" s="1">
        <f t="shared" si="10"/>
        <v>0</v>
      </c>
      <c r="AH34" s="1">
        <f t="shared" si="10"/>
        <v>0</v>
      </c>
      <c r="AI34" s="1">
        <f t="shared" si="10"/>
        <v>0</v>
      </c>
      <c r="AJ34" s="1">
        <f t="shared" si="10"/>
        <v>0</v>
      </c>
      <c r="AK34" s="1">
        <f t="shared" si="10"/>
        <v>0</v>
      </c>
      <c r="AL34" s="1">
        <f t="shared" si="10"/>
        <v>0</v>
      </c>
      <c r="AM34" s="1">
        <f t="shared" si="10"/>
        <v>0</v>
      </c>
      <c r="AN34" s="1">
        <f t="shared" si="10"/>
        <v>0</v>
      </c>
    </row>
    <row r="35" spans="2:41" ht="15.75" x14ac:dyDescent="0.25">
      <c r="B35" s="229" t="s">
        <v>16</v>
      </c>
      <c r="C35" s="229">
        <v>26</v>
      </c>
    </row>
    <row r="36" spans="2:41" ht="15.75" x14ac:dyDescent="0.25">
      <c r="B36" s="229" t="s">
        <v>9</v>
      </c>
      <c r="C36" s="229">
        <v>93</v>
      </c>
      <c r="AB36" s="1" t="s">
        <v>109</v>
      </c>
      <c r="AD36" s="218">
        <f t="shared" ref="AD36:AO36" si="11">AD21</f>
        <v>0.45</v>
      </c>
      <c r="AE36" s="218">
        <f t="shared" si="11"/>
        <v>0.28000000000000003</v>
      </c>
      <c r="AF36" s="218">
        <f t="shared" si="11"/>
        <v>0.2</v>
      </c>
      <c r="AG36" s="218">
        <f t="shared" si="11"/>
        <v>0.08</v>
      </c>
      <c r="AH36" s="218">
        <f t="shared" si="11"/>
        <v>0.04</v>
      </c>
      <c r="AI36" s="218">
        <f t="shared" si="11"/>
        <v>2.5000000000000001E-2</v>
      </c>
      <c r="AJ36" s="218">
        <f t="shared" si="11"/>
        <v>2.5000000000000001E-2</v>
      </c>
      <c r="AK36" s="218">
        <f t="shared" si="11"/>
        <v>2.5000000000000001E-2</v>
      </c>
      <c r="AL36" s="218">
        <f t="shared" si="11"/>
        <v>2.5000000000000001E-2</v>
      </c>
      <c r="AM36" s="218">
        <f t="shared" si="11"/>
        <v>2.5000000000000001E-2</v>
      </c>
      <c r="AN36" s="218">
        <f t="shared" si="11"/>
        <v>2.5000000000000001E-2</v>
      </c>
      <c r="AO36" s="218">
        <f t="shared" si="11"/>
        <v>0</v>
      </c>
    </row>
    <row r="37" spans="2:41" ht="16.5" thickBot="1" x14ac:dyDescent="0.3">
      <c r="B37" s="256" t="s">
        <v>21</v>
      </c>
      <c r="C37" s="256">
        <v>119</v>
      </c>
      <c r="N37" s="1" t="s">
        <v>273</v>
      </c>
    </row>
    <row r="38" spans="2:41" ht="15.75" x14ac:dyDescent="0.25">
      <c r="B38" s="229" t="s">
        <v>18</v>
      </c>
      <c r="C38" s="229">
        <v>55</v>
      </c>
      <c r="G38" s="257"/>
      <c r="H38" s="258"/>
      <c r="I38" s="258"/>
      <c r="J38" s="258"/>
      <c r="K38" s="258"/>
      <c r="L38" s="258"/>
      <c r="M38" s="258"/>
      <c r="N38" s="258"/>
      <c r="O38" s="258"/>
      <c r="P38" s="258"/>
      <c r="Q38" s="258"/>
      <c r="R38" s="258"/>
      <c r="S38" s="258"/>
      <c r="T38" s="259"/>
    </row>
    <row r="39" spans="2:41" ht="15.75" x14ac:dyDescent="0.25">
      <c r="B39" s="229" t="s">
        <v>13</v>
      </c>
      <c r="C39" s="229">
        <v>196</v>
      </c>
      <c r="G39" s="260"/>
      <c r="H39" s="261" t="s">
        <v>123</v>
      </c>
      <c r="I39" s="261" t="s">
        <v>129</v>
      </c>
      <c r="J39" s="261" t="s">
        <v>130</v>
      </c>
      <c r="K39" s="262" t="s">
        <v>131</v>
      </c>
      <c r="L39" s="262"/>
      <c r="M39" s="262" t="s">
        <v>739</v>
      </c>
      <c r="N39" s="263"/>
      <c r="O39" s="263"/>
      <c r="P39" s="263"/>
      <c r="Q39" s="263"/>
      <c r="R39" s="263"/>
      <c r="S39" s="263"/>
      <c r="T39" s="264"/>
    </row>
    <row r="40" spans="2:41" ht="15.75" x14ac:dyDescent="0.25">
      <c r="B40" s="229" t="s">
        <v>17</v>
      </c>
      <c r="C40" s="229">
        <v>262</v>
      </c>
      <c r="G40" s="265" t="s">
        <v>102</v>
      </c>
      <c r="H40" s="266">
        <v>53</v>
      </c>
      <c r="I40" s="267">
        <f>Z19</f>
        <v>238234.76</v>
      </c>
      <c r="J40" s="268">
        <v>382256.63416726235</v>
      </c>
      <c r="K40" s="269">
        <f>I40/J40</f>
        <v>0.62323250587655377</v>
      </c>
      <c r="L40" s="263"/>
      <c r="M40" s="270">
        <f>I40/H40</f>
        <v>4494.9954716981138</v>
      </c>
      <c r="N40" s="263"/>
      <c r="O40" s="263"/>
      <c r="P40" s="263"/>
      <c r="Q40" s="263"/>
      <c r="R40" s="263"/>
      <c r="S40" s="263"/>
      <c r="T40" s="264"/>
      <c r="Y40" s="235" t="s">
        <v>22</v>
      </c>
      <c r="Z40" s="1">
        <f>C32</f>
        <v>50</v>
      </c>
      <c r="AB40" s="1" t="s">
        <v>103</v>
      </c>
      <c r="AD40" s="1" t="str">
        <f t="shared" ref="AD40:AN40" si="12">AD25</f>
        <v>0-40</v>
      </c>
      <c r="AE40" s="1" t="str">
        <f t="shared" si="12"/>
        <v>40-60</v>
      </c>
      <c r="AF40" s="1" t="str">
        <f t="shared" si="12"/>
        <v>60-80</v>
      </c>
      <c r="AG40" s="1" t="str">
        <f t="shared" si="12"/>
        <v>80-100</v>
      </c>
      <c r="AH40" s="1" t="str">
        <f t="shared" si="12"/>
        <v>100-150</v>
      </c>
      <c r="AI40" s="1" t="str">
        <f t="shared" si="12"/>
        <v>150-200</v>
      </c>
      <c r="AJ40" s="1" t="str">
        <f t="shared" si="12"/>
        <v>200-250</v>
      </c>
      <c r="AK40" s="1" t="str">
        <f t="shared" si="12"/>
        <v>250-350</v>
      </c>
      <c r="AL40" s="1" t="str">
        <f t="shared" si="12"/>
        <v>350-450</v>
      </c>
      <c r="AM40" s="1" t="str">
        <f t="shared" si="12"/>
        <v>450-650</v>
      </c>
      <c r="AN40" s="1" t="str">
        <f t="shared" si="12"/>
        <v>650-2000</v>
      </c>
    </row>
    <row r="41" spans="2:41" ht="15.75" x14ac:dyDescent="0.25">
      <c r="B41" s="229" t="s">
        <v>19</v>
      </c>
      <c r="C41" s="229">
        <v>220</v>
      </c>
      <c r="G41" s="265" t="s">
        <v>8</v>
      </c>
      <c r="H41" s="271">
        <v>43</v>
      </c>
      <c r="I41" s="268">
        <f>Z27</f>
        <v>207409.56</v>
      </c>
      <c r="J41" s="268">
        <v>351676.10343388136</v>
      </c>
      <c r="K41" s="269">
        <f t="shared" ref="K41:K57" si="13">I41/J41</f>
        <v>0.58977439176214908</v>
      </c>
      <c r="L41" s="263"/>
      <c r="M41" s="270">
        <f t="shared" ref="M41:M57" si="14">I41/H41</f>
        <v>4823.4781395348837</v>
      </c>
      <c r="N41" s="263"/>
      <c r="O41" s="263"/>
      <c r="P41" s="263"/>
      <c r="Q41" s="263"/>
      <c r="R41" s="263"/>
      <c r="S41" s="263"/>
      <c r="T41" s="264"/>
      <c r="AD41" s="1">
        <f t="shared" ref="AD41:AO41" si="15">AD18</f>
        <v>0</v>
      </c>
      <c r="AE41" s="1">
        <f t="shared" si="15"/>
        <v>40</v>
      </c>
      <c r="AF41" s="1">
        <f t="shared" si="15"/>
        <v>60</v>
      </c>
      <c r="AG41" s="1">
        <f t="shared" si="15"/>
        <v>80</v>
      </c>
      <c r="AH41" s="1">
        <f t="shared" si="15"/>
        <v>100</v>
      </c>
      <c r="AI41" s="1">
        <f t="shared" si="15"/>
        <v>150</v>
      </c>
      <c r="AJ41" s="1">
        <f t="shared" si="15"/>
        <v>200</v>
      </c>
      <c r="AK41" s="1">
        <f t="shared" si="15"/>
        <v>250</v>
      </c>
      <c r="AL41" s="1">
        <f t="shared" si="15"/>
        <v>350</v>
      </c>
      <c r="AM41" s="1">
        <f t="shared" si="15"/>
        <v>450</v>
      </c>
      <c r="AN41" s="1">
        <f t="shared" si="15"/>
        <v>650</v>
      </c>
      <c r="AO41" s="1">
        <f t="shared" si="15"/>
        <v>2000</v>
      </c>
    </row>
    <row r="42" spans="2:41" ht="15.75" x14ac:dyDescent="0.25">
      <c r="B42" s="229" t="s">
        <v>133</v>
      </c>
      <c r="C42" s="229">
        <v>316</v>
      </c>
      <c r="G42" s="265" t="s">
        <v>11</v>
      </c>
      <c r="H42" s="266">
        <v>58</v>
      </c>
      <c r="I42" s="267">
        <f>Z34</f>
        <v>253647.36000000002</v>
      </c>
      <c r="J42" s="268">
        <v>496933.62441744097</v>
      </c>
      <c r="K42" s="269">
        <f t="shared" si="13"/>
        <v>0.51042502969557102</v>
      </c>
      <c r="L42" s="263"/>
      <c r="M42" s="270">
        <f t="shared" si="14"/>
        <v>4373.2303448275861</v>
      </c>
      <c r="N42" s="263"/>
      <c r="O42" s="263"/>
      <c r="P42" s="263"/>
      <c r="Q42" s="263"/>
      <c r="R42" s="263"/>
      <c r="S42" s="263"/>
      <c r="T42" s="264"/>
      <c r="Y42" s="235" t="s">
        <v>33</v>
      </c>
      <c r="Z42" s="1">
        <f>SUM(AD42:AO42)</f>
        <v>228987.2</v>
      </c>
      <c r="AB42" s="1" t="s">
        <v>106</v>
      </c>
      <c r="AD42" s="1">
        <f>IF($Z$40&gt;AD41,(IF($Z$40-AE41&gt;0,(AE41-AD41)*$B$21*AD44,($Z$40-AD41)*$B$21*AD44)),0)</f>
        <v>198162</v>
      </c>
      <c r="AE42" s="1">
        <f t="shared" ref="AE42:AN42" si="16">IF($Z$40&gt;AE41,(IF($Z$40-AF41&gt;0,(AF41-AE41)*$B$21*AE44,($Z$40-AE41)*$B$21*AE44)),0)</f>
        <v>30825.200000000004</v>
      </c>
      <c r="AF42" s="1">
        <f t="shared" si="16"/>
        <v>0</v>
      </c>
      <c r="AG42" s="1">
        <f t="shared" si="16"/>
        <v>0</v>
      </c>
      <c r="AH42" s="1">
        <f t="shared" si="16"/>
        <v>0</v>
      </c>
      <c r="AI42" s="1">
        <f t="shared" si="16"/>
        <v>0</v>
      </c>
      <c r="AJ42" s="1">
        <f t="shared" si="16"/>
        <v>0</v>
      </c>
      <c r="AK42" s="1">
        <f t="shared" si="16"/>
        <v>0</v>
      </c>
      <c r="AL42" s="1">
        <f t="shared" si="16"/>
        <v>0</v>
      </c>
      <c r="AM42" s="1">
        <f t="shared" si="16"/>
        <v>0</v>
      </c>
      <c r="AN42" s="1">
        <f t="shared" si="16"/>
        <v>0</v>
      </c>
    </row>
    <row r="43" spans="2:41" ht="15.75" x14ac:dyDescent="0.25">
      <c r="B43" s="229" t="s">
        <v>134</v>
      </c>
      <c r="C43" s="229">
        <v>604</v>
      </c>
      <c r="G43" s="265" t="s">
        <v>22</v>
      </c>
      <c r="H43" s="266">
        <v>50</v>
      </c>
      <c r="I43" s="267">
        <f>Z42</f>
        <v>228987.2</v>
      </c>
      <c r="J43" s="268">
        <v>336385.83806719084</v>
      </c>
      <c r="K43" s="269">
        <f t="shared" si="13"/>
        <v>0.68072782527266007</v>
      </c>
      <c r="L43" s="263"/>
      <c r="M43" s="270">
        <f t="shared" si="14"/>
        <v>4579.7440000000006</v>
      </c>
      <c r="N43" s="263"/>
      <c r="O43" s="263"/>
      <c r="P43" s="263"/>
      <c r="Q43" s="263"/>
      <c r="R43" s="263"/>
      <c r="S43" s="263"/>
      <c r="T43" s="264"/>
    </row>
    <row r="44" spans="2:41" ht="15.75" customHeight="1" x14ac:dyDescent="0.25">
      <c r="B44" s="229" t="s">
        <v>135</v>
      </c>
      <c r="C44" s="229">
        <v>1086</v>
      </c>
      <c r="G44" s="265" t="s">
        <v>15</v>
      </c>
      <c r="H44" s="266">
        <v>22</v>
      </c>
      <c r="I44" s="267">
        <f>Z49</f>
        <v>108989.1</v>
      </c>
      <c r="J44" s="268">
        <v>252289.37855039316</v>
      </c>
      <c r="K44" s="269">
        <f t="shared" si="13"/>
        <v>0.43200035065380349</v>
      </c>
      <c r="L44" s="263"/>
      <c r="M44" s="270">
        <f t="shared" si="14"/>
        <v>4954.05</v>
      </c>
      <c r="N44" s="263"/>
      <c r="O44" s="263"/>
      <c r="P44" s="263"/>
      <c r="Q44" s="263"/>
      <c r="R44" s="263"/>
      <c r="S44" s="263"/>
      <c r="T44" s="264"/>
      <c r="AB44" s="1" t="s">
        <v>109</v>
      </c>
      <c r="AD44" s="218">
        <f t="shared" ref="AD44:AO44" si="17">AD21</f>
        <v>0.45</v>
      </c>
      <c r="AE44" s="218">
        <f t="shared" si="17"/>
        <v>0.28000000000000003</v>
      </c>
      <c r="AF44" s="218">
        <f t="shared" si="17"/>
        <v>0.2</v>
      </c>
      <c r="AG44" s="218">
        <f t="shared" si="17"/>
        <v>0.08</v>
      </c>
      <c r="AH44" s="218">
        <f t="shared" si="17"/>
        <v>0.04</v>
      </c>
      <c r="AI44" s="218">
        <f t="shared" si="17"/>
        <v>2.5000000000000001E-2</v>
      </c>
      <c r="AJ44" s="218">
        <f t="shared" si="17"/>
        <v>2.5000000000000001E-2</v>
      </c>
      <c r="AK44" s="218">
        <f t="shared" si="17"/>
        <v>2.5000000000000001E-2</v>
      </c>
      <c r="AL44" s="218">
        <f t="shared" si="17"/>
        <v>2.5000000000000001E-2</v>
      </c>
      <c r="AM44" s="218">
        <f t="shared" si="17"/>
        <v>2.5000000000000001E-2</v>
      </c>
      <c r="AN44" s="218">
        <f t="shared" si="17"/>
        <v>2.5000000000000001E-2</v>
      </c>
      <c r="AO44" s="218">
        <f t="shared" si="17"/>
        <v>0</v>
      </c>
    </row>
    <row r="45" spans="2:41" ht="15" customHeight="1" x14ac:dyDescent="0.25">
      <c r="B45" s="229"/>
      <c r="C45" s="229"/>
      <c r="G45" s="265" t="s">
        <v>128</v>
      </c>
      <c r="H45" s="266">
        <v>3</v>
      </c>
      <c r="I45" s="267">
        <f>Z57</f>
        <v>14862.15</v>
      </c>
      <c r="J45" s="268">
        <v>61161.061466761974</v>
      </c>
      <c r="K45" s="269">
        <f t="shared" si="13"/>
        <v>0.24300019724276445</v>
      </c>
      <c r="L45" s="263"/>
      <c r="M45" s="270">
        <f t="shared" si="14"/>
        <v>4954.05</v>
      </c>
      <c r="N45" s="263"/>
      <c r="O45" s="263"/>
      <c r="P45" s="263"/>
      <c r="Q45" s="263"/>
      <c r="R45" s="263"/>
      <c r="S45" s="263"/>
      <c r="T45" s="264"/>
    </row>
    <row r="46" spans="2:41" ht="15.75" x14ac:dyDescent="0.25">
      <c r="B46" s="229" t="s">
        <v>32</v>
      </c>
      <c r="C46" s="229">
        <f>SUM(C29:C44)</f>
        <v>3206</v>
      </c>
      <c r="G46" s="265" t="s">
        <v>16</v>
      </c>
      <c r="H46" s="266">
        <v>26</v>
      </c>
      <c r="I46" s="267">
        <f>Z64</f>
        <v>128805.3</v>
      </c>
      <c r="J46" s="268">
        <v>229353.98050035737</v>
      </c>
      <c r="K46" s="269">
        <f t="shared" si="13"/>
        <v>0.56160045584994456</v>
      </c>
      <c r="L46" s="263"/>
      <c r="M46" s="270">
        <f t="shared" si="14"/>
        <v>4954.05</v>
      </c>
      <c r="N46" s="263"/>
      <c r="O46" s="263"/>
      <c r="P46" s="263"/>
      <c r="Q46" s="263"/>
      <c r="R46" s="263"/>
      <c r="S46" s="263"/>
      <c r="T46" s="264"/>
    </row>
    <row r="47" spans="2:41" ht="15.75" x14ac:dyDescent="0.25">
      <c r="B47" s="229"/>
      <c r="C47" s="229"/>
      <c r="G47" s="265" t="s">
        <v>9</v>
      </c>
      <c r="H47" s="266">
        <v>93</v>
      </c>
      <c r="I47" s="267">
        <f>Z72</f>
        <v>315297.76</v>
      </c>
      <c r="J47" s="268">
        <v>510312.60661329515</v>
      </c>
      <c r="K47" s="269">
        <f t="shared" si="13"/>
        <v>0.61785218690261834</v>
      </c>
      <c r="L47" s="263"/>
      <c r="M47" s="270">
        <f t="shared" si="14"/>
        <v>3390.2984946236561</v>
      </c>
      <c r="N47" s="263"/>
      <c r="O47" s="263"/>
      <c r="P47" s="263"/>
      <c r="Q47" s="263"/>
      <c r="R47" s="263"/>
      <c r="S47" s="263"/>
      <c r="T47" s="264"/>
      <c r="Y47" s="235" t="s">
        <v>15</v>
      </c>
      <c r="Z47" s="1">
        <f>C33</f>
        <v>22</v>
      </c>
      <c r="AB47" s="1" t="s">
        <v>103</v>
      </c>
      <c r="AD47" s="1" t="str">
        <f t="shared" ref="AD47:AN47" si="18">AD25</f>
        <v>0-40</v>
      </c>
      <c r="AE47" s="1" t="str">
        <f t="shared" si="18"/>
        <v>40-60</v>
      </c>
      <c r="AF47" s="1" t="str">
        <f t="shared" si="18"/>
        <v>60-80</v>
      </c>
      <c r="AG47" s="1" t="str">
        <f t="shared" si="18"/>
        <v>80-100</v>
      </c>
      <c r="AH47" s="1" t="str">
        <f t="shared" si="18"/>
        <v>100-150</v>
      </c>
      <c r="AI47" s="1" t="str">
        <f t="shared" si="18"/>
        <v>150-200</v>
      </c>
      <c r="AJ47" s="1" t="str">
        <f t="shared" si="18"/>
        <v>200-250</v>
      </c>
      <c r="AK47" s="1" t="str">
        <f t="shared" si="18"/>
        <v>250-350</v>
      </c>
      <c r="AL47" s="1" t="str">
        <f t="shared" si="18"/>
        <v>350-450</v>
      </c>
      <c r="AM47" s="1" t="str">
        <f t="shared" si="18"/>
        <v>450-650</v>
      </c>
      <c r="AN47" s="1" t="str">
        <f t="shared" si="18"/>
        <v>650-2000</v>
      </c>
    </row>
    <row r="48" spans="2:41" ht="15.75" x14ac:dyDescent="0.25">
      <c r="B48" s="229" t="s">
        <v>136</v>
      </c>
      <c r="C48" s="229">
        <v>3206</v>
      </c>
      <c r="G48" s="265" t="s">
        <v>21</v>
      </c>
      <c r="H48" s="266">
        <v>119</v>
      </c>
      <c r="I48" s="267">
        <f>Z79</f>
        <v>329829.64000000007</v>
      </c>
      <c r="J48" s="268">
        <v>590586.49978842027</v>
      </c>
      <c r="K48" s="269">
        <f t="shared" si="13"/>
        <v>0.55847812321846624</v>
      </c>
      <c r="L48" s="263"/>
      <c r="M48" s="270">
        <f t="shared" si="14"/>
        <v>2771.6776470588243</v>
      </c>
      <c r="N48" s="263"/>
      <c r="O48" s="263"/>
      <c r="P48" s="263"/>
      <c r="Q48" s="263"/>
      <c r="R48" s="263"/>
      <c r="S48" s="263"/>
      <c r="T48" s="264"/>
      <c r="AD48" s="1">
        <f t="shared" ref="AD48:AO48" si="19">AD18</f>
        <v>0</v>
      </c>
      <c r="AE48" s="1">
        <f t="shared" si="19"/>
        <v>40</v>
      </c>
      <c r="AF48" s="1">
        <f t="shared" si="19"/>
        <v>60</v>
      </c>
      <c r="AG48" s="1">
        <f t="shared" si="19"/>
        <v>80</v>
      </c>
      <c r="AH48" s="1">
        <f t="shared" si="19"/>
        <v>100</v>
      </c>
      <c r="AI48" s="1">
        <f t="shared" si="19"/>
        <v>150</v>
      </c>
      <c r="AJ48" s="1">
        <f t="shared" si="19"/>
        <v>200</v>
      </c>
      <c r="AK48" s="1">
        <f t="shared" si="19"/>
        <v>250</v>
      </c>
      <c r="AL48" s="1">
        <f t="shared" si="19"/>
        <v>350</v>
      </c>
      <c r="AM48" s="1">
        <f t="shared" si="19"/>
        <v>450</v>
      </c>
      <c r="AN48" s="1">
        <f t="shared" si="19"/>
        <v>650</v>
      </c>
      <c r="AO48" s="1">
        <f t="shared" si="19"/>
        <v>2000</v>
      </c>
    </row>
    <row r="49" spans="3:41" ht="15.75" x14ac:dyDescent="0.25">
      <c r="G49" s="265" t="s">
        <v>18</v>
      </c>
      <c r="H49" s="271">
        <v>55</v>
      </c>
      <c r="I49" s="268">
        <f>Z87</f>
        <v>244399.8</v>
      </c>
      <c r="J49" s="268">
        <v>292426.32513795566</v>
      </c>
      <c r="K49" s="269">
        <f t="shared" si="13"/>
        <v>0.83576538427141067</v>
      </c>
      <c r="L49" s="263"/>
      <c r="M49" s="270">
        <f t="shared" si="14"/>
        <v>4443.6327272727267</v>
      </c>
      <c r="N49" s="263"/>
      <c r="O49" s="263"/>
      <c r="P49" s="263"/>
      <c r="Q49" s="263"/>
      <c r="R49" s="263"/>
      <c r="S49" s="263"/>
      <c r="T49" s="264"/>
      <c r="Y49" s="235" t="s">
        <v>33</v>
      </c>
      <c r="Z49" s="1">
        <f>SUM(AD49:AO49)</f>
        <v>108989.1</v>
      </c>
      <c r="AB49" s="1" t="s">
        <v>106</v>
      </c>
      <c r="AD49" s="1">
        <f>IF($Z$47&gt;AD48,(IF($Z$47-AE48&gt;0,(AE48-AD48)*$B$21*AD51,($Z$47-AD48)*$B$21*AD51)),0)</f>
        <v>108989.1</v>
      </c>
      <c r="AE49" s="1">
        <f t="shared" ref="AE49:AN49" si="20">IF($Z$47&gt;AE48,(IF($Z$47-AF48&gt;0,(AF48-AE48)*$B$21*AE51,($Z$47-AE48)*$B$21*AE51)),0)</f>
        <v>0</v>
      </c>
      <c r="AF49" s="1">
        <f t="shared" si="20"/>
        <v>0</v>
      </c>
      <c r="AG49" s="1">
        <f t="shared" si="20"/>
        <v>0</v>
      </c>
      <c r="AH49" s="1">
        <f t="shared" si="20"/>
        <v>0</v>
      </c>
      <c r="AI49" s="1">
        <f t="shared" si="20"/>
        <v>0</v>
      </c>
      <c r="AJ49" s="1">
        <f t="shared" si="20"/>
        <v>0</v>
      </c>
      <c r="AK49" s="1">
        <f t="shared" si="20"/>
        <v>0</v>
      </c>
      <c r="AL49" s="1">
        <f t="shared" si="20"/>
        <v>0</v>
      </c>
      <c r="AM49" s="1">
        <f t="shared" si="20"/>
        <v>0</v>
      </c>
      <c r="AN49" s="1">
        <f t="shared" si="20"/>
        <v>0</v>
      </c>
    </row>
    <row r="50" spans="3:41" ht="15.75" x14ac:dyDescent="0.25">
      <c r="G50" s="265" t="s">
        <v>13</v>
      </c>
      <c r="H50" s="271">
        <v>196</v>
      </c>
      <c r="I50" s="268">
        <f>Z94</f>
        <v>356141.15</v>
      </c>
      <c r="J50" s="268">
        <v>743966.9742480343</v>
      </c>
      <c r="K50" s="269">
        <f t="shared" si="13"/>
        <v>0.47870559087649045</v>
      </c>
      <c r="L50" s="263"/>
      <c r="M50" s="270">
        <f t="shared" si="14"/>
        <v>1817.0466836734695</v>
      </c>
      <c r="N50" s="263"/>
      <c r="O50" s="263"/>
      <c r="P50" s="263"/>
      <c r="Q50" s="263"/>
      <c r="R50" s="263"/>
      <c r="S50" s="263"/>
      <c r="T50" s="264"/>
    </row>
    <row r="51" spans="3:41" ht="15.75" x14ac:dyDescent="0.25">
      <c r="C51" s="1" t="s">
        <v>736</v>
      </c>
      <c r="D51" s="1" t="s">
        <v>737</v>
      </c>
      <c r="G51" s="265" t="s">
        <v>17</v>
      </c>
      <c r="H51" s="266">
        <v>262</v>
      </c>
      <c r="I51" s="267">
        <f>Z102</f>
        <v>374306.00000000006</v>
      </c>
      <c r="J51" s="268">
        <v>1182606.4619549678</v>
      </c>
      <c r="K51" s="269">
        <f t="shared" si="13"/>
        <v>0.31650934781908302</v>
      </c>
      <c r="L51" s="263"/>
      <c r="M51" s="270">
        <f t="shared" si="14"/>
        <v>1428.6488549618323</v>
      </c>
      <c r="N51" s="263"/>
      <c r="O51" s="263"/>
      <c r="P51" s="263"/>
      <c r="Q51" s="263"/>
      <c r="R51" s="263"/>
      <c r="S51" s="263"/>
      <c r="T51" s="264"/>
      <c r="AB51" s="1" t="s">
        <v>109</v>
      </c>
      <c r="AD51" s="218">
        <f t="shared" ref="AD51:AO51" si="21">AD21</f>
        <v>0.45</v>
      </c>
      <c r="AE51" s="218">
        <f t="shared" si="21"/>
        <v>0.28000000000000003</v>
      </c>
      <c r="AF51" s="218">
        <f t="shared" si="21"/>
        <v>0.2</v>
      </c>
      <c r="AG51" s="218">
        <f t="shared" si="21"/>
        <v>0.08</v>
      </c>
      <c r="AH51" s="218">
        <f t="shared" si="21"/>
        <v>0.04</v>
      </c>
      <c r="AI51" s="218">
        <f t="shared" si="21"/>
        <v>2.5000000000000001E-2</v>
      </c>
      <c r="AJ51" s="218">
        <f t="shared" si="21"/>
        <v>2.5000000000000001E-2</v>
      </c>
      <c r="AK51" s="218">
        <f t="shared" si="21"/>
        <v>2.5000000000000001E-2</v>
      </c>
      <c r="AL51" s="218">
        <f t="shared" si="21"/>
        <v>2.5000000000000001E-2</v>
      </c>
      <c r="AM51" s="218">
        <f t="shared" si="21"/>
        <v>2.5000000000000001E-2</v>
      </c>
      <c r="AN51" s="218">
        <f t="shared" si="21"/>
        <v>2.5000000000000001E-2</v>
      </c>
      <c r="AO51" s="218">
        <f t="shared" si="21"/>
        <v>0</v>
      </c>
    </row>
    <row r="52" spans="3:41" ht="15.75" x14ac:dyDescent="0.25">
      <c r="C52" s="1">
        <v>704406</v>
      </c>
      <c r="D52" s="1">
        <v>43</v>
      </c>
      <c r="E52" s="22">
        <f>C52/D52</f>
        <v>16381.534883720929</v>
      </c>
      <c r="G52" s="265" t="s">
        <v>19</v>
      </c>
      <c r="H52" s="266">
        <v>220</v>
      </c>
      <c r="I52" s="267">
        <f>Z109</f>
        <v>362746.55000000005</v>
      </c>
      <c r="J52" s="268">
        <v>894480.5239513939</v>
      </c>
      <c r="K52" s="269">
        <f t="shared" si="13"/>
        <v>0.40553879071347082</v>
      </c>
      <c r="L52" s="263"/>
      <c r="M52" s="270">
        <f t="shared" si="14"/>
        <v>1648.8479545454547</v>
      </c>
      <c r="N52" s="263"/>
      <c r="O52" s="263"/>
      <c r="P52" s="263"/>
      <c r="Q52" s="263"/>
      <c r="R52" s="263"/>
      <c r="S52" s="263"/>
      <c r="T52" s="264"/>
    </row>
    <row r="53" spans="3:41" ht="15.75" x14ac:dyDescent="0.25">
      <c r="C53" s="1">
        <v>1192380</v>
      </c>
      <c r="D53" s="1">
        <v>93</v>
      </c>
      <c r="E53" s="22">
        <f t="shared" ref="E53:E68" si="22">C53/D53</f>
        <v>12821.290322580646</v>
      </c>
      <c r="G53" s="265" t="s">
        <v>133</v>
      </c>
      <c r="H53" s="266">
        <v>316</v>
      </c>
      <c r="I53" s="267">
        <f>Z117</f>
        <v>389168.15</v>
      </c>
      <c r="J53" s="268">
        <v>1215576.0966518943</v>
      </c>
      <c r="K53" s="269">
        <f t="shared" si="13"/>
        <v>0.32015120326230512</v>
      </c>
      <c r="L53" s="263"/>
      <c r="M53" s="270">
        <f t="shared" si="14"/>
        <v>1231.5447784810128</v>
      </c>
      <c r="N53" s="263"/>
      <c r="O53" s="263"/>
      <c r="P53" s="263"/>
      <c r="Q53" s="263"/>
      <c r="R53" s="263"/>
      <c r="S53" s="263"/>
      <c r="T53" s="264"/>
    </row>
    <row r="54" spans="3:41" ht="15.75" x14ac:dyDescent="0.25">
      <c r="C54" s="1">
        <v>3613212</v>
      </c>
      <c r="D54" s="1">
        <v>316</v>
      </c>
      <c r="E54" s="22">
        <f t="shared" si="22"/>
        <v>11434.215189873417</v>
      </c>
      <c r="G54" s="265" t="s">
        <v>134</v>
      </c>
      <c r="H54" s="266">
        <v>604</v>
      </c>
      <c r="I54" s="267">
        <f>Z124</f>
        <v>468432.95000000007</v>
      </c>
      <c r="J54" s="268">
        <v>1889781.2351644028</v>
      </c>
      <c r="K54" s="269">
        <f t="shared" si="13"/>
        <v>0.2478768130847952</v>
      </c>
      <c r="L54" s="263"/>
      <c r="M54" s="270">
        <f t="shared" si="14"/>
        <v>775.55124172185447</v>
      </c>
      <c r="N54" s="263"/>
      <c r="O54" s="263"/>
      <c r="P54" s="263"/>
      <c r="Q54" s="263"/>
      <c r="R54" s="263"/>
      <c r="S54" s="263"/>
      <c r="T54" s="264"/>
    </row>
    <row r="55" spans="3:41" ht="15.75" x14ac:dyDescent="0.25">
      <c r="C55" s="1">
        <v>988974</v>
      </c>
      <c r="D55" s="1">
        <v>58</v>
      </c>
      <c r="E55" s="22">
        <f t="shared" si="22"/>
        <v>17051.275862068964</v>
      </c>
      <c r="G55" s="265" t="s">
        <v>135</v>
      </c>
      <c r="H55" s="266">
        <v>1086</v>
      </c>
      <c r="I55" s="267">
        <f>Z132</f>
        <v>601091.4</v>
      </c>
      <c r="J55" s="268">
        <v>2064185.8245032167</v>
      </c>
      <c r="K55" s="269">
        <f t="shared" si="13"/>
        <v>0.29120023636663789</v>
      </c>
      <c r="L55" s="263"/>
      <c r="M55" s="270">
        <f t="shared" si="14"/>
        <v>553.49116022099452</v>
      </c>
      <c r="N55" s="263"/>
      <c r="O55" s="263"/>
      <c r="P55" s="263"/>
      <c r="Q55" s="263"/>
      <c r="R55" s="263"/>
      <c r="S55" s="263"/>
      <c r="T55" s="264"/>
      <c r="Y55" s="235" t="s">
        <v>128</v>
      </c>
      <c r="Z55" s="1">
        <f>C34</f>
        <v>3</v>
      </c>
      <c r="AB55" s="1" t="s">
        <v>103</v>
      </c>
      <c r="AD55" s="1" t="str">
        <f t="shared" ref="AD55:AN55" si="23">AD25</f>
        <v>0-40</v>
      </c>
      <c r="AE55" s="1" t="str">
        <f t="shared" si="23"/>
        <v>40-60</v>
      </c>
      <c r="AF55" s="1" t="str">
        <f t="shared" si="23"/>
        <v>60-80</v>
      </c>
      <c r="AG55" s="1" t="str">
        <f t="shared" si="23"/>
        <v>80-100</v>
      </c>
      <c r="AH55" s="1" t="str">
        <f t="shared" si="23"/>
        <v>100-150</v>
      </c>
      <c r="AI55" s="1" t="str">
        <f t="shared" si="23"/>
        <v>150-200</v>
      </c>
      <c r="AJ55" s="1" t="str">
        <f t="shared" si="23"/>
        <v>200-250</v>
      </c>
      <c r="AK55" s="1" t="str">
        <f t="shared" si="23"/>
        <v>250-350</v>
      </c>
      <c r="AL55" s="1" t="str">
        <f t="shared" si="23"/>
        <v>350-450</v>
      </c>
      <c r="AM55" s="1" t="str">
        <f t="shared" si="23"/>
        <v>450-650</v>
      </c>
      <c r="AN55" s="1" t="str">
        <f t="shared" si="23"/>
        <v>650-2000</v>
      </c>
    </row>
    <row r="56" spans="3:41" ht="15.75" x14ac:dyDescent="0.25">
      <c r="C56" s="1">
        <v>816630</v>
      </c>
      <c r="D56" s="1">
        <v>53</v>
      </c>
      <c r="E56" s="22">
        <f t="shared" si="22"/>
        <v>15408.113207547171</v>
      </c>
      <c r="G56" s="265"/>
      <c r="H56" s="266"/>
      <c r="I56" s="267"/>
      <c r="J56" s="268"/>
      <c r="K56" s="269"/>
      <c r="L56" s="263"/>
      <c r="M56" s="270"/>
      <c r="N56" s="263"/>
      <c r="O56" s="263"/>
      <c r="P56" s="263"/>
      <c r="Q56" s="263"/>
      <c r="R56" s="263"/>
      <c r="S56" s="263"/>
      <c r="T56" s="264"/>
      <c r="AD56" s="1">
        <f t="shared" ref="AD56:AO56" si="24">AD18</f>
        <v>0</v>
      </c>
      <c r="AE56" s="1">
        <f t="shared" si="24"/>
        <v>40</v>
      </c>
      <c r="AF56" s="1">
        <f t="shared" si="24"/>
        <v>60</v>
      </c>
      <c r="AG56" s="1">
        <f t="shared" si="24"/>
        <v>80</v>
      </c>
      <c r="AH56" s="1">
        <f t="shared" si="24"/>
        <v>100</v>
      </c>
      <c r="AI56" s="1">
        <f t="shared" si="24"/>
        <v>150</v>
      </c>
      <c r="AJ56" s="1">
        <f t="shared" si="24"/>
        <v>200</v>
      </c>
      <c r="AK56" s="1">
        <f t="shared" si="24"/>
        <v>250</v>
      </c>
      <c r="AL56" s="1">
        <f t="shared" si="24"/>
        <v>350</v>
      </c>
      <c r="AM56" s="1">
        <f t="shared" si="24"/>
        <v>450</v>
      </c>
      <c r="AN56" s="1">
        <f t="shared" si="24"/>
        <v>650</v>
      </c>
      <c r="AO56" s="1">
        <f t="shared" si="24"/>
        <v>2000</v>
      </c>
    </row>
    <row r="57" spans="3:41" ht="15.75" x14ac:dyDescent="0.25">
      <c r="C57" s="1">
        <v>2210412</v>
      </c>
      <c r="D57" s="1">
        <v>196</v>
      </c>
      <c r="E57" s="22">
        <f t="shared" si="22"/>
        <v>11277.612244897959</v>
      </c>
      <c r="G57" s="265" t="s">
        <v>32</v>
      </c>
      <c r="H57" s="266">
        <f>SUM(H40:H55)</f>
        <v>3206</v>
      </c>
      <c r="I57" s="267">
        <f>SUM(I40:I55)</f>
        <v>4622348.83</v>
      </c>
      <c r="J57" s="267">
        <f>SUM(J40:J55)</f>
        <v>11493979.168616869</v>
      </c>
      <c r="K57" s="269">
        <f t="shared" si="13"/>
        <v>0.40215392443209308</v>
      </c>
      <c r="L57" s="263"/>
      <c r="M57" s="270">
        <f t="shared" si="14"/>
        <v>1441.780670617592</v>
      </c>
      <c r="N57" s="263"/>
      <c r="O57" s="263"/>
      <c r="P57" s="263"/>
      <c r="Q57" s="263"/>
      <c r="R57" s="263"/>
      <c r="S57" s="263"/>
      <c r="T57" s="264"/>
      <c r="Y57" s="235" t="s">
        <v>33</v>
      </c>
      <c r="Z57" s="1">
        <f>SUM(AD57:AO57)</f>
        <v>14862.15</v>
      </c>
      <c r="AB57" s="1" t="s">
        <v>106</v>
      </c>
      <c r="AD57" s="1">
        <f>IF($Z$55&gt;AD56,(IF($Z$55-AE56&gt;0,(AE56-AD56)*$B$21*AD59,($Z$55-AD56)*$B$21*AD59)),0)</f>
        <v>14862.15</v>
      </c>
      <c r="AE57" s="1">
        <f t="shared" ref="AE57:AN57" si="25">IF($Z$55&gt;AE56,(IF($Z$55-AF56&gt;0,(AF56-AE56)*$B$21*AE59,($Z$55-AE56)*$B$21*AE59)),0)</f>
        <v>0</v>
      </c>
      <c r="AF57" s="1">
        <f t="shared" si="25"/>
        <v>0</v>
      </c>
      <c r="AG57" s="1">
        <f t="shared" si="25"/>
        <v>0</v>
      </c>
      <c r="AH57" s="1">
        <f t="shared" si="25"/>
        <v>0</v>
      </c>
      <c r="AI57" s="1">
        <f t="shared" si="25"/>
        <v>0</v>
      </c>
      <c r="AJ57" s="1">
        <f t="shared" si="25"/>
        <v>0</v>
      </c>
      <c r="AK57" s="1">
        <f t="shared" si="25"/>
        <v>0</v>
      </c>
      <c r="AL57" s="1">
        <f t="shared" si="25"/>
        <v>0</v>
      </c>
      <c r="AM57" s="1">
        <f t="shared" si="25"/>
        <v>0</v>
      </c>
      <c r="AN57" s="1">
        <f t="shared" si="25"/>
        <v>0</v>
      </c>
    </row>
    <row r="58" spans="3:41" ht="15.75" x14ac:dyDescent="0.25">
      <c r="C58" s="1">
        <v>6350676</v>
      </c>
      <c r="D58" s="1">
        <v>604</v>
      </c>
      <c r="E58" s="22">
        <f t="shared" si="22"/>
        <v>10514.364238410595</v>
      </c>
      <c r="G58" s="265"/>
      <c r="H58" s="272"/>
      <c r="I58" s="273"/>
      <c r="J58" s="274"/>
      <c r="K58" s="263"/>
      <c r="L58" s="263"/>
      <c r="M58" s="263"/>
      <c r="N58" s="263"/>
      <c r="O58" s="263"/>
      <c r="P58" s="263"/>
      <c r="Q58" s="263"/>
      <c r="R58" s="263"/>
      <c r="S58" s="263"/>
      <c r="T58" s="264"/>
    </row>
    <row r="59" spans="3:41" x14ac:dyDescent="0.2">
      <c r="C59" s="1">
        <v>502002</v>
      </c>
      <c r="D59" s="1">
        <v>22</v>
      </c>
      <c r="E59" s="22">
        <f t="shared" si="22"/>
        <v>22818.272727272728</v>
      </c>
      <c r="G59" s="260"/>
      <c r="H59" s="272"/>
      <c r="I59" s="273"/>
      <c r="J59" s="263"/>
      <c r="K59" s="263"/>
      <c r="L59" s="263"/>
      <c r="M59" s="263"/>
      <c r="N59" s="263"/>
      <c r="O59" s="263"/>
      <c r="P59" s="263"/>
      <c r="Q59" s="263"/>
      <c r="R59" s="263"/>
      <c r="S59" s="263"/>
      <c r="T59" s="264"/>
      <c r="AB59" s="1" t="s">
        <v>109</v>
      </c>
      <c r="AD59" s="218">
        <f t="shared" ref="AD59:AO59" si="26">AD21</f>
        <v>0.45</v>
      </c>
      <c r="AE59" s="218">
        <f t="shared" si="26"/>
        <v>0.28000000000000003</v>
      </c>
      <c r="AF59" s="218">
        <f t="shared" si="26"/>
        <v>0.2</v>
      </c>
      <c r="AG59" s="218">
        <f t="shared" si="26"/>
        <v>0.08</v>
      </c>
      <c r="AH59" s="218">
        <f t="shared" si="26"/>
        <v>0.04</v>
      </c>
      <c r="AI59" s="218">
        <f t="shared" si="26"/>
        <v>2.5000000000000001E-2</v>
      </c>
      <c r="AJ59" s="218">
        <f t="shared" si="26"/>
        <v>2.5000000000000001E-2</v>
      </c>
      <c r="AK59" s="218">
        <f t="shared" si="26"/>
        <v>2.5000000000000001E-2</v>
      </c>
      <c r="AL59" s="218">
        <f t="shared" si="26"/>
        <v>2.5000000000000001E-2</v>
      </c>
      <c r="AM59" s="218">
        <f t="shared" si="26"/>
        <v>2.5000000000000001E-2</v>
      </c>
      <c r="AN59" s="218">
        <f t="shared" si="26"/>
        <v>2.5000000000000001E-2</v>
      </c>
      <c r="AO59" s="218">
        <f t="shared" si="26"/>
        <v>0</v>
      </c>
    </row>
    <row r="60" spans="3:41" x14ac:dyDescent="0.2">
      <c r="C60" s="1">
        <v>495990</v>
      </c>
      <c r="D60" s="1">
        <v>26</v>
      </c>
      <c r="E60" s="22">
        <f t="shared" si="22"/>
        <v>19076.538461538461</v>
      </c>
      <c r="G60" s="260"/>
      <c r="H60" s="272"/>
      <c r="I60" s="273"/>
      <c r="J60" s="263"/>
      <c r="K60" s="263"/>
      <c r="L60" s="263"/>
      <c r="M60" s="263"/>
      <c r="N60" s="263"/>
      <c r="O60" s="263"/>
      <c r="P60" s="263"/>
      <c r="Q60" s="263"/>
      <c r="R60" s="263"/>
      <c r="S60" s="263"/>
      <c r="T60" s="264"/>
    </row>
    <row r="61" spans="3:41" ht="15.75" thickBot="1" x14ac:dyDescent="0.25">
      <c r="C61" s="1">
        <v>3412812</v>
      </c>
      <c r="D61" s="1">
        <v>262</v>
      </c>
      <c r="E61" s="22">
        <f t="shared" si="22"/>
        <v>13026</v>
      </c>
      <c r="G61" s="275"/>
      <c r="H61" s="276"/>
      <c r="I61" s="277"/>
      <c r="J61" s="278"/>
      <c r="K61" s="278"/>
      <c r="L61" s="278"/>
      <c r="M61" s="278"/>
      <c r="N61" s="278"/>
      <c r="O61" s="278"/>
      <c r="P61" s="278"/>
      <c r="Q61" s="278"/>
      <c r="R61" s="278"/>
      <c r="S61" s="278"/>
      <c r="T61" s="279"/>
    </row>
    <row r="62" spans="3:41" ht="15.75" x14ac:dyDescent="0.25">
      <c r="C62" s="1">
        <v>705408</v>
      </c>
      <c r="D62" s="1">
        <v>55</v>
      </c>
      <c r="E62" s="22">
        <f t="shared" si="22"/>
        <v>12825.6</v>
      </c>
      <c r="Y62" s="280" t="s">
        <v>16</v>
      </c>
      <c r="Z62" s="1">
        <f>C35</f>
        <v>26</v>
      </c>
      <c r="AB62" s="1" t="s">
        <v>103</v>
      </c>
      <c r="AD62" s="1" t="str">
        <f t="shared" ref="AD62:AN62" si="27">AD25</f>
        <v>0-40</v>
      </c>
      <c r="AE62" s="1" t="str">
        <f t="shared" si="27"/>
        <v>40-60</v>
      </c>
      <c r="AF62" s="1" t="str">
        <f t="shared" si="27"/>
        <v>60-80</v>
      </c>
      <c r="AG62" s="1" t="str">
        <f t="shared" si="27"/>
        <v>80-100</v>
      </c>
      <c r="AH62" s="1" t="str">
        <f t="shared" si="27"/>
        <v>100-150</v>
      </c>
      <c r="AI62" s="1" t="str">
        <f t="shared" si="27"/>
        <v>150-200</v>
      </c>
      <c r="AJ62" s="1" t="str">
        <f t="shared" si="27"/>
        <v>200-250</v>
      </c>
      <c r="AK62" s="1" t="str">
        <f t="shared" si="27"/>
        <v>250-350</v>
      </c>
      <c r="AL62" s="1" t="str">
        <f t="shared" si="27"/>
        <v>350-450</v>
      </c>
      <c r="AM62" s="1" t="str">
        <f t="shared" si="27"/>
        <v>450-650</v>
      </c>
      <c r="AN62" s="1" t="str">
        <f t="shared" si="27"/>
        <v>650-2000</v>
      </c>
    </row>
    <row r="63" spans="3:41" x14ac:dyDescent="0.2">
      <c r="C63" s="1">
        <v>2520030</v>
      </c>
      <c r="D63" s="1">
        <v>220</v>
      </c>
      <c r="E63" s="22">
        <f t="shared" si="22"/>
        <v>11454.681818181818</v>
      </c>
      <c r="AD63" s="1">
        <f t="shared" ref="AD63:AO63" si="28">AD18</f>
        <v>0</v>
      </c>
      <c r="AE63" s="1">
        <f t="shared" si="28"/>
        <v>40</v>
      </c>
      <c r="AF63" s="1">
        <f t="shared" si="28"/>
        <v>60</v>
      </c>
      <c r="AG63" s="1">
        <f t="shared" si="28"/>
        <v>80</v>
      </c>
      <c r="AH63" s="1">
        <f t="shared" si="28"/>
        <v>100</v>
      </c>
      <c r="AI63" s="1">
        <f t="shared" si="28"/>
        <v>150</v>
      </c>
      <c r="AJ63" s="1">
        <f t="shared" si="28"/>
        <v>200</v>
      </c>
      <c r="AK63" s="1">
        <f t="shared" si="28"/>
        <v>250</v>
      </c>
      <c r="AL63" s="1">
        <f t="shared" si="28"/>
        <v>350</v>
      </c>
      <c r="AM63" s="1">
        <f t="shared" si="28"/>
        <v>450</v>
      </c>
      <c r="AN63" s="1">
        <f t="shared" si="28"/>
        <v>650</v>
      </c>
      <c r="AO63" s="1">
        <f t="shared" si="28"/>
        <v>2000</v>
      </c>
    </row>
    <row r="64" spans="3:41" x14ac:dyDescent="0.2">
      <c r="C64" s="1">
        <v>87174</v>
      </c>
      <c r="D64" s="1">
        <v>3</v>
      </c>
      <c r="E64" s="22">
        <f t="shared" si="22"/>
        <v>29058</v>
      </c>
      <c r="Y64" s="235" t="s">
        <v>33</v>
      </c>
      <c r="Z64" s="1">
        <f>SUM(AD64:AO64)</f>
        <v>128805.3</v>
      </c>
      <c r="AB64" s="1" t="s">
        <v>106</v>
      </c>
      <c r="AD64" s="1">
        <f>IF($Z$62&gt;AD63,(IF($Z$62-AE63&gt;0,(AE63-AD63)*$B$21*AD66,($Z$62-AD63)*$B$21*AD66)),0)</f>
        <v>128805.3</v>
      </c>
      <c r="AE64" s="1">
        <f t="shared" ref="AE64:AN64" si="29">IF($Z$62&gt;AE63,(IF($Z$62-AF63&gt;0,(AF63-AE63)*$B$21*AE66,($Z$62-AE63)*$B$21*AE66)),0)</f>
        <v>0</v>
      </c>
      <c r="AF64" s="1">
        <f t="shared" si="29"/>
        <v>0</v>
      </c>
      <c r="AG64" s="1">
        <f t="shared" si="29"/>
        <v>0</v>
      </c>
      <c r="AH64" s="1">
        <f t="shared" si="29"/>
        <v>0</v>
      </c>
      <c r="AI64" s="1">
        <f t="shared" si="29"/>
        <v>0</v>
      </c>
      <c r="AJ64" s="1">
        <f t="shared" si="29"/>
        <v>0</v>
      </c>
      <c r="AK64" s="1">
        <f t="shared" si="29"/>
        <v>0</v>
      </c>
      <c r="AL64" s="1">
        <f t="shared" si="29"/>
        <v>0</v>
      </c>
      <c r="AM64" s="1">
        <f t="shared" si="29"/>
        <v>0</v>
      </c>
      <c r="AN64" s="1">
        <f t="shared" si="29"/>
        <v>0</v>
      </c>
    </row>
    <row r="65" spans="3:41" x14ac:dyDescent="0.2">
      <c r="C65" s="1">
        <v>1434864</v>
      </c>
      <c r="D65" s="1">
        <v>119</v>
      </c>
      <c r="E65" s="22">
        <f t="shared" si="22"/>
        <v>12057.680672268907</v>
      </c>
      <c r="G65" s="1" t="s">
        <v>137</v>
      </c>
    </row>
    <row r="66" spans="3:41" x14ac:dyDescent="0.2">
      <c r="C66" s="1">
        <v>738474</v>
      </c>
      <c r="D66" s="1">
        <v>50</v>
      </c>
      <c r="E66" s="22">
        <f t="shared" si="22"/>
        <v>14769.48</v>
      </c>
      <c r="G66" s="219"/>
      <c r="H66" s="219"/>
      <c r="I66" s="219"/>
      <c r="J66" s="219"/>
      <c r="K66" s="219"/>
      <c r="L66" s="219"/>
      <c r="M66" s="219"/>
      <c r="N66" s="219"/>
      <c r="O66" s="219"/>
      <c r="P66" s="219"/>
      <c r="Q66" s="219"/>
      <c r="R66" s="219"/>
      <c r="S66" s="219"/>
      <c r="T66" s="219"/>
      <c r="U66" s="219"/>
      <c r="V66" s="219"/>
      <c r="AB66" s="1" t="s">
        <v>109</v>
      </c>
      <c r="AD66" s="218">
        <f t="shared" ref="AD66:AO66" si="30">AD21</f>
        <v>0.45</v>
      </c>
      <c r="AE66" s="218">
        <f t="shared" si="30"/>
        <v>0.28000000000000003</v>
      </c>
      <c r="AF66" s="218">
        <f t="shared" si="30"/>
        <v>0.2</v>
      </c>
      <c r="AG66" s="218">
        <f t="shared" si="30"/>
        <v>0.08</v>
      </c>
      <c r="AH66" s="218">
        <f t="shared" si="30"/>
        <v>0.04</v>
      </c>
      <c r="AI66" s="218">
        <f t="shared" si="30"/>
        <v>2.5000000000000001E-2</v>
      </c>
      <c r="AJ66" s="218">
        <f t="shared" si="30"/>
        <v>2.5000000000000001E-2</v>
      </c>
      <c r="AK66" s="218">
        <f t="shared" si="30"/>
        <v>2.5000000000000001E-2</v>
      </c>
      <c r="AL66" s="218">
        <f t="shared" si="30"/>
        <v>2.5000000000000001E-2</v>
      </c>
      <c r="AM66" s="218">
        <f t="shared" si="30"/>
        <v>2.5000000000000001E-2</v>
      </c>
      <c r="AN66" s="218">
        <f t="shared" si="30"/>
        <v>2.5000000000000001E-2</v>
      </c>
      <c r="AO66" s="218">
        <f t="shared" si="30"/>
        <v>0</v>
      </c>
    </row>
    <row r="67" spans="3:41" x14ac:dyDescent="0.2">
      <c r="C67" s="1">
        <v>10108176</v>
      </c>
      <c r="D67" s="1">
        <v>1086</v>
      </c>
      <c r="E67" s="22">
        <f t="shared" si="22"/>
        <v>9307.7127071823197</v>
      </c>
      <c r="G67" s="219"/>
      <c r="H67" s="219"/>
      <c r="I67" s="219"/>
      <c r="J67" s="219"/>
      <c r="K67" s="219"/>
      <c r="L67" s="219"/>
      <c r="M67" s="219"/>
      <c r="N67" s="219"/>
      <c r="O67" s="219"/>
      <c r="P67" s="219"/>
      <c r="Q67" s="219"/>
      <c r="R67" s="219"/>
      <c r="S67" s="219"/>
      <c r="T67" s="219"/>
      <c r="U67" s="219"/>
      <c r="V67" s="219"/>
      <c r="W67" s="219"/>
    </row>
    <row r="68" spans="3:41" x14ac:dyDescent="0.2">
      <c r="C68" s="1">
        <v>35881620</v>
      </c>
      <c r="D68" s="1">
        <v>3206</v>
      </c>
      <c r="E68" s="22">
        <f t="shared" si="22"/>
        <v>11192.021210230818</v>
      </c>
      <c r="G68" s="1" t="s">
        <v>8</v>
      </c>
      <c r="H68" s="1" t="s">
        <v>9</v>
      </c>
      <c r="I68" s="1" t="s">
        <v>10</v>
      </c>
      <c r="J68" s="1" t="s">
        <v>11</v>
      </c>
      <c r="K68" s="1" t="s">
        <v>12</v>
      </c>
      <c r="L68" s="1" t="s">
        <v>13</v>
      </c>
      <c r="M68" s="1" t="s">
        <v>14</v>
      </c>
      <c r="N68" s="1" t="s">
        <v>15</v>
      </c>
      <c r="O68" s="1" t="s">
        <v>16</v>
      </c>
      <c r="P68" s="1" t="s">
        <v>17</v>
      </c>
      <c r="Q68" s="1" t="s">
        <v>18</v>
      </c>
      <c r="R68" s="1" t="s">
        <v>19</v>
      </c>
      <c r="S68" s="1" t="s">
        <v>20</v>
      </c>
      <c r="T68" s="1" t="s">
        <v>21</v>
      </c>
      <c r="U68" s="1" t="s">
        <v>22</v>
      </c>
      <c r="V68" s="1" t="s">
        <v>23</v>
      </c>
    </row>
    <row r="69" spans="3:41" x14ac:dyDescent="0.2">
      <c r="G69" s="22">
        <f>I41</f>
        <v>207409.56</v>
      </c>
      <c r="H69" s="22">
        <f>I47</f>
        <v>315297.76</v>
      </c>
      <c r="I69" s="22">
        <f>I53</f>
        <v>389168.15</v>
      </c>
      <c r="J69" s="22">
        <f>I42</f>
        <v>253647.36000000002</v>
      </c>
      <c r="K69" s="22">
        <f>I40</f>
        <v>238234.76</v>
      </c>
      <c r="L69" s="22">
        <f>I50</f>
        <v>356141.15</v>
      </c>
      <c r="M69" s="22">
        <f>I54</f>
        <v>468432.95000000007</v>
      </c>
      <c r="N69" s="22">
        <f>I44</f>
        <v>108989.1</v>
      </c>
      <c r="O69" s="22">
        <f>I46</f>
        <v>128805.3</v>
      </c>
      <c r="P69" s="22">
        <f>I51</f>
        <v>374306.00000000006</v>
      </c>
      <c r="Q69" s="22">
        <f>I49</f>
        <v>244399.8</v>
      </c>
      <c r="R69" s="22">
        <f>I52</f>
        <v>362746.55000000005</v>
      </c>
      <c r="S69" s="22">
        <f>I45</f>
        <v>14862.15</v>
      </c>
      <c r="T69" s="22">
        <f>I48</f>
        <v>329829.64000000007</v>
      </c>
      <c r="U69" s="22">
        <f>I43</f>
        <v>228987.2</v>
      </c>
      <c r="V69" s="22">
        <f>I55</f>
        <v>601091.4</v>
      </c>
    </row>
    <row r="70" spans="3:41" x14ac:dyDescent="0.2">
      <c r="Y70" s="235" t="s">
        <v>9</v>
      </c>
      <c r="Z70" s="1">
        <f>C36</f>
        <v>93</v>
      </c>
      <c r="AB70" s="1" t="s">
        <v>103</v>
      </c>
      <c r="AD70" s="1" t="str">
        <f t="shared" ref="AD70:AN70" si="31">AD25</f>
        <v>0-40</v>
      </c>
      <c r="AE70" s="1" t="str">
        <f t="shared" si="31"/>
        <v>40-60</v>
      </c>
      <c r="AF70" s="1" t="str">
        <f t="shared" si="31"/>
        <v>60-80</v>
      </c>
      <c r="AG70" s="1" t="str">
        <f t="shared" si="31"/>
        <v>80-100</v>
      </c>
      <c r="AH70" s="1" t="str">
        <f t="shared" si="31"/>
        <v>100-150</v>
      </c>
      <c r="AI70" s="1" t="str">
        <f t="shared" si="31"/>
        <v>150-200</v>
      </c>
      <c r="AJ70" s="1" t="str">
        <f t="shared" si="31"/>
        <v>200-250</v>
      </c>
      <c r="AK70" s="1" t="str">
        <f t="shared" si="31"/>
        <v>250-350</v>
      </c>
      <c r="AL70" s="1" t="str">
        <f t="shared" si="31"/>
        <v>350-450</v>
      </c>
      <c r="AM70" s="1" t="str">
        <f t="shared" si="31"/>
        <v>450-650</v>
      </c>
      <c r="AN70" s="1" t="str">
        <f t="shared" si="31"/>
        <v>650-2000</v>
      </c>
    </row>
    <row r="71" spans="3:41" x14ac:dyDescent="0.2">
      <c r="L71" s="22"/>
      <c r="AD71" s="1">
        <f t="shared" ref="AD71:AO71" si="32">AD18</f>
        <v>0</v>
      </c>
      <c r="AE71" s="1">
        <f t="shared" si="32"/>
        <v>40</v>
      </c>
      <c r="AF71" s="1">
        <f t="shared" si="32"/>
        <v>60</v>
      </c>
      <c r="AG71" s="1">
        <f t="shared" si="32"/>
        <v>80</v>
      </c>
      <c r="AH71" s="1">
        <f t="shared" si="32"/>
        <v>100</v>
      </c>
      <c r="AI71" s="1">
        <f t="shared" si="32"/>
        <v>150</v>
      </c>
      <c r="AJ71" s="1">
        <f t="shared" si="32"/>
        <v>200</v>
      </c>
      <c r="AK71" s="1">
        <f t="shared" si="32"/>
        <v>250</v>
      </c>
      <c r="AL71" s="1">
        <f t="shared" si="32"/>
        <v>350</v>
      </c>
      <c r="AM71" s="1">
        <f t="shared" si="32"/>
        <v>450</v>
      </c>
      <c r="AN71" s="1">
        <f t="shared" si="32"/>
        <v>650</v>
      </c>
      <c r="AO71" s="1">
        <f t="shared" si="32"/>
        <v>2000</v>
      </c>
    </row>
    <row r="72" spans="3:41" x14ac:dyDescent="0.2">
      <c r="Y72" s="235" t="s">
        <v>33</v>
      </c>
      <c r="Z72" s="1">
        <f>SUM(AD72:AO72)</f>
        <v>315297.76</v>
      </c>
      <c r="AB72" s="1" t="s">
        <v>106</v>
      </c>
      <c r="AD72" s="1">
        <f>IF($Z$70&gt;AD71,(IF($Z$70-AE71&gt;0,(AE71-AD71)*$B$21*AD74,($Z$70-AD71)*$B$21*AD74)),0)</f>
        <v>198162</v>
      </c>
      <c r="AE72" s="1">
        <f t="shared" ref="AE72:AN72" si="33">IF($Z$70&gt;AE71,(IF($Z$70-AF71&gt;0,(AF71-AE71)*$B$21*AE74,($Z$70-AE71)*$B$21*AE74)),0)</f>
        <v>61650.400000000009</v>
      </c>
      <c r="AF72" s="1">
        <f t="shared" si="33"/>
        <v>44036</v>
      </c>
      <c r="AG72" s="1">
        <f t="shared" si="33"/>
        <v>11449.36</v>
      </c>
      <c r="AH72" s="1">
        <f t="shared" si="33"/>
        <v>0</v>
      </c>
      <c r="AI72" s="1">
        <f t="shared" si="33"/>
        <v>0</v>
      </c>
      <c r="AJ72" s="1">
        <f t="shared" si="33"/>
        <v>0</v>
      </c>
      <c r="AK72" s="1">
        <f t="shared" si="33"/>
        <v>0</v>
      </c>
      <c r="AL72" s="1">
        <f t="shared" si="33"/>
        <v>0</v>
      </c>
      <c r="AM72" s="1">
        <f t="shared" si="33"/>
        <v>0</v>
      </c>
      <c r="AN72" s="1">
        <f t="shared" si="33"/>
        <v>0</v>
      </c>
    </row>
    <row r="74" spans="3:41" x14ac:dyDescent="0.2">
      <c r="AB74" s="1" t="s">
        <v>109</v>
      </c>
      <c r="AD74" s="218">
        <f t="shared" ref="AD74:AO74" si="34">AD21</f>
        <v>0.45</v>
      </c>
      <c r="AE74" s="218">
        <f t="shared" si="34"/>
        <v>0.28000000000000003</v>
      </c>
      <c r="AF74" s="218">
        <f t="shared" si="34"/>
        <v>0.2</v>
      </c>
      <c r="AG74" s="218">
        <f t="shared" si="34"/>
        <v>0.08</v>
      </c>
      <c r="AH74" s="218">
        <f t="shared" si="34"/>
        <v>0.04</v>
      </c>
      <c r="AI74" s="218">
        <f t="shared" si="34"/>
        <v>2.5000000000000001E-2</v>
      </c>
      <c r="AJ74" s="218">
        <f t="shared" si="34"/>
        <v>2.5000000000000001E-2</v>
      </c>
      <c r="AK74" s="218">
        <f t="shared" si="34"/>
        <v>2.5000000000000001E-2</v>
      </c>
      <c r="AL74" s="218">
        <f t="shared" si="34"/>
        <v>2.5000000000000001E-2</v>
      </c>
      <c r="AM74" s="218">
        <f t="shared" si="34"/>
        <v>2.5000000000000001E-2</v>
      </c>
      <c r="AN74" s="218">
        <f t="shared" si="34"/>
        <v>2.5000000000000001E-2</v>
      </c>
      <c r="AO74" s="218">
        <f t="shared" si="34"/>
        <v>0</v>
      </c>
    </row>
    <row r="77" spans="3:41" x14ac:dyDescent="0.2">
      <c r="Y77" s="235" t="s">
        <v>21</v>
      </c>
      <c r="Z77" s="1">
        <f>C37</f>
        <v>119</v>
      </c>
      <c r="AB77" s="1" t="s">
        <v>103</v>
      </c>
      <c r="AD77" s="1" t="str">
        <f t="shared" ref="AD77:AN77" si="35">AD25</f>
        <v>0-40</v>
      </c>
      <c r="AE77" s="1" t="str">
        <f t="shared" si="35"/>
        <v>40-60</v>
      </c>
      <c r="AF77" s="1" t="str">
        <f t="shared" si="35"/>
        <v>60-80</v>
      </c>
      <c r="AG77" s="1" t="str">
        <f t="shared" si="35"/>
        <v>80-100</v>
      </c>
      <c r="AH77" s="1" t="str">
        <f t="shared" si="35"/>
        <v>100-150</v>
      </c>
      <c r="AI77" s="1" t="str">
        <f t="shared" si="35"/>
        <v>150-200</v>
      </c>
      <c r="AJ77" s="1" t="str">
        <f t="shared" si="35"/>
        <v>200-250</v>
      </c>
      <c r="AK77" s="1" t="str">
        <f t="shared" si="35"/>
        <v>250-350</v>
      </c>
      <c r="AL77" s="1" t="str">
        <f t="shared" si="35"/>
        <v>350-450</v>
      </c>
      <c r="AM77" s="1" t="str">
        <f t="shared" si="35"/>
        <v>450-650</v>
      </c>
      <c r="AN77" s="1" t="str">
        <f t="shared" si="35"/>
        <v>650-2000</v>
      </c>
    </row>
    <row r="78" spans="3:41" x14ac:dyDescent="0.2">
      <c r="AD78" s="1">
        <f t="shared" ref="AD78:AO78" si="36">AD18</f>
        <v>0</v>
      </c>
      <c r="AE78" s="1">
        <f t="shared" si="36"/>
        <v>40</v>
      </c>
      <c r="AF78" s="1">
        <f t="shared" si="36"/>
        <v>60</v>
      </c>
      <c r="AG78" s="1">
        <f t="shared" si="36"/>
        <v>80</v>
      </c>
      <c r="AH78" s="1">
        <f t="shared" si="36"/>
        <v>100</v>
      </c>
      <c r="AI78" s="1">
        <f t="shared" si="36"/>
        <v>150</v>
      </c>
      <c r="AJ78" s="1">
        <f t="shared" si="36"/>
        <v>200</v>
      </c>
      <c r="AK78" s="1">
        <f t="shared" si="36"/>
        <v>250</v>
      </c>
      <c r="AL78" s="1">
        <f t="shared" si="36"/>
        <v>350</v>
      </c>
      <c r="AM78" s="1">
        <f t="shared" si="36"/>
        <v>450</v>
      </c>
      <c r="AN78" s="1">
        <f t="shared" si="36"/>
        <v>650</v>
      </c>
      <c r="AO78" s="1">
        <f t="shared" si="36"/>
        <v>2000</v>
      </c>
    </row>
    <row r="79" spans="3:41" x14ac:dyDescent="0.2">
      <c r="Y79" s="235" t="s">
        <v>33</v>
      </c>
      <c r="Z79" s="1">
        <f>SUM(AD79:AO79)</f>
        <v>329829.64000000007</v>
      </c>
      <c r="AB79" s="1" t="s">
        <v>106</v>
      </c>
      <c r="AD79" s="1">
        <f>IF($Z$77&gt;AD78,(IF($Z$77-AE78&gt;0,(AE78-AD78)*$B$21*AD81,($Z$77-AD78)*$B$21*AD81)),0)</f>
        <v>198162</v>
      </c>
      <c r="AE79" s="1">
        <f t="shared" ref="AE79:AN79" si="37">IF($Z$77&gt;AE78,(IF($Z$77-AF78&gt;0,(AF78-AE78)*$B$21*AE81,($Z$77-AE78)*$B$21*AE81)),0)</f>
        <v>61650.400000000009</v>
      </c>
      <c r="AF79" s="1">
        <f t="shared" si="37"/>
        <v>44036</v>
      </c>
      <c r="AG79" s="1">
        <f t="shared" si="37"/>
        <v>17614.400000000001</v>
      </c>
      <c r="AH79" s="1">
        <f t="shared" si="37"/>
        <v>8366.84</v>
      </c>
      <c r="AI79" s="1">
        <f t="shared" si="37"/>
        <v>0</v>
      </c>
      <c r="AJ79" s="1">
        <f t="shared" si="37"/>
        <v>0</v>
      </c>
      <c r="AK79" s="1">
        <f t="shared" si="37"/>
        <v>0</v>
      </c>
      <c r="AL79" s="1">
        <f t="shared" si="37"/>
        <v>0</v>
      </c>
      <c r="AM79" s="1">
        <f t="shared" si="37"/>
        <v>0</v>
      </c>
      <c r="AN79" s="1">
        <f t="shared" si="37"/>
        <v>0</v>
      </c>
    </row>
    <row r="81" spans="25:41" x14ac:dyDescent="0.2">
      <c r="AB81" s="1" t="s">
        <v>109</v>
      </c>
      <c r="AD81" s="218">
        <f t="shared" ref="AD81:AO81" si="38">AD21</f>
        <v>0.45</v>
      </c>
      <c r="AE81" s="218">
        <f t="shared" si="38"/>
        <v>0.28000000000000003</v>
      </c>
      <c r="AF81" s="218">
        <f t="shared" si="38"/>
        <v>0.2</v>
      </c>
      <c r="AG81" s="218">
        <f t="shared" si="38"/>
        <v>0.08</v>
      </c>
      <c r="AH81" s="218">
        <f t="shared" si="38"/>
        <v>0.04</v>
      </c>
      <c r="AI81" s="218">
        <f t="shared" si="38"/>
        <v>2.5000000000000001E-2</v>
      </c>
      <c r="AJ81" s="218">
        <f t="shared" si="38"/>
        <v>2.5000000000000001E-2</v>
      </c>
      <c r="AK81" s="218">
        <f t="shared" si="38"/>
        <v>2.5000000000000001E-2</v>
      </c>
      <c r="AL81" s="218">
        <f t="shared" si="38"/>
        <v>2.5000000000000001E-2</v>
      </c>
      <c r="AM81" s="218">
        <f t="shared" si="38"/>
        <v>2.5000000000000001E-2</v>
      </c>
      <c r="AN81" s="218">
        <f t="shared" si="38"/>
        <v>2.5000000000000001E-2</v>
      </c>
      <c r="AO81" s="218">
        <f t="shared" si="38"/>
        <v>0</v>
      </c>
    </row>
    <row r="85" spans="25:41" x14ac:dyDescent="0.2">
      <c r="Y85" s="235" t="s">
        <v>18</v>
      </c>
      <c r="Z85" s="1">
        <f>C38</f>
        <v>55</v>
      </c>
      <c r="AB85" s="1" t="s">
        <v>103</v>
      </c>
      <c r="AD85" s="1" t="str">
        <f t="shared" ref="AD85:AN85" si="39">AD25</f>
        <v>0-40</v>
      </c>
      <c r="AE85" s="1" t="str">
        <f t="shared" si="39"/>
        <v>40-60</v>
      </c>
      <c r="AF85" s="1" t="str">
        <f t="shared" si="39"/>
        <v>60-80</v>
      </c>
      <c r="AG85" s="1" t="str">
        <f t="shared" si="39"/>
        <v>80-100</v>
      </c>
      <c r="AH85" s="1" t="str">
        <f t="shared" si="39"/>
        <v>100-150</v>
      </c>
      <c r="AI85" s="1" t="str">
        <f t="shared" si="39"/>
        <v>150-200</v>
      </c>
      <c r="AJ85" s="1" t="str">
        <f t="shared" si="39"/>
        <v>200-250</v>
      </c>
      <c r="AK85" s="1" t="str">
        <f t="shared" si="39"/>
        <v>250-350</v>
      </c>
      <c r="AL85" s="1" t="str">
        <f t="shared" si="39"/>
        <v>350-450</v>
      </c>
      <c r="AM85" s="1" t="str">
        <f t="shared" si="39"/>
        <v>450-650</v>
      </c>
      <c r="AN85" s="1" t="str">
        <f t="shared" si="39"/>
        <v>650-2000</v>
      </c>
    </row>
    <row r="86" spans="25:41" x14ac:dyDescent="0.2">
      <c r="AD86" s="1">
        <f t="shared" ref="AD86:AO86" si="40">AD18</f>
        <v>0</v>
      </c>
      <c r="AE86" s="1">
        <f t="shared" si="40"/>
        <v>40</v>
      </c>
      <c r="AF86" s="1">
        <f t="shared" si="40"/>
        <v>60</v>
      </c>
      <c r="AG86" s="1">
        <f t="shared" si="40"/>
        <v>80</v>
      </c>
      <c r="AH86" s="1">
        <f t="shared" si="40"/>
        <v>100</v>
      </c>
      <c r="AI86" s="1">
        <f t="shared" si="40"/>
        <v>150</v>
      </c>
      <c r="AJ86" s="1">
        <f t="shared" si="40"/>
        <v>200</v>
      </c>
      <c r="AK86" s="1">
        <f t="shared" si="40"/>
        <v>250</v>
      </c>
      <c r="AL86" s="1">
        <f t="shared" si="40"/>
        <v>350</v>
      </c>
      <c r="AM86" s="1">
        <f t="shared" si="40"/>
        <v>450</v>
      </c>
      <c r="AN86" s="1">
        <f t="shared" si="40"/>
        <v>650</v>
      </c>
      <c r="AO86" s="1">
        <f t="shared" si="40"/>
        <v>2000</v>
      </c>
    </row>
    <row r="87" spans="25:41" x14ac:dyDescent="0.2">
      <c r="Y87" s="235" t="s">
        <v>33</v>
      </c>
      <c r="Z87" s="1">
        <f>SUM(AD87:AO87)</f>
        <v>244399.8</v>
      </c>
      <c r="AB87" s="1" t="s">
        <v>106</v>
      </c>
      <c r="AD87" s="1">
        <f>IF($Z$85&gt;AD86,(IF($Z$85-AE86&gt;0,(AE86-AD86)*$B$21*AD89,($Z$85-AD86)*$B$21*AD89)),0)</f>
        <v>198162</v>
      </c>
      <c r="AE87" s="1">
        <f t="shared" ref="AE87:AN87" si="41">IF($Z$85&gt;AE86,(IF($Z$85-AF86&gt;0,(AF86-AE86)*$B$21*AE89,($Z$85-AE86)*$B$21*AE89)),0)</f>
        <v>46237.8</v>
      </c>
      <c r="AF87" s="1">
        <f t="shared" si="41"/>
        <v>0</v>
      </c>
      <c r="AG87" s="1">
        <f t="shared" si="41"/>
        <v>0</v>
      </c>
      <c r="AH87" s="1">
        <f t="shared" si="41"/>
        <v>0</v>
      </c>
      <c r="AI87" s="1">
        <f t="shared" si="41"/>
        <v>0</v>
      </c>
      <c r="AJ87" s="1">
        <f t="shared" si="41"/>
        <v>0</v>
      </c>
      <c r="AK87" s="1">
        <f t="shared" si="41"/>
        <v>0</v>
      </c>
      <c r="AL87" s="1">
        <f t="shared" si="41"/>
        <v>0</v>
      </c>
      <c r="AM87" s="1">
        <f t="shared" si="41"/>
        <v>0</v>
      </c>
      <c r="AN87" s="1">
        <f t="shared" si="41"/>
        <v>0</v>
      </c>
    </row>
    <row r="89" spans="25:41" x14ac:dyDescent="0.2">
      <c r="AB89" s="1" t="s">
        <v>109</v>
      </c>
      <c r="AD89" s="218">
        <f t="shared" ref="AD89:AO89" si="42">AD21</f>
        <v>0.45</v>
      </c>
      <c r="AE89" s="218">
        <f t="shared" si="42"/>
        <v>0.28000000000000003</v>
      </c>
      <c r="AF89" s="218">
        <f t="shared" si="42"/>
        <v>0.2</v>
      </c>
      <c r="AG89" s="218">
        <f t="shared" si="42"/>
        <v>0.08</v>
      </c>
      <c r="AH89" s="218">
        <f t="shared" si="42"/>
        <v>0.04</v>
      </c>
      <c r="AI89" s="218">
        <f t="shared" si="42"/>
        <v>2.5000000000000001E-2</v>
      </c>
      <c r="AJ89" s="218">
        <f t="shared" si="42"/>
        <v>2.5000000000000001E-2</v>
      </c>
      <c r="AK89" s="218">
        <f t="shared" si="42"/>
        <v>2.5000000000000001E-2</v>
      </c>
      <c r="AL89" s="218">
        <f t="shared" si="42"/>
        <v>2.5000000000000001E-2</v>
      </c>
      <c r="AM89" s="218">
        <f t="shared" si="42"/>
        <v>2.5000000000000001E-2</v>
      </c>
      <c r="AN89" s="218">
        <f t="shared" si="42"/>
        <v>2.5000000000000001E-2</v>
      </c>
      <c r="AO89" s="218">
        <f t="shared" si="42"/>
        <v>0</v>
      </c>
    </row>
    <row r="92" spans="25:41" x14ac:dyDescent="0.2">
      <c r="Y92" s="235" t="s">
        <v>13</v>
      </c>
      <c r="Z92" s="1">
        <f>C39</f>
        <v>196</v>
      </c>
      <c r="AB92" s="1" t="s">
        <v>103</v>
      </c>
      <c r="AD92" s="1" t="str">
        <f t="shared" ref="AD92:AN92" si="43">AD25</f>
        <v>0-40</v>
      </c>
      <c r="AE92" s="1" t="str">
        <f t="shared" si="43"/>
        <v>40-60</v>
      </c>
      <c r="AF92" s="1" t="str">
        <f t="shared" si="43"/>
        <v>60-80</v>
      </c>
      <c r="AG92" s="1" t="str">
        <f t="shared" si="43"/>
        <v>80-100</v>
      </c>
      <c r="AH92" s="1" t="str">
        <f t="shared" si="43"/>
        <v>100-150</v>
      </c>
      <c r="AI92" s="1" t="str">
        <f t="shared" si="43"/>
        <v>150-200</v>
      </c>
      <c r="AJ92" s="1" t="str">
        <f t="shared" si="43"/>
        <v>200-250</v>
      </c>
      <c r="AK92" s="1" t="str">
        <f t="shared" si="43"/>
        <v>250-350</v>
      </c>
      <c r="AL92" s="1" t="str">
        <f t="shared" si="43"/>
        <v>350-450</v>
      </c>
      <c r="AM92" s="1" t="str">
        <f t="shared" si="43"/>
        <v>450-650</v>
      </c>
      <c r="AN92" s="1" t="str">
        <f t="shared" si="43"/>
        <v>650-2000</v>
      </c>
    </row>
    <row r="93" spans="25:41" x14ac:dyDescent="0.2">
      <c r="AD93" s="1">
        <f t="shared" ref="AD93:AO93" si="44">AD18</f>
        <v>0</v>
      </c>
      <c r="AE93" s="1">
        <f t="shared" si="44"/>
        <v>40</v>
      </c>
      <c r="AF93" s="1">
        <f t="shared" si="44"/>
        <v>60</v>
      </c>
      <c r="AG93" s="1">
        <f t="shared" si="44"/>
        <v>80</v>
      </c>
      <c r="AH93" s="1">
        <f t="shared" si="44"/>
        <v>100</v>
      </c>
      <c r="AI93" s="1">
        <f t="shared" si="44"/>
        <v>150</v>
      </c>
      <c r="AJ93" s="1">
        <f t="shared" si="44"/>
        <v>200</v>
      </c>
      <c r="AK93" s="1">
        <f t="shared" si="44"/>
        <v>250</v>
      </c>
      <c r="AL93" s="1">
        <f t="shared" si="44"/>
        <v>350</v>
      </c>
      <c r="AM93" s="1">
        <f t="shared" si="44"/>
        <v>450</v>
      </c>
      <c r="AN93" s="1">
        <f t="shared" si="44"/>
        <v>650</v>
      </c>
      <c r="AO93" s="1">
        <f t="shared" si="44"/>
        <v>2000</v>
      </c>
    </row>
    <row r="94" spans="25:41" x14ac:dyDescent="0.2">
      <c r="Y94" s="235" t="s">
        <v>33</v>
      </c>
      <c r="Z94" s="1">
        <f>SUM(AD94:AO94)</f>
        <v>356141.15</v>
      </c>
      <c r="AB94" s="1" t="s">
        <v>106</v>
      </c>
      <c r="AD94" s="1">
        <f>IF($Z$92&gt;AD93,(IF($Z$92-AE93&gt;0,(AE93-AD93)*$B$21*AD96,($Z$92-AD93)*$B$21*AD96)),0)</f>
        <v>198162</v>
      </c>
      <c r="AE94" s="1">
        <f t="shared" ref="AE94:AN94" si="45">IF($Z$92&gt;AE93,(IF($Z$92-AF93&gt;0,(AF93-AE93)*$B$21*AE96,($Z$92-AE93)*$B$21*AE96)),0)</f>
        <v>61650.400000000009</v>
      </c>
      <c r="AF94" s="1">
        <f t="shared" si="45"/>
        <v>44036</v>
      </c>
      <c r="AG94" s="1">
        <f t="shared" si="45"/>
        <v>17614.400000000001</v>
      </c>
      <c r="AH94" s="1">
        <f t="shared" si="45"/>
        <v>22018</v>
      </c>
      <c r="AI94" s="1">
        <f t="shared" si="45"/>
        <v>12660.35</v>
      </c>
      <c r="AJ94" s="1">
        <f t="shared" si="45"/>
        <v>0</v>
      </c>
      <c r="AK94" s="1">
        <f t="shared" si="45"/>
        <v>0</v>
      </c>
      <c r="AL94" s="1">
        <f t="shared" si="45"/>
        <v>0</v>
      </c>
      <c r="AM94" s="1">
        <f t="shared" si="45"/>
        <v>0</v>
      </c>
      <c r="AN94" s="1">
        <f t="shared" si="45"/>
        <v>0</v>
      </c>
    </row>
    <row r="96" spans="25:41" x14ac:dyDescent="0.2">
      <c r="AB96" s="1" t="s">
        <v>109</v>
      </c>
      <c r="AD96" s="218">
        <f t="shared" ref="AD96:AO96" si="46">AD21</f>
        <v>0.45</v>
      </c>
      <c r="AE96" s="218">
        <f t="shared" si="46"/>
        <v>0.28000000000000003</v>
      </c>
      <c r="AF96" s="218">
        <f t="shared" si="46"/>
        <v>0.2</v>
      </c>
      <c r="AG96" s="218">
        <f t="shared" si="46"/>
        <v>0.08</v>
      </c>
      <c r="AH96" s="218">
        <f t="shared" si="46"/>
        <v>0.04</v>
      </c>
      <c r="AI96" s="218">
        <f t="shared" si="46"/>
        <v>2.5000000000000001E-2</v>
      </c>
      <c r="AJ96" s="218">
        <f t="shared" si="46"/>
        <v>2.5000000000000001E-2</v>
      </c>
      <c r="AK96" s="218">
        <f t="shared" si="46"/>
        <v>2.5000000000000001E-2</v>
      </c>
      <c r="AL96" s="218">
        <f t="shared" si="46"/>
        <v>2.5000000000000001E-2</v>
      </c>
      <c r="AM96" s="218">
        <f t="shared" si="46"/>
        <v>2.5000000000000001E-2</v>
      </c>
      <c r="AN96" s="218">
        <f t="shared" si="46"/>
        <v>2.5000000000000001E-2</v>
      </c>
      <c r="AO96" s="218">
        <f t="shared" si="46"/>
        <v>0</v>
      </c>
    </row>
    <row r="100" spans="8:41" x14ac:dyDescent="0.2">
      <c r="Y100" s="235" t="s">
        <v>17</v>
      </c>
      <c r="Z100" s="1">
        <f>C40</f>
        <v>262</v>
      </c>
      <c r="AB100" s="1" t="s">
        <v>103</v>
      </c>
      <c r="AD100" s="1" t="str">
        <f t="shared" ref="AD100:AN100" si="47">AD25</f>
        <v>0-40</v>
      </c>
      <c r="AE100" s="1" t="str">
        <f t="shared" si="47"/>
        <v>40-60</v>
      </c>
      <c r="AF100" s="1" t="str">
        <f t="shared" si="47"/>
        <v>60-80</v>
      </c>
      <c r="AG100" s="1" t="str">
        <f t="shared" si="47"/>
        <v>80-100</v>
      </c>
      <c r="AH100" s="1" t="str">
        <f t="shared" si="47"/>
        <v>100-150</v>
      </c>
      <c r="AI100" s="1" t="str">
        <f t="shared" si="47"/>
        <v>150-200</v>
      </c>
      <c r="AJ100" s="1" t="str">
        <f t="shared" si="47"/>
        <v>200-250</v>
      </c>
      <c r="AK100" s="1" t="str">
        <f t="shared" si="47"/>
        <v>250-350</v>
      </c>
      <c r="AL100" s="1" t="str">
        <f t="shared" si="47"/>
        <v>350-450</v>
      </c>
      <c r="AM100" s="1" t="str">
        <f t="shared" si="47"/>
        <v>450-650</v>
      </c>
      <c r="AN100" s="1" t="str">
        <f t="shared" si="47"/>
        <v>650-2000</v>
      </c>
    </row>
    <row r="101" spans="8:41" x14ac:dyDescent="0.2">
      <c r="AD101" s="1">
        <f t="shared" ref="AD101:AO101" si="48">AD18</f>
        <v>0</v>
      </c>
      <c r="AE101" s="1">
        <f t="shared" si="48"/>
        <v>40</v>
      </c>
      <c r="AF101" s="1">
        <f t="shared" si="48"/>
        <v>60</v>
      </c>
      <c r="AG101" s="1">
        <f t="shared" si="48"/>
        <v>80</v>
      </c>
      <c r="AH101" s="1">
        <f t="shared" si="48"/>
        <v>100</v>
      </c>
      <c r="AI101" s="1">
        <f t="shared" si="48"/>
        <v>150</v>
      </c>
      <c r="AJ101" s="1">
        <f t="shared" si="48"/>
        <v>200</v>
      </c>
      <c r="AK101" s="1">
        <f t="shared" si="48"/>
        <v>250</v>
      </c>
      <c r="AL101" s="1">
        <f t="shared" si="48"/>
        <v>350</v>
      </c>
      <c r="AM101" s="1">
        <f t="shared" si="48"/>
        <v>450</v>
      </c>
      <c r="AN101" s="1">
        <f t="shared" si="48"/>
        <v>650</v>
      </c>
      <c r="AO101" s="1">
        <f t="shared" si="48"/>
        <v>2000</v>
      </c>
    </row>
    <row r="102" spans="8:41" x14ac:dyDescent="0.2">
      <c r="Y102" s="235" t="s">
        <v>33</v>
      </c>
      <c r="Z102" s="1">
        <f>SUM(AD102:AO102)</f>
        <v>374306.00000000006</v>
      </c>
      <c r="AB102" s="1" t="s">
        <v>106</v>
      </c>
      <c r="AD102" s="1">
        <f>IF($Z$100&gt;AD101,(IF($Z$100-AE101&gt;0,(AE101-AD101)*$B$21*AD104,($Z$100-AD101)*$B$21*AD104)),0)</f>
        <v>198162</v>
      </c>
      <c r="AE102" s="1">
        <f t="shared" ref="AE102:AN102" si="49">IF($Z$100&gt;AE101,(IF($Z$100-AF101&gt;0,(AF101-AE101)*$B$21*AE104,($Z$100-AE101)*$B$21*AE104)),0)</f>
        <v>61650.400000000009</v>
      </c>
      <c r="AF102" s="1">
        <f t="shared" si="49"/>
        <v>44036</v>
      </c>
      <c r="AG102" s="1">
        <f t="shared" si="49"/>
        <v>17614.400000000001</v>
      </c>
      <c r="AH102" s="1">
        <f t="shared" si="49"/>
        <v>22018</v>
      </c>
      <c r="AI102" s="1">
        <f t="shared" si="49"/>
        <v>13761.25</v>
      </c>
      <c r="AJ102" s="1">
        <f t="shared" si="49"/>
        <v>13761.25</v>
      </c>
      <c r="AK102" s="1">
        <f t="shared" si="49"/>
        <v>3302.7000000000003</v>
      </c>
      <c r="AL102" s="1">
        <f t="shared" si="49"/>
        <v>0</v>
      </c>
      <c r="AM102" s="1">
        <f t="shared" si="49"/>
        <v>0</v>
      </c>
      <c r="AN102" s="1">
        <f t="shared" si="49"/>
        <v>0</v>
      </c>
    </row>
    <row r="104" spans="8:41" x14ac:dyDescent="0.2">
      <c r="H104" s="22"/>
      <c r="I104" s="22"/>
      <c r="J104" s="22"/>
      <c r="K104" s="22"/>
      <c r="L104" s="22"/>
      <c r="M104" s="22"/>
      <c r="N104" s="22"/>
      <c r="O104" s="22"/>
      <c r="P104" s="22"/>
      <c r="Q104" s="22"/>
      <c r="R104" s="22"/>
      <c r="S104" s="22"/>
      <c r="T104" s="22"/>
      <c r="U104" s="22"/>
      <c r="V104" s="22"/>
      <c r="W104" s="22"/>
      <c r="AB104" s="1" t="s">
        <v>109</v>
      </c>
      <c r="AD104" s="218">
        <f t="shared" ref="AD104:AO104" si="50">AD21</f>
        <v>0.45</v>
      </c>
      <c r="AE104" s="218">
        <f t="shared" si="50"/>
        <v>0.28000000000000003</v>
      </c>
      <c r="AF104" s="218">
        <f t="shared" si="50"/>
        <v>0.2</v>
      </c>
      <c r="AG104" s="218">
        <f t="shared" si="50"/>
        <v>0.08</v>
      </c>
      <c r="AH104" s="218">
        <f t="shared" si="50"/>
        <v>0.04</v>
      </c>
      <c r="AI104" s="218">
        <f t="shared" si="50"/>
        <v>2.5000000000000001E-2</v>
      </c>
      <c r="AJ104" s="218">
        <f t="shared" si="50"/>
        <v>2.5000000000000001E-2</v>
      </c>
      <c r="AK104" s="218">
        <f t="shared" si="50"/>
        <v>2.5000000000000001E-2</v>
      </c>
      <c r="AL104" s="218">
        <f t="shared" si="50"/>
        <v>2.5000000000000001E-2</v>
      </c>
      <c r="AM104" s="218">
        <f t="shared" si="50"/>
        <v>2.5000000000000001E-2</v>
      </c>
      <c r="AN104" s="218">
        <f t="shared" si="50"/>
        <v>2.5000000000000001E-2</v>
      </c>
      <c r="AO104" s="218">
        <f t="shared" si="50"/>
        <v>0</v>
      </c>
    </row>
    <row r="105" spans="8:41" x14ac:dyDescent="0.2">
      <c r="H105" s="22"/>
      <c r="I105" s="22"/>
      <c r="J105" s="22"/>
      <c r="K105" s="22"/>
      <c r="L105" s="22"/>
      <c r="M105" s="22"/>
      <c r="N105" s="22"/>
      <c r="O105" s="22"/>
      <c r="P105" s="22"/>
      <c r="Q105" s="22"/>
      <c r="R105" s="22"/>
      <c r="S105" s="22"/>
      <c r="T105" s="22"/>
      <c r="U105" s="22"/>
      <c r="V105" s="22"/>
      <c r="W105" s="22"/>
    </row>
    <row r="106" spans="8:41" x14ac:dyDescent="0.2">
      <c r="H106" s="22"/>
      <c r="I106" s="22"/>
      <c r="J106" s="22"/>
      <c r="K106" s="22"/>
      <c r="L106" s="22"/>
      <c r="M106" s="22"/>
      <c r="N106" s="22"/>
      <c r="O106" s="22"/>
      <c r="P106" s="22"/>
      <c r="Q106" s="22"/>
      <c r="R106" s="22"/>
      <c r="S106" s="22"/>
      <c r="T106" s="22"/>
      <c r="U106" s="22"/>
      <c r="V106" s="22"/>
      <c r="W106" s="22"/>
    </row>
    <row r="107" spans="8:41" x14ac:dyDescent="0.2">
      <c r="Y107" s="235" t="s">
        <v>19</v>
      </c>
      <c r="Z107" s="1">
        <f>C41</f>
        <v>220</v>
      </c>
      <c r="AB107" s="1" t="s">
        <v>103</v>
      </c>
      <c r="AD107" s="1" t="str">
        <f t="shared" ref="AD107:AN107" si="51">AD25</f>
        <v>0-40</v>
      </c>
      <c r="AE107" s="1" t="str">
        <f t="shared" si="51"/>
        <v>40-60</v>
      </c>
      <c r="AF107" s="1" t="str">
        <f t="shared" si="51"/>
        <v>60-80</v>
      </c>
      <c r="AG107" s="1" t="str">
        <f t="shared" si="51"/>
        <v>80-100</v>
      </c>
      <c r="AH107" s="1" t="str">
        <f t="shared" si="51"/>
        <v>100-150</v>
      </c>
      <c r="AI107" s="1" t="str">
        <f t="shared" si="51"/>
        <v>150-200</v>
      </c>
      <c r="AJ107" s="1" t="str">
        <f t="shared" si="51"/>
        <v>200-250</v>
      </c>
      <c r="AK107" s="1" t="str">
        <f t="shared" si="51"/>
        <v>250-350</v>
      </c>
      <c r="AL107" s="1" t="str">
        <f t="shared" si="51"/>
        <v>350-450</v>
      </c>
      <c r="AM107" s="1" t="str">
        <f t="shared" si="51"/>
        <v>450-650</v>
      </c>
      <c r="AN107" s="1" t="str">
        <f t="shared" si="51"/>
        <v>650-2000</v>
      </c>
    </row>
    <row r="108" spans="8:41" x14ac:dyDescent="0.2">
      <c r="H108" s="22"/>
      <c r="I108" s="22"/>
      <c r="J108" s="22"/>
      <c r="K108" s="22"/>
      <c r="L108" s="22"/>
      <c r="M108" s="22"/>
      <c r="N108" s="22"/>
      <c r="O108" s="22"/>
      <c r="P108" s="22"/>
      <c r="Q108" s="22"/>
      <c r="R108" s="22"/>
      <c r="S108" s="22"/>
      <c r="T108" s="22"/>
      <c r="U108" s="22"/>
      <c r="V108" s="22"/>
      <c r="W108" s="22"/>
      <c r="AD108" s="1">
        <f t="shared" ref="AD108:AO108" si="52">AD18</f>
        <v>0</v>
      </c>
      <c r="AE108" s="1">
        <f t="shared" si="52"/>
        <v>40</v>
      </c>
      <c r="AF108" s="1">
        <f t="shared" si="52"/>
        <v>60</v>
      </c>
      <c r="AG108" s="1">
        <f t="shared" si="52"/>
        <v>80</v>
      </c>
      <c r="AH108" s="1">
        <f t="shared" si="52"/>
        <v>100</v>
      </c>
      <c r="AI108" s="1">
        <f t="shared" si="52"/>
        <v>150</v>
      </c>
      <c r="AJ108" s="1">
        <f t="shared" si="52"/>
        <v>200</v>
      </c>
      <c r="AK108" s="1">
        <f t="shared" si="52"/>
        <v>250</v>
      </c>
      <c r="AL108" s="1">
        <f t="shared" si="52"/>
        <v>350</v>
      </c>
      <c r="AM108" s="1">
        <f t="shared" si="52"/>
        <v>450</v>
      </c>
      <c r="AN108" s="1">
        <f t="shared" si="52"/>
        <v>650</v>
      </c>
      <c r="AO108" s="1">
        <f t="shared" si="52"/>
        <v>2000</v>
      </c>
    </row>
    <row r="109" spans="8:41" x14ac:dyDescent="0.2">
      <c r="Y109" s="235" t="s">
        <v>33</v>
      </c>
      <c r="Z109" s="1">
        <f>SUM(AD109:AO109)</f>
        <v>362746.55000000005</v>
      </c>
      <c r="AB109" s="1" t="s">
        <v>106</v>
      </c>
      <c r="AD109" s="1">
        <f>IF($Z$107&gt;AD108,(IF($Z$107-AE108&gt;0,(AE108-AD108)*$B$21*AD111,($Z$107-AD108)*$B$21*AD111)),0)</f>
        <v>198162</v>
      </c>
      <c r="AE109" s="1">
        <f t="shared" ref="AE109:AN109" si="53">IF($Z$107&gt;AE108,(IF($Z$107-AF108&gt;0,(AF108-AE108)*$B$21*AE111,($Z$107-AE108)*$B$21*AE111)),0)</f>
        <v>61650.400000000009</v>
      </c>
      <c r="AF109" s="1">
        <f t="shared" si="53"/>
        <v>44036</v>
      </c>
      <c r="AG109" s="1">
        <f t="shared" si="53"/>
        <v>17614.400000000001</v>
      </c>
      <c r="AH109" s="1">
        <f t="shared" si="53"/>
        <v>22018</v>
      </c>
      <c r="AI109" s="1">
        <f t="shared" si="53"/>
        <v>13761.25</v>
      </c>
      <c r="AJ109" s="1">
        <f t="shared" si="53"/>
        <v>5504.5</v>
      </c>
      <c r="AK109" s="1">
        <f t="shared" si="53"/>
        <v>0</v>
      </c>
      <c r="AL109" s="1">
        <f t="shared" si="53"/>
        <v>0</v>
      </c>
      <c r="AM109" s="1">
        <f t="shared" si="53"/>
        <v>0</v>
      </c>
      <c r="AN109" s="1">
        <f t="shared" si="53"/>
        <v>0</v>
      </c>
    </row>
    <row r="111" spans="8:41" x14ac:dyDescent="0.2">
      <c r="AB111" s="1" t="s">
        <v>109</v>
      </c>
      <c r="AD111" s="218">
        <f t="shared" ref="AD111:AO111" si="54">AD21</f>
        <v>0.45</v>
      </c>
      <c r="AE111" s="218">
        <f t="shared" si="54"/>
        <v>0.28000000000000003</v>
      </c>
      <c r="AF111" s="218">
        <f t="shared" si="54"/>
        <v>0.2</v>
      </c>
      <c r="AG111" s="218">
        <f t="shared" si="54"/>
        <v>0.08</v>
      </c>
      <c r="AH111" s="218">
        <f t="shared" si="54"/>
        <v>0.04</v>
      </c>
      <c r="AI111" s="218">
        <f t="shared" si="54"/>
        <v>2.5000000000000001E-2</v>
      </c>
      <c r="AJ111" s="218">
        <f t="shared" si="54"/>
        <v>2.5000000000000001E-2</v>
      </c>
      <c r="AK111" s="218">
        <f t="shared" si="54"/>
        <v>2.5000000000000001E-2</v>
      </c>
      <c r="AL111" s="218">
        <f t="shared" si="54"/>
        <v>2.5000000000000001E-2</v>
      </c>
      <c r="AM111" s="218">
        <f t="shared" si="54"/>
        <v>2.5000000000000001E-2</v>
      </c>
      <c r="AN111" s="218">
        <f t="shared" si="54"/>
        <v>2.5000000000000001E-2</v>
      </c>
      <c r="AO111" s="218">
        <f t="shared" si="54"/>
        <v>0</v>
      </c>
    </row>
    <row r="115" spans="7:41" x14ac:dyDescent="0.2">
      <c r="H115" s="22"/>
      <c r="Y115" s="235" t="s">
        <v>10</v>
      </c>
      <c r="Z115" s="1">
        <f>C42</f>
        <v>316</v>
      </c>
      <c r="AB115" s="1" t="s">
        <v>103</v>
      </c>
      <c r="AD115" s="1" t="str">
        <f t="shared" ref="AD115:AN115" si="55">AD25</f>
        <v>0-40</v>
      </c>
      <c r="AE115" s="1" t="str">
        <f t="shared" si="55"/>
        <v>40-60</v>
      </c>
      <c r="AF115" s="1" t="str">
        <f t="shared" si="55"/>
        <v>60-80</v>
      </c>
      <c r="AG115" s="1" t="str">
        <f t="shared" si="55"/>
        <v>80-100</v>
      </c>
      <c r="AH115" s="1" t="str">
        <f t="shared" si="55"/>
        <v>100-150</v>
      </c>
      <c r="AI115" s="1" t="str">
        <f t="shared" si="55"/>
        <v>150-200</v>
      </c>
      <c r="AJ115" s="1" t="str">
        <f t="shared" si="55"/>
        <v>200-250</v>
      </c>
      <c r="AK115" s="1" t="str">
        <f t="shared" si="55"/>
        <v>250-350</v>
      </c>
      <c r="AL115" s="1" t="str">
        <f t="shared" si="55"/>
        <v>350-450</v>
      </c>
      <c r="AM115" s="1" t="str">
        <f t="shared" si="55"/>
        <v>450-650</v>
      </c>
      <c r="AN115" s="1" t="str">
        <f t="shared" si="55"/>
        <v>650-2000</v>
      </c>
    </row>
    <row r="116" spans="7:41" x14ac:dyDescent="0.2">
      <c r="AD116" s="1">
        <f t="shared" ref="AD116:AO116" si="56">AD18</f>
        <v>0</v>
      </c>
      <c r="AE116" s="1">
        <f t="shared" si="56"/>
        <v>40</v>
      </c>
      <c r="AF116" s="1">
        <f t="shared" si="56"/>
        <v>60</v>
      </c>
      <c r="AG116" s="1">
        <f t="shared" si="56"/>
        <v>80</v>
      </c>
      <c r="AH116" s="1">
        <f t="shared" si="56"/>
        <v>100</v>
      </c>
      <c r="AI116" s="1">
        <f t="shared" si="56"/>
        <v>150</v>
      </c>
      <c r="AJ116" s="1">
        <f t="shared" si="56"/>
        <v>200</v>
      </c>
      <c r="AK116" s="1">
        <f t="shared" si="56"/>
        <v>250</v>
      </c>
      <c r="AL116" s="1">
        <f t="shared" si="56"/>
        <v>350</v>
      </c>
      <c r="AM116" s="1">
        <f t="shared" si="56"/>
        <v>450</v>
      </c>
      <c r="AN116" s="1">
        <f t="shared" si="56"/>
        <v>650</v>
      </c>
      <c r="AO116" s="1">
        <f t="shared" si="56"/>
        <v>2000</v>
      </c>
    </row>
    <row r="117" spans="7:41" x14ac:dyDescent="0.2">
      <c r="Y117" s="235" t="s">
        <v>33</v>
      </c>
      <c r="Z117" s="1">
        <f>SUM(AD117:AO117)</f>
        <v>389168.15</v>
      </c>
      <c r="AB117" s="1" t="s">
        <v>106</v>
      </c>
      <c r="AD117" s="1">
        <f>IF($Z$115&gt;AD116,(IF($Z$115-AE116&gt;0,(AE116-AD116)*$B$21*AD119,($Z$115-AD116)*$B$21*AD119)),0)</f>
        <v>198162</v>
      </c>
      <c r="AE117" s="1">
        <f t="shared" ref="AE117:AN117" si="57">IF($Z$115&gt;AE116,(IF($Z$115-AF116&gt;0,(AF116-AE116)*$B$21*AE119,($Z$115-AE116)*$B$21*AE119)),0)</f>
        <v>61650.400000000009</v>
      </c>
      <c r="AF117" s="1">
        <f t="shared" si="57"/>
        <v>44036</v>
      </c>
      <c r="AG117" s="1">
        <f t="shared" si="57"/>
        <v>17614.400000000001</v>
      </c>
      <c r="AH117" s="1">
        <f t="shared" si="57"/>
        <v>22018</v>
      </c>
      <c r="AI117" s="1">
        <f t="shared" si="57"/>
        <v>13761.25</v>
      </c>
      <c r="AJ117" s="1">
        <f t="shared" si="57"/>
        <v>13761.25</v>
      </c>
      <c r="AK117" s="1">
        <f t="shared" si="57"/>
        <v>18164.850000000002</v>
      </c>
      <c r="AL117" s="1">
        <f t="shared" si="57"/>
        <v>0</v>
      </c>
      <c r="AM117" s="1">
        <f t="shared" si="57"/>
        <v>0</v>
      </c>
      <c r="AN117" s="1">
        <f t="shared" si="57"/>
        <v>0</v>
      </c>
    </row>
    <row r="119" spans="7:41" x14ac:dyDescent="0.2">
      <c r="AB119" s="1" t="s">
        <v>109</v>
      </c>
      <c r="AD119" s="218">
        <f t="shared" ref="AD119:AO119" si="58">AD21</f>
        <v>0.45</v>
      </c>
      <c r="AE119" s="218">
        <f t="shared" si="58"/>
        <v>0.28000000000000003</v>
      </c>
      <c r="AF119" s="218">
        <f t="shared" si="58"/>
        <v>0.2</v>
      </c>
      <c r="AG119" s="218">
        <f t="shared" si="58"/>
        <v>0.08</v>
      </c>
      <c r="AH119" s="218">
        <f t="shared" si="58"/>
        <v>0.04</v>
      </c>
      <c r="AI119" s="218">
        <f t="shared" si="58"/>
        <v>2.5000000000000001E-2</v>
      </c>
      <c r="AJ119" s="218">
        <f t="shared" si="58"/>
        <v>2.5000000000000001E-2</v>
      </c>
      <c r="AK119" s="218">
        <f t="shared" si="58"/>
        <v>2.5000000000000001E-2</v>
      </c>
      <c r="AL119" s="218">
        <f t="shared" si="58"/>
        <v>2.5000000000000001E-2</v>
      </c>
      <c r="AM119" s="218">
        <f t="shared" si="58"/>
        <v>2.5000000000000001E-2</v>
      </c>
      <c r="AN119" s="218">
        <f t="shared" si="58"/>
        <v>2.5000000000000001E-2</v>
      </c>
      <c r="AO119" s="218">
        <f t="shared" si="58"/>
        <v>0</v>
      </c>
    </row>
    <row r="122" spans="7:41" x14ac:dyDescent="0.2">
      <c r="H122" s="22"/>
      <c r="I122" s="22"/>
      <c r="J122" s="22"/>
      <c r="K122" s="22"/>
      <c r="L122" s="22"/>
      <c r="M122" s="22"/>
      <c r="N122" s="22"/>
      <c r="O122" s="22"/>
      <c r="P122" s="22"/>
      <c r="Q122" s="22"/>
      <c r="R122" s="22"/>
      <c r="S122" s="22"/>
      <c r="T122" s="22"/>
      <c r="U122" s="22"/>
      <c r="V122" s="22"/>
      <c r="W122" s="22"/>
      <c r="Y122" s="235" t="s">
        <v>14</v>
      </c>
      <c r="Z122" s="1">
        <f>C43</f>
        <v>604</v>
      </c>
      <c r="AB122" s="1" t="s">
        <v>103</v>
      </c>
      <c r="AD122" s="1" t="str">
        <f t="shared" ref="AD122:AN122" si="59">AD25</f>
        <v>0-40</v>
      </c>
      <c r="AE122" s="1" t="str">
        <f t="shared" si="59"/>
        <v>40-60</v>
      </c>
      <c r="AF122" s="1" t="str">
        <f t="shared" si="59"/>
        <v>60-80</v>
      </c>
      <c r="AG122" s="1" t="str">
        <f t="shared" si="59"/>
        <v>80-100</v>
      </c>
      <c r="AH122" s="1" t="str">
        <f t="shared" si="59"/>
        <v>100-150</v>
      </c>
      <c r="AI122" s="1" t="str">
        <f t="shared" si="59"/>
        <v>150-200</v>
      </c>
      <c r="AJ122" s="1" t="str">
        <f t="shared" si="59"/>
        <v>200-250</v>
      </c>
      <c r="AK122" s="1" t="str">
        <f t="shared" si="59"/>
        <v>250-350</v>
      </c>
      <c r="AL122" s="1" t="str">
        <f t="shared" si="59"/>
        <v>350-450</v>
      </c>
      <c r="AM122" s="1" t="str">
        <f t="shared" si="59"/>
        <v>450-650</v>
      </c>
      <c r="AN122" s="1" t="str">
        <f t="shared" si="59"/>
        <v>650-2000</v>
      </c>
    </row>
    <row r="123" spans="7:41" x14ac:dyDescent="0.2">
      <c r="H123" s="22"/>
      <c r="I123" s="22"/>
      <c r="J123" s="22"/>
      <c r="K123" s="22"/>
      <c r="L123" s="22"/>
      <c r="M123" s="22"/>
      <c r="N123" s="22"/>
      <c r="O123" s="22"/>
      <c r="P123" s="22"/>
      <c r="Q123" s="22"/>
      <c r="R123" s="22"/>
      <c r="S123" s="22"/>
      <c r="T123" s="22"/>
      <c r="U123" s="22"/>
      <c r="V123" s="22"/>
      <c r="W123" s="22"/>
      <c r="AD123" s="1">
        <f t="shared" ref="AD123:AO123" si="60">AD18</f>
        <v>0</v>
      </c>
      <c r="AE123" s="1">
        <f t="shared" si="60"/>
        <v>40</v>
      </c>
      <c r="AF123" s="1">
        <f t="shared" si="60"/>
        <v>60</v>
      </c>
      <c r="AG123" s="1">
        <f t="shared" si="60"/>
        <v>80</v>
      </c>
      <c r="AH123" s="1">
        <f t="shared" si="60"/>
        <v>100</v>
      </c>
      <c r="AI123" s="1">
        <f t="shared" si="60"/>
        <v>150</v>
      </c>
      <c r="AJ123" s="1">
        <f t="shared" si="60"/>
        <v>200</v>
      </c>
      <c r="AK123" s="1">
        <f t="shared" si="60"/>
        <v>250</v>
      </c>
      <c r="AL123" s="1">
        <f t="shared" si="60"/>
        <v>350</v>
      </c>
      <c r="AM123" s="1">
        <f t="shared" si="60"/>
        <v>450</v>
      </c>
      <c r="AN123" s="1">
        <f t="shared" si="60"/>
        <v>650</v>
      </c>
      <c r="AO123" s="1">
        <f t="shared" si="60"/>
        <v>2000</v>
      </c>
    </row>
    <row r="124" spans="7:41" x14ac:dyDescent="0.2">
      <c r="Y124" s="235" t="s">
        <v>33</v>
      </c>
      <c r="Z124" s="1">
        <f>SUM(AD124:AO124)</f>
        <v>468432.95000000007</v>
      </c>
      <c r="AB124" s="1" t="s">
        <v>106</v>
      </c>
      <c r="AD124" s="1">
        <f>IF($Z$122&gt;AD123,(IF($Z$122-AE123&gt;0,(AE123-AD123)*$B$21*AD126,($Z$122-AD123)*$B$21*AD126)),0)</f>
        <v>198162</v>
      </c>
      <c r="AE124" s="1">
        <f t="shared" ref="AE124:AN124" si="61">IF($Z$122&gt;AE123,(IF($Z$122-AF123&gt;0,(AF123-AE123)*$B$21*AE126,($Z$122-AE123)*$B$21*AE126)),0)</f>
        <v>61650.400000000009</v>
      </c>
      <c r="AF124" s="1">
        <f t="shared" si="61"/>
        <v>44036</v>
      </c>
      <c r="AG124" s="1">
        <f t="shared" si="61"/>
        <v>17614.400000000001</v>
      </c>
      <c r="AH124" s="1">
        <f t="shared" si="61"/>
        <v>22018</v>
      </c>
      <c r="AI124" s="1">
        <f t="shared" si="61"/>
        <v>13761.25</v>
      </c>
      <c r="AJ124" s="1">
        <f t="shared" si="61"/>
        <v>13761.25</v>
      </c>
      <c r="AK124" s="1">
        <f t="shared" si="61"/>
        <v>27522.5</v>
      </c>
      <c r="AL124" s="1">
        <f t="shared" si="61"/>
        <v>27522.5</v>
      </c>
      <c r="AM124" s="1">
        <f t="shared" si="61"/>
        <v>42384.65</v>
      </c>
      <c r="AN124" s="1">
        <f t="shared" si="61"/>
        <v>0</v>
      </c>
    </row>
    <row r="125" spans="7:41" x14ac:dyDescent="0.2">
      <c r="G125" s="24"/>
      <c r="H125" s="281"/>
      <c r="I125" s="281"/>
      <c r="J125" s="281"/>
      <c r="K125" s="281"/>
      <c r="L125" s="281"/>
      <c r="M125" s="281"/>
      <c r="N125" s="281"/>
      <c r="O125" s="281"/>
      <c r="P125" s="281"/>
      <c r="Q125" s="281"/>
      <c r="R125" s="281"/>
      <c r="S125" s="281"/>
      <c r="T125" s="281"/>
      <c r="U125" s="281"/>
      <c r="V125" s="281"/>
      <c r="W125" s="281"/>
    </row>
    <row r="126" spans="7:41" x14ac:dyDescent="0.2">
      <c r="H126" s="25"/>
      <c r="I126" s="25"/>
      <c r="J126" s="25"/>
      <c r="K126" s="25"/>
      <c r="L126" s="25"/>
      <c r="M126" s="25"/>
      <c r="N126" s="25"/>
      <c r="O126" s="25"/>
      <c r="P126" s="25"/>
      <c r="Q126" s="25"/>
      <c r="R126" s="25"/>
      <c r="S126" s="25"/>
      <c r="T126" s="25"/>
      <c r="U126" s="25"/>
      <c r="V126" s="25"/>
      <c r="W126" s="25"/>
      <c r="AB126" s="1" t="s">
        <v>109</v>
      </c>
      <c r="AD126" s="218">
        <f t="shared" ref="AD126:AO126" si="62">AD21</f>
        <v>0.45</v>
      </c>
      <c r="AE126" s="218">
        <f t="shared" si="62"/>
        <v>0.28000000000000003</v>
      </c>
      <c r="AF126" s="218">
        <f t="shared" si="62"/>
        <v>0.2</v>
      </c>
      <c r="AG126" s="218">
        <f t="shared" si="62"/>
        <v>0.08</v>
      </c>
      <c r="AH126" s="218">
        <f t="shared" si="62"/>
        <v>0.04</v>
      </c>
      <c r="AI126" s="218">
        <f t="shared" si="62"/>
        <v>2.5000000000000001E-2</v>
      </c>
      <c r="AJ126" s="218">
        <f t="shared" si="62"/>
        <v>2.5000000000000001E-2</v>
      </c>
      <c r="AK126" s="218">
        <f t="shared" si="62"/>
        <v>2.5000000000000001E-2</v>
      </c>
      <c r="AL126" s="218">
        <f t="shared" si="62"/>
        <v>2.5000000000000001E-2</v>
      </c>
      <c r="AM126" s="218">
        <f t="shared" si="62"/>
        <v>2.5000000000000001E-2</v>
      </c>
      <c r="AN126" s="218">
        <f t="shared" si="62"/>
        <v>2.5000000000000001E-2</v>
      </c>
      <c r="AO126" s="218">
        <f t="shared" si="62"/>
        <v>0</v>
      </c>
    </row>
    <row r="127" spans="7:41" x14ac:dyDescent="0.2">
      <c r="H127" s="115"/>
      <c r="I127" s="115"/>
      <c r="J127" s="115"/>
      <c r="K127" s="115"/>
      <c r="L127" s="115"/>
      <c r="M127" s="115"/>
      <c r="N127" s="115"/>
      <c r="O127" s="115"/>
      <c r="P127" s="115"/>
      <c r="Q127" s="115"/>
      <c r="R127" s="115"/>
      <c r="S127" s="115"/>
      <c r="T127" s="115"/>
      <c r="U127" s="115"/>
      <c r="V127" s="115"/>
      <c r="W127" s="115"/>
    </row>
    <row r="130" spans="25:41" x14ac:dyDescent="0.2">
      <c r="Y130" s="235" t="s">
        <v>23</v>
      </c>
      <c r="Z130" s="1">
        <f>C44</f>
        <v>1086</v>
      </c>
      <c r="AB130" s="1" t="s">
        <v>103</v>
      </c>
      <c r="AD130" s="1" t="str">
        <f t="shared" ref="AD130:AN130" si="63">AD122</f>
        <v>0-40</v>
      </c>
      <c r="AE130" s="1" t="str">
        <f t="shared" si="63"/>
        <v>40-60</v>
      </c>
      <c r="AF130" s="1" t="str">
        <f t="shared" si="63"/>
        <v>60-80</v>
      </c>
      <c r="AG130" s="1" t="str">
        <f t="shared" si="63"/>
        <v>80-100</v>
      </c>
      <c r="AH130" s="1" t="str">
        <f t="shared" si="63"/>
        <v>100-150</v>
      </c>
      <c r="AI130" s="1" t="str">
        <f t="shared" si="63"/>
        <v>150-200</v>
      </c>
      <c r="AJ130" s="1" t="str">
        <f t="shared" si="63"/>
        <v>200-250</v>
      </c>
      <c r="AK130" s="1" t="str">
        <f t="shared" si="63"/>
        <v>250-350</v>
      </c>
      <c r="AL130" s="1" t="str">
        <f t="shared" si="63"/>
        <v>350-450</v>
      </c>
      <c r="AM130" s="1" t="str">
        <f t="shared" si="63"/>
        <v>450-650</v>
      </c>
      <c r="AN130" s="1" t="str">
        <f t="shared" si="63"/>
        <v>650-2000</v>
      </c>
    </row>
    <row r="131" spans="25:41" x14ac:dyDescent="0.2">
      <c r="AD131" s="1">
        <f t="shared" ref="AD131:AO131" si="64">AD18</f>
        <v>0</v>
      </c>
      <c r="AE131" s="1">
        <f t="shared" si="64"/>
        <v>40</v>
      </c>
      <c r="AF131" s="1">
        <f t="shared" si="64"/>
        <v>60</v>
      </c>
      <c r="AG131" s="1">
        <f t="shared" si="64"/>
        <v>80</v>
      </c>
      <c r="AH131" s="1">
        <f t="shared" si="64"/>
        <v>100</v>
      </c>
      <c r="AI131" s="1">
        <f t="shared" si="64"/>
        <v>150</v>
      </c>
      <c r="AJ131" s="1">
        <f t="shared" si="64"/>
        <v>200</v>
      </c>
      <c r="AK131" s="1">
        <f t="shared" si="64"/>
        <v>250</v>
      </c>
      <c r="AL131" s="1">
        <f t="shared" si="64"/>
        <v>350</v>
      </c>
      <c r="AM131" s="1">
        <f t="shared" si="64"/>
        <v>450</v>
      </c>
      <c r="AN131" s="1">
        <f t="shared" si="64"/>
        <v>650</v>
      </c>
      <c r="AO131" s="1">
        <f t="shared" si="64"/>
        <v>2000</v>
      </c>
    </row>
    <row r="132" spans="25:41" x14ac:dyDescent="0.2">
      <c r="Y132" s="235" t="s">
        <v>33</v>
      </c>
      <c r="Z132" s="1">
        <f>SUM(AD132:AO132)</f>
        <v>601091.4</v>
      </c>
      <c r="AB132" s="1" t="s">
        <v>106</v>
      </c>
      <c r="AD132" s="1">
        <f>IF($Z$130&gt;AD131,(IF($Z$130-AE131&gt;0,(AE131-AD131)*$B$21*AD134,($Z$130-AD131)*$B$21*AD134)),0)</f>
        <v>198162</v>
      </c>
      <c r="AE132" s="1">
        <f t="shared" ref="AE132:AN132" si="65">IF($Z$130&gt;AE131,(IF($Z$130-AF131&gt;0,(AF131-AE131)*$B$21*AE134,($Z$130-AE131)*$B$21*AE134)),0)</f>
        <v>61650.400000000009</v>
      </c>
      <c r="AF132" s="1">
        <f t="shared" si="65"/>
        <v>44036</v>
      </c>
      <c r="AG132" s="1">
        <f t="shared" si="65"/>
        <v>17614.400000000001</v>
      </c>
      <c r="AH132" s="1">
        <f t="shared" si="65"/>
        <v>22018</v>
      </c>
      <c r="AI132" s="1">
        <f t="shared" si="65"/>
        <v>13761.25</v>
      </c>
      <c r="AJ132" s="1">
        <f t="shared" si="65"/>
        <v>13761.25</v>
      </c>
      <c r="AK132" s="1">
        <f t="shared" si="65"/>
        <v>27522.5</v>
      </c>
      <c r="AL132" s="1">
        <f t="shared" si="65"/>
        <v>27522.5</v>
      </c>
      <c r="AM132" s="1">
        <f t="shared" si="65"/>
        <v>55045</v>
      </c>
      <c r="AN132" s="1">
        <f t="shared" si="65"/>
        <v>119998.1</v>
      </c>
    </row>
    <row r="134" spans="25:41" x14ac:dyDescent="0.2">
      <c r="AB134" s="1" t="s">
        <v>109</v>
      </c>
      <c r="AD134" s="218">
        <f t="shared" ref="AD134:AO134" si="66">AD21</f>
        <v>0.45</v>
      </c>
      <c r="AE134" s="218">
        <f t="shared" si="66"/>
        <v>0.28000000000000003</v>
      </c>
      <c r="AF134" s="218">
        <f t="shared" si="66"/>
        <v>0.2</v>
      </c>
      <c r="AG134" s="218">
        <f t="shared" si="66"/>
        <v>0.08</v>
      </c>
      <c r="AH134" s="218">
        <f t="shared" si="66"/>
        <v>0.04</v>
      </c>
      <c r="AI134" s="218">
        <f t="shared" si="66"/>
        <v>2.5000000000000001E-2</v>
      </c>
      <c r="AJ134" s="218">
        <f t="shared" si="66"/>
        <v>2.5000000000000001E-2</v>
      </c>
      <c r="AK134" s="218">
        <f t="shared" si="66"/>
        <v>2.5000000000000001E-2</v>
      </c>
      <c r="AL134" s="218">
        <f t="shared" si="66"/>
        <v>2.5000000000000001E-2</v>
      </c>
      <c r="AM134" s="218">
        <f t="shared" si="66"/>
        <v>2.5000000000000001E-2</v>
      </c>
      <c r="AN134" s="218">
        <f t="shared" si="66"/>
        <v>2.5000000000000001E-2</v>
      </c>
      <c r="AO134" s="218">
        <f t="shared" si="66"/>
        <v>0</v>
      </c>
    </row>
    <row r="137" spans="25:41" x14ac:dyDescent="0.2">
      <c r="Y137" s="235" t="s">
        <v>138</v>
      </c>
      <c r="Z137" s="1">
        <f>SUM(Z130+Z122+Z115+Z107+Z100+Z92+Z85+Z77+Z70+Z62+Z55+Z47+Z40+Z32+Z25+Z17)</f>
        <v>3206</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43</vt:i4>
      </vt:variant>
    </vt:vector>
  </HeadingPairs>
  <TitlesOfParts>
    <vt:vector size="43" baseType="lpstr">
      <vt:lpstr>A. Test olika avdrag</vt:lpstr>
      <vt:lpstr>Inledande förklaringar</vt:lpstr>
      <vt:lpstr>Data, inkomst- skkompl, kost</vt:lpstr>
      <vt:lpstr>provräknignar invkm2</vt:lpstr>
      <vt:lpstr>C3. Förslag, socialvård (2015)</vt:lpstr>
      <vt:lpstr>Kontrollpanel</vt:lpstr>
      <vt:lpstr>2. Kostnadsutj. skola (2013)</vt:lpstr>
      <vt:lpstr>B2. Kostnadsutj. skola (2014)</vt:lpstr>
      <vt:lpstr>C2. Kostnadsutj. skola (2015)</vt:lpstr>
      <vt:lpstr>4. Förslag, utjämning (2013)</vt:lpstr>
      <vt:lpstr>B4. Förslag, utjämning (2014)</vt:lpstr>
      <vt:lpstr>B. NYCKELMOD. UTJ (2014)</vt:lpstr>
      <vt:lpstr>C4. Förslag, utjämning (2015)</vt:lpstr>
      <vt:lpstr>C6. Övriga delar (2015)</vt:lpstr>
      <vt:lpstr>1. Skattekomplettering (2013)</vt:lpstr>
      <vt:lpstr>B3. Förslag, socialvård (2014)</vt:lpstr>
      <vt:lpstr>3. Förslag, socialvård (2013)</vt:lpstr>
      <vt:lpstr>Kalkyler</vt:lpstr>
      <vt:lpstr>C7. HELHET (2015)</vt:lpstr>
      <vt:lpstr>C1. Skattekomplettering (2015)</vt:lpstr>
      <vt:lpstr>B6. Övriga delar (2014)</vt:lpstr>
      <vt:lpstr>6. Övriga delar</vt:lpstr>
      <vt:lpstr>Jämförelser</vt:lpstr>
      <vt:lpstr>D1. Skattekomplettering (2016)</vt:lpstr>
      <vt:lpstr>5. Skärgårdstillägg</vt:lpstr>
      <vt:lpstr>B5. Skärgårdstillägg (2014)</vt:lpstr>
      <vt:lpstr>C5. Skärgårdstillägg (2015)</vt:lpstr>
      <vt:lpstr>B7. HELHET (2014)</vt:lpstr>
      <vt:lpstr>äldre version, skattko(2013)</vt:lpstr>
      <vt:lpstr>Kostnadsutj. skola (2012)</vt:lpstr>
      <vt:lpstr>Kostnadsutj. skola (2011)</vt:lpstr>
      <vt:lpstr>A. NYCKELMOD. UTJ (2013)</vt:lpstr>
      <vt:lpstr>C. NYCKELMOD. UTJ (2015)</vt:lpstr>
      <vt:lpstr>Regression, skola</vt:lpstr>
      <vt:lpstr>Basbelopp, Skola</vt:lpstr>
      <vt:lpstr>A7. HELHET (2013)</vt:lpstr>
      <vt:lpstr>Inv. antal o prognos</vt:lpstr>
      <vt:lpstr>BASbelopp Social</vt:lpstr>
      <vt:lpstr>8. Regression, tot. soc.vård</vt:lpstr>
      <vt:lpstr>9. Regression. Soc, äldre, barn</vt:lpstr>
      <vt:lpstr>13. Regression. Soc, äld(SKä)</vt:lpstr>
      <vt:lpstr>10 Regr. SKOLA utan trän.und</vt:lpstr>
      <vt:lpstr>12. Regression Kost, kultur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Windows-användare</dc:creator>
  <cp:lastModifiedBy>Theresia Sjöberg</cp:lastModifiedBy>
  <dcterms:created xsi:type="dcterms:W3CDTF">2015-09-15T11:38:30Z</dcterms:created>
  <dcterms:modified xsi:type="dcterms:W3CDTF">2017-05-31T10:27:42Z</dcterms:modified>
</cp:coreProperties>
</file>